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8800" windowHeight="12230" tabRatio="948" firstSheet="55" activeTab="67"/>
  </bookViews>
  <sheets>
    <sheet name="Input data" sheetId="69" r:id="rId1"/>
    <sheet name="VYSVETLIVKY" sheetId="51" r:id="rId2"/>
    <sheet name="1" sheetId="1" state="hidden" r:id="rId3"/>
    <sheet name="2" sheetId="4" state="hidden" r:id="rId4"/>
    <sheet name="2_tabulka 2" sheetId="52" state="hidden" r:id="rId5"/>
    <sheet name="3" sheetId="5" state="hidden" r:id="rId6"/>
    <sheet name="4" sheetId="6" state="hidden" r:id="rId7"/>
    <sheet name="5" sheetId="7" state="hidden" r:id="rId8"/>
    <sheet name="6" sheetId="8" state="hidden" r:id="rId9"/>
    <sheet name="7" sheetId="9" state="hidden" r:id="rId10"/>
    <sheet name="8" sheetId="10" state="hidden" r:id="rId11"/>
    <sheet name="9" sheetId="11" state="hidden" r:id="rId12"/>
    <sheet name="10" sheetId="12" state="hidden" r:id="rId13"/>
    <sheet name="11" sheetId="13" state="hidden" r:id="rId14"/>
    <sheet name="12" sheetId="14" state="hidden" r:id="rId15"/>
    <sheet name="12_tabulka c.2" sheetId="53" state="hidden" r:id="rId16"/>
    <sheet name="13" sheetId="15" state="hidden" r:id="rId17"/>
    <sheet name="14_tabulka 1 a 3" sheetId="56" state="hidden" r:id="rId18"/>
    <sheet name="14_tabulka 2 a 4" sheetId="57" state="hidden" r:id="rId19"/>
    <sheet name="15" sheetId="17" state="hidden" r:id="rId20"/>
    <sheet name="16" sheetId="18" state="hidden" r:id="rId21"/>
    <sheet name="16_tabulka c.2" sheetId="54" state="hidden" r:id="rId22"/>
    <sheet name="17" sheetId="19" state="hidden" r:id="rId23"/>
    <sheet name="18" sheetId="20" state="hidden" r:id="rId24"/>
    <sheet name="18_tabulka c.2" sheetId="55" state="hidden" r:id="rId25"/>
    <sheet name="19" sheetId="21" state="hidden" r:id="rId26"/>
    <sheet name="20" sheetId="22" state="hidden" r:id="rId27"/>
    <sheet name="21" sheetId="23" state="hidden" r:id="rId28"/>
    <sheet name="22" sheetId="24" state="hidden" r:id="rId29"/>
    <sheet name="23" sheetId="25" state="hidden" r:id="rId30"/>
    <sheet name="24" sheetId="26" state="hidden" r:id="rId31"/>
    <sheet name="24_tabulky 3 a 4" sheetId="50" state="hidden" r:id="rId32"/>
    <sheet name="25" sheetId="27" state="hidden" r:id="rId33"/>
    <sheet name="26" sheetId="28" state="hidden" r:id="rId34"/>
    <sheet name="27" sheetId="30" state="hidden" r:id="rId35"/>
    <sheet name="28" sheetId="31" state="hidden" r:id="rId36"/>
    <sheet name="29" sheetId="32" state="hidden" r:id="rId37"/>
    <sheet name="30" sheetId="29" state="hidden" r:id="rId38"/>
    <sheet name="31" sheetId="33" state="hidden" r:id="rId39"/>
    <sheet name="32" sheetId="34" state="hidden" r:id="rId40"/>
    <sheet name="32_tabulka 2" sheetId="59" state="hidden" r:id="rId41"/>
    <sheet name="33" sheetId="35" state="hidden" r:id="rId42"/>
    <sheet name="34" sheetId="36" state="hidden" r:id="rId43"/>
    <sheet name="42" sheetId="44" state="hidden" r:id="rId44"/>
    <sheet name="43" sheetId="45" state="hidden" r:id="rId45"/>
    <sheet name="44" sheetId="46" state="hidden" r:id="rId46"/>
    <sheet name="35" sheetId="37" state="hidden" r:id="rId47"/>
    <sheet name="36" sheetId="38" state="hidden" r:id="rId48"/>
    <sheet name="37" sheetId="39" state="hidden" r:id="rId49"/>
    <sheet name="38" sheetId="40" state="hidden" r:id="rId50"/>
    <sheet name="39" sheetId="41" state="hidden" r:id="rId51"/>
    <sheet name="40" sheetId="42" state="hidden" r:id="rId52"/>
    <sheet name="41" sheetId="43" state="hidden" r:id="rId53"/>
    <sheet name="45" sheetId="47" state="hidden" r:id="rId54"/>
    <sheet name="46" sheetId="48" state="hidden" r:id="rId55"/>
    <sheet name="BS" sheetId="89" r:id="rId56"/>
    <sheet name="P&amp;L" sheetId="90" r:id="rId57"/>
    <sheet name="SK Cover sheet" sheetId="65" r:id="rId58"/>
    <sheet name="BS-SK Statutory" sheetId="91" r:id="rId59"/>
    <sheet name="IS-SK Statutory " sheetId="92" r:id="rId60"/>
    <sheet name="Notes- SK Template" sheetId="71" r:id="rId61"/>
    <sheet name="BS old" sheetId="60" state="hidden" r:id="rId62"/>
    <sheet name="P&amp;L old" sheetId="61" state="hidden" r:id="rId63"/>
    <sheet name="Notes-SK Cover sheet" sheetId="85" state="hidden" r:id="rId64"/>
    <sheet name="BS-SK Statutory old" sheetId="66" state="hidden" r:id="rId65"/>
    <sheet name="IS-SK Statutoryold " sheetId="68" state="hidden" r:id="rId66"/>
    <sheet name="IS-SK Cover sheet" sheetId="67" state="hidden" r:id="rId67"/>
    <sheet name="Cash Flow SK" sheetId="62" r:id="rId68"/>
    <sheet name="E_Cover sheet" sheetId="93" r:id="rId69"/>
    <sheet name="BS-E Cover sheet" sheetId="72" state="hidden" r:id="rId70"/>
    <sheet name="BS-E Statutory" sheetId="99" r:id="rId71"/>
    <sheet name="BS- E Statutory" sheetId="78" state="hidden" r:id="rId72"/>
    <sheet name="IS-E Cover sheet" sheetId="75" state="hidden" r:id="rId73"/>
    <sheet name="IS-E Statutory" sheetId="95" r:id="rId74"/>
    <sheet name="Notes - E Template" sheetId="86" r:id="rId75"/>
    <sheet name="IS-E Statutory m" sheetId="76" state="hidden" r:id="rId76"/>
    <sheet name="Notes-E Cover sheet" sheetId="87" state="hidden" r:id="rId77"/>
    <sheet name="Cash Flow (ENG)" sheetId="88" r:id="rId78"/>
    <sheet name="G-Cover sheet" sheetId="96" state="hidden" r:id="rId79"/>
    <sheet name="BS-G Cover sheet" sheetId="83" state="hidden" r:id="rId80"/>
    <sheet name="BS - G Statutoryo" sheetId="80" state="hidden" r:id="rId81"/>
    <sheet name="IS-G Cover sheet" sheetId="84" state="hidden" r:id="rId82"/>
    <sheet name="BS-G Statutory" sheetId="101" state="hidden" r:id="rId83"/>
    <sheet name="IS-G Statutory" sheetId="103" state="hidden" r:id="rId84"/>
  </sheets>
  <externalReferences>
    <externalReference r:id="rId85"/>
  </externalReferences>
  <definedNames>
    <definedName name="_Fill" localSheetId="55" hidden="1">#REF!</definedName>
    <definedName name="_Fill" localSheetId="80" hidden="1">#REF!</definedName>
    <definedName name="_Fill" localSheetId="70" hidden="1">#REF!</definedName>
    <definedName name="_Fill" localSheetId="79" hidden="1">#REF!</definedName>
    <definedName name="_Fill" localSheetId="82" hidden="1">#REF!</definedName>
    <definedName name="_Fill" localSheetId="58" hidden="1">#REF!</definedName>
    <definedName name="_Fill" localSheetId="64" hidden="1">#REF!</definedName>
    <definedName name="_Fill" localSheetId="68" hidden="1">#REF!</definedName>
    <definedName name="_Fill" localSheetId="78" hidden="1">#REF!</definedName>
    <definedName name="_Fill" localSheetId="0" hidden="1">#REF!</definedName>
    <definedName name="_Fill" localSheetId="73" hidden="1">#REF!</definedName>
    <definedName name="_Fill" localSheetId="81" hidden="1">#REF!</definedName>
    <definedName name="_Fill" localSheetId="83" hidden="1">#REF!</definedName>
    <definedName name="_Fill" localSheetId="66" hidden="1">#REF!</definedName>
    <definedName name="_Fill" localSheetId="59" hidden="1">#REF!</definedName>
    <definedName name="_Fill" localSheetId="65" hidden="1">#REF!</definedName>
    <definedName name="_Fill" localSheetId="74" hidden="1">#REF!</definedName>
    <definedName name="_Fill" localSheetId="63" hidden="1">#REF!</definedName>
    <definedName name="_Fill" localSheetId="56" hidden="1">#REF!</definedName>
    <definedName name="_Fill" localSheetId="57" hidden="1">#REF!</definedName>
    <definedName name="_Fill" hidden="1">#REF!</definedName>
    <definedName name="_xlnm._FilterDatabase" localSheetId="55" hidden="1">BS!$A$91:$F$161</definedName>
    <definedName name="_Toc474124192" localSheetId="74">'Notes - E Template'!$D$83</definedName>
    <definedName name="_Toc474124192" localSheetId="60">'Notes- SK Template'!$D$76</definedName>
    <definedName name="ARA_Threshold" localSheetId="55">#REF!</definedName>
    <definedName name="ARA_Threshold" localSheetId="70">#REF!</definedName>
    <definedName name="ARA_Threshold" localSheetId="82">#REF!</definedName>
    <definedName name="ARA_Threshold" localSheetId="58">#REF!</definedName>
    <definedName name="ARA_Threshold" localSheetId="68">#REF!</definedName>
    <definedName name="ARA_Threshold" localSheetId="78">#REF!</definedName>
    <definedName name="ARA_Threshold" localSheetId="73">#REF!</definedName>
    <definedName name="ARA_Threshold" localSheetId="83">#REF!</definedName>
    <definedName name="ARA_Threshold" localSheetId="59">#REF!</definedName>
    <definedName name="ARA_Threshold" localSheetId="56">#REF!</definedName>
    <definedName name="ARA_Threshold">#REF!</definedName>
    <definedName name="ARP_Threshold" localSheetId="55">#REF!</definedName>
    <definedName name="ARP_Threshold" localSheetId="70">#REF!</definedName>
    <definedName name="ARP_Threshold" localSheetId="82">#REF!</definedName>
    <definedName name="ARP_Threshold" localSheetId="58">#REF!</definedName>
    <definedName name="ARP_Threshold" localSheetId="68">#REF!</definedName>
    <definedName name="ARP_Threshold" localSheetId="78">#REF!</definedName>
    <definedName name="ARP_Threshold" localSheetId="73">#REF!</definedName>
    <definedName name="ARP_Threshold" localSheetId="83">#REF!</definedName>
    <definedName name="ARP_Threshold" localSheetId="59">#REF!</definedName>
    <definedName name="ARP_Threshold" localSheetId="56">#REF!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55">#REF!</definedName>
    <definedName name="CY_Accounts_Receivable" localSheetId="70">#REF!</definedName>
    <definedName name="CY_Accounts_Receivable" localSheetId="82">#REF!</definedName>
    <definedName name="CY_Accounts_Receivable" localSheetId="58">#REF!</definedName>
    <definedName name="CY_Accounts_Receivable" localSheetId="68">#REF!</definedName>
    <definedName name="CY_Accounts_Receivable" localSheetId="78">#REF!</definedName>
    <definedName name="CY_Accounts_Receivable" localSheetId="73">#REF!</definedName>
    <definedName name="CY_Accounts_Receivable" localSheetId="83">#REF!</definedName>
    <definedName name="CY_Accounts_Receivable" localSheetId="59">#REF!</definedName>
    <definedName name="CY_Accounts_Receivable" localSheetId="56">#REF!</definedName>
    <definedName name="CY_Accounts_Receivable">#REF!</definedName>
    <definedName name="CY_Administration" localSheetId="55">#REF!</definedName>
    <definedName name="CY_Administration" localSheetId="70">#REF!</definedName>
    <definedName name="CY_Administration" localSheetId="82">#REF!</definedName>
    <definedName name="CY_Administration" localSheetId="58">#REF!</definedName>
    <definedName name="CY_Administration" localSheetId="68">#REF!</definedName>
    <definedName name="CY_Administration" localSheetId="78">#REF!</definedName>
    <definedName name="CY_Administration" localSheetId="73">#REF!</definedName>
    <definedName name="CY_Administration" localSheetId="83">#REF!</definedName>
    <definedName name="CY_Administration" localSheetId="59">#REF!</definedName>
    <definedName name="CY_Administration" localSheetId="56">#REF!</definedName>
    <definedName name="CY_Administration">#REF!</definedName>
    <definedName name="CY_Cash" localSheetId="55">#REF!</definedName>
    <definedName name="CY_Cash" localSheetId="70">#REF!</definedName>
    <definedName name="CY_Cash" localSheetId="82">#REF!</definedName>
    <definedName name="CY_Cash" localSheetId="58">#REF!</definedName>
    <definedName name="CY_Cash" localSheetId="68">#REF!</definedName>
    <definedName name="CY_Cash" localSheetId="78">#REF!</definedName>
    <definedName name="CY_Cash" localSheetId="73">#REF!</definedName>
    <definedName name="CY_Cash" localSheetId="83">#REF!</definedName>
    <definedName name="CY_Cash" localSheetId="59">#REF!</definedName>
    <definedName name="CY_Cash" localSheetId="56">#REF!</definedName>
    <definedName name="CY_Cash">#REF!</definedName>
    <definedName name="CY_Common_Equity" localSheetId="55">#REF!</definedName>
    <definedName name="CY_Common_Equity" localSheetId="70">#REF!</definedName>
    <definedName name="CY_Common_Equity" localSheetId="82">#REF!</definedName>
    <definedName name="CY_Common_Equity" localSheetId="58">#REF!</definedName>
    <definedName name="CY_Common_Equity" localSheetId="68">#REF!</definedName>
    <definedName name="CY_Common_Equity" localSheetId="78">#REF!</definedName>
    <definedName name="CY_Common_Equity" localSheetId="73">#REF!</definedName>
    <definedName name="CY_Common_Equity" localSheetId="83">#REF!</definedName>
    <definedName name="CY_Common_Equity" localSheetId="59">#REF!</definedName>
    <definedName name="CY_Common_Equity" localSheetId="56">#REF!</definedName>
    <definedName name="CY_Common_Equity">#REF!</definedName>
    <definedName name="CY_Cost_of_Sales" localSheetId="55">#REF!</definedName>
    <definedName name="CY_Cost_of_Sales" localSheetId="70">#REF!</definedName>
    <definedName name="CY_Cost_of_Sales" localSheetId="82">#REF!</definedName>
    <definedName name="CY_Cost_of_Sales" localSheetId="58">#REF!</definedName>
    <definedName name="CY_Cost_of_Sales" localSheetId="68">#REF!</definedName>
    <definedName name="CY_Cost_of_Sales" localSheetId="78">#REF!</definedName>
    <definedName name="CY_Cost_of_Sales" localSheetId="73">#REF!</definedName>
    <definedName name="CY_Cost_of_Sales" localSheetId="83">#REF!</definedName>
    <definedName name="CY_Cost_of_Sales" localSheetId="59">#REF!</definedName>
    <definedName name="CY_Cost_of_Sales" localSheetId="56">#REF!</definedName>
    <definedName name="CY_Cost_of_Sales">#REF!</definedName>
    <definedName name="CY_Current_Liabilities" localSheetId="55">#REF!</definedName>
    <definedName name="CY_Current_Liabilities" localSheetId="70">#REF!</definedName>
    <definedName name="CY_Current_Liabilities" localSheetId="82">#REF!</definedName>
    <definedName name="CY_Current_Liabilities" localSheetId="58">#REF!</definedName>
    <definedName name="CY_Current_Liabilities" localSheetId="68">#REF!</definedName>
    <definedName name="CY_Current_Liabilities" localSheetId="78">#REF!</definedName>
    <definedName name="CY_Current_Liabilities" localSheetId="73">#REF!</definedName>
    <definedName name="CY_Current_Liabilities" localSheetId="83">#REF!</definedName>
    <definedName name="CY_Current_Liabilities" localSheetId="59">#REF!</definedName>
    <definedName name="CY_Current_Liabilities" localSheetId="56">#REF!</definedName>
    <definedName name="CY_Current_Liabilities">#REF!</definedName>
    <definedName name="CY_Depreciation" localSheetId="55">#REF!</definedName>
    <definedName name="CY_Depreciation" localSheetId="70">#REF!</definedName>
    <definedName name="CY_Depreciation" localSheetId="82">#REF!</definedName>
    <definedName name="CY_Depreciation" localSheetId="58">#REF!</definedName>
    <definedName name="CY_Depreciation" localSheetId="68">#REF!</definedName>
    <definedName name="CY_Depreciation" localSheetId="78">#REF!</definedName>
    <definedName name="CY_Depreciation" localSheetId="73">#REF!</definedName>
    <definedName name="CY_Depreciation" localSheetId="83">#REF!</definedName>
    <definedName name="CY_Depreciation" localSheetId="59">#REF!</definedName>
    <definedName name="CY_Depreciation" localSheetId="56">#REF!</definedName>
    <definedName name="CY_Depreciation">#REF!</definedName>
    <definedName name="CY_Gross_Profit" localSheetId="55">#REF!</definedName>
    <definedName name="CY_Gross_Profit" localSheetId="70">#REF!</definedName>
    <definedName name="CY_Gross_Profit" localSheetId="82">#REF!</definedName>
    <definedName name="CY_Gross_Profit" localSheetId="58">#REF!</definedName>
    <definedName name="CY_Gross_Profit" localSheetId="68">#REF!</definedName>
    <definedName name="CY_Gross_Profit" localSheetId="78">#REF!</definedName>
    <definedName name="CY_Gross_Profit" localSheetId="73">#REF!</definedName>
    <definedName name="CY_Gross_Profit" localSheetId="83">#REF!</definedName>
    <definedName name="CY_Gross_Profit" localSheetId="59">#REF!</definedName>
    <definedName name="CY_Gross_Profit" localSheetId="56">#REF!</definedName>
    <definedName name="CY_Gross_Profit">#REF!</definedName>
    <definedName name="CY_Inc_Bef_Tax" localSheetId="55">#REF!</definedName>
    <definedName name="CY_Inc_Bef_Tax" localSheetId="70">#REF!</definedName>
    <definedName name="CY_Inc_Bef_Tax" localSheetId="82">#REF!</definedName>
    <definedName name="CY_Inc_Bef_Tax" localSheetId="58">#REF!</definedName>
    <definedName name="CY_Inc_Bef_Tax" localSheetId="68">#REF!</definedName>
    <definedName name="CY_Inc_Bef_Tax" localSheetId="78">#REF!</definedName>
    <definedName name="CY_Inc_Bef_Tax" localSheetId="73">#REF!</definedName>
    <definedName name="CY_Inc_Bef_Tax" localSheetId="83">#REF!</definedName>
    <definedName name="CY_Inc_Bef_Tax" localSheetId="59">#REF!</definedName>
    <definedName name="CY_Inc_Bef_Tax" localSheetId="56">#REF!</definedName>
    <definedName name="CY_Inc_Bef_Tax">#REF!</definedName>
    <definedName name="CY_Intangible_Assets" localSheetId="55">#REF!</definedName>
    <definedName name="CY_Intangible_Assets" localSheetId="70">#REF!</definedName>
    <definedName name="CY_Intangible_Assets" localSheetId="82">#REF!</definedName>
    <definedName name="CY_Intangible_Assets" localSheetId="58">#REF!</definedName>
    <definedName name="CY_Intangible_Assets" localSheetId="68">#REF!</definedName>
    <definedName name="CY_Intangible_Assets" localSheetId="78">#REF!</definedName>
    <definedName name="CY_Intangible_Assets" localSheetId="73">#REF!</definedName>
    <definedName name="CY_Intangible_Assets" localSheetId="83">#REF!</definedName>
    <definedName name="CY_Intangible_Assets" localSheetId="59">#REF!</definedName>
    <definedName name="CY_Intangible_Assets" localSheetId="56">#REF!</definedName>
    <definedName name="CY_Intangible_Assets">#REF!</definedName>
    <definedName name="CY_Interest_Expense" localSheetId="55">#REF!</definedName>
    <definedName name="CY_Interest_Expense" localSheetId="70">#REF!</definedName>
    <definedName name="CY_Interest_Expense" localSheetId="82">#REF!</definedName>
    <definedName name="CY_Interest_Expense" localSheetId="58">#REF!</definedName>
    <definedName name="CY_Interest_Expense" localSheetId="68">#REF!</definedName>
    <definedName name="CY_Interest_Expense" localSheetId="78">#REF!</definedName>
    <definedName name="CY_Interest_Expense" localSheetId="73">#REF!</definedName>
    <definedName name="CY_Interest_Expense" localSheetId="83">#REF!</definedName>
    <definedName name="CY_Interest_Expense" localSheetId="59">#REF!</definedName>
    <definedName name="CY_Interest_Expense" localSheetId="56">#REF!</definedName>
    <definedName name="CY_Interest_Expense">#REF!</definedName>
    <definedName name="CY_Inventory" localSheetId="55">#REF!</definedName>
    <definedName name="CY_Inventory" localSheetId="70">#REF!</definedName>
    <definedName name="CY_Inventory" localSheetId="82">#REF!</definedName>
    <definedName name="CY_Inventory" localSheetId="58">#REF!</definedName>
    <definedName name="CY_Inventory" localSheetId="68">#REF!</definedName>
    <definedName name="CY_Inventory" localSheetId="78">#REF!</definedName>
    <definedName name="CY_Inventory" localSheetId="73">#REF!</definedName>
    <definedName name="CY_Inventory" localSheetId="83">#REF!</definedName>
    <definedName name="CY_Inventory" localSheetId="59">#REF!</definedName>
    <definedName name="CY_Inventory" localSheetId="56">#REF!</definedName>
    <definedName name="CY_Inventory">#REF!</definedName>
    <definedName name="CY_LIABIL_EQUITY" localSheetId="55">#REF!</definedName>
    <definedName name="CY_LIABIL_EQUITY" localSheetId="70">#REF!</definedName>
    <definedName name="CY_LIABIL_EQUITY" localSheetId="82">#REF!</definedName>
    <definedName name="CY_LIABIL_EQUITY" localSheetId="58">#REF!</definedName>
    <definedName name="CY_LIABIL_EQUITY" localSheetId="68">#REF!</definedName>
    <definedName name="CY_LIABIL_EQUITY" localSheetId="78">#REF!</definedName>
    <definedName name="CY_LIABIL_EQUITY" localSheetId="73">#REF!</definedName>
    <definedName name="CY_LIABIL_EQUITY" localSheetId="83">#REF!</definedName>
    <definedName name="CY_LIABIL_EQUITY" localSheetId="59">#REF!</definedName>
    <definedName name="CY_LIABIL_EQUITY" localSheetId="56">#REF!</definedName>
    <definedName name="CY_LIABIL_EQUITY">#REF!</definedName>
    <definedName name="CY_LT_Debt" localSheetId="55">#REF!</definedName>
    <definedName name="CY_LT_Debt" localSheetId="70">#REF!</definedName>
    <definedName name="CY_LT_Debt" localSheetId="82">#REF!</definedName>
    <definedName name="CY_LT_Debt" localSheetId="58">#REF!</definedName>
    <definedName name="CY_LT_Debt" localSheetId="68">#REF!</definedName>
    <definedName name="CY_LT_Debt" localSheetId="78">#REF!</definedName>
    <definedName name="CY_LT_Debt" localSheetId="73">#REF!</definedName>
    <definedName name="CY_LT_Debt" localSheetId="83">#REF!</definedName>
    <definedName name="CY_LT_Debt" localSheetId="59">#REF!</definedName>
    <definedName name="CY_LT_Debt" localSheetId="56">#REF!</definedName>
    <definedName name="CY_LT_Debt">#REF!</definedName>
    <definedName name="CY_Market_Value_of_Equity" localSheetId="55">#REF!</definedName>
    <definedName name="CY_Market_Value_of_Equity" localSheetId="70">#REF!</definedName>
    <definedName name="CY_Market_Value_of_Equity" localSheetId="82">#REF!</definedName>
    <definedName name="CY_Market_Value_of_Equity" localSheetId="58">#REF!</definedName>
    <definedName name="CY_Market_Value_of_Equity" localSheetId="68">#REF!</definedName>
    <definedName name="CY_Market_Value_of_Equity" localSheetId="78">#REF!</definedName>
    <definedName name="CY_Market_Value_of_Equity" localSheetId="73">#REF!</definedName>
    <definedName name="CY_Market_Value_of_Equity" localSheetId="83">#REF!</definedName>
    <definedName name="CY_Market_Value_of_Equity" localSheetId="59">#REF!</definedName>
    <definedName name="CY_Market_Value_of_Equity" localSheetId="56">#REF!</definedName>
    <definedName name="CY_Market_Value_of_Equity">#REF!</definedName>
    <definedName name="CY_Marketable_Sec" localSheetId="55">#REF!</definedName>
    <definedName name="CY_Marketable_Sec" localSheetId="70">#REF!</definedName>
    <definedName name="CY_Marketable_Sec" localSheetId="82">#REF!</definedName>
    <definedName name="CY_Marketable_Sec" localSheetId="58">#REF!</definedName>
    <definedName name="CY_Marketable_Sec" localSheetId="68">#REF!</definedName>
    <definedName name="CY_Marketable_Sec" localSheetId="78">#REF!</definedName>
    <definedName name="CY_Marketable_Sec" localSheetId="73">#REF!</definedName>
    <definedName name="CY_Marketable_Sec" localSheetId="83">#REF!</definedName>
    <definedName name="CY_Marketable_Sec" localSheetId="59">#REF!</definedName>
    <definedName name="CY_Marketable_Sec" localSheetId="56">#REF!</definedName>
    <definedName name="CY_Marketable_Sec">#REF!</definedName>
    <definedName name="CY_NET_PROFIT" localSheetId="55">#REF!</definedName>
    <definedName name="CY_NET_PROFIT" localSheetId="70">#REF!</definedName>
    <definedName name="CY_NET_PROFIT" localSheetId="82">#REF!</definedName>
    <definedName name="CY_NET_PROFIT" localSheetId="58">#REF!</definedName>
    <definedName name="CY_NET_PROFIT" localSheetId="68">#REF!</definedName>
    <definedName name="CY_NET_PROFIT" localSheetId="78">#REF!</definedName>
    <definedName name="CY_NET_PROFIT" localSheetId="73">#REF!</definedName>
    <definedName name="CY_NET_PROFIT" localSheetId="83">#REF!</definedName>
    <definedName name="CY_NET_PROFIT" localSheetId="59">#REF!</definedName>
    <definedName name="CY_NET_PROFIT" localSheetId="56">#REF!</definedName>
    <definedName name="CY_NET_PROFIT">#REF!</definedName>
    <definedName name="CY_Net_Revenue" localSheetId="55">#REF!</definedName>
    <definedName name="CY_Net_Revenue" localSheetId="70">#REF!</definedName>
    <definedName name="CY_Net_Revenue" localSheetId="82">#REF!</definedName>
    <definedName name="CY_Net_Revenue" localSheetId="58">#REF!</definedName>
    <definedName name="CY_Net_Revenue" localSheetId="68">#REF!</definedName>
    <definedName name="CY_Net_Revenue" localSheetId="78">#REF!</definedName>
    <definedName name="CY_Net_Revenue" localSheetId="73">#REF!</definedName>
    <definedName name="CY_Net_Revenue" localSheetId="83">#REF!</definedName>
    <definedName name="CY_Net_Revenue" localSheetId="59">#REF!</definedName>
    <definedName name="CY_Net_Revenue" localSheetId="56">#REF!</definedName>
    <definedName name="CY_Net_Revenue">#REF!</definedName>
    <definedName name="CY_Operating_Income" localSheetId="55">#REF!</definedName>
    <definedName name="CY_Operating_Income" localSheetId="70">#REF!</definedName>
    <definedName name="CY_Operating_Income" localSheetId="82">#REF!</definedName>
    <definedName name="CY_Operating_Income" localSheetId="58">#REF!</definedName>
    <definedName name="CY_Operating_Income" localSheetId="68">#REF!</definedName>
    <definedName name="CY_Operating_Income" localSheetId="78">#REF!</definedName>
    <definedName name="CY_Operating_Income" localSheetId="73">#REF!</definedName>
    <definedName name="CY_Operating_Income" localSheetId="83">#REF!</definedName>
    <definedName name="CY_Operating_Income" localSheetId="59">#REF!</definedName>
    <definedName name="CY_Operating_Income" localSheetId="56">#REF!</definedName>
    <definedName name="CY_Operating_Income">#REF!</definedName>
    <definedName name="CY_Other" localSheetId="55">#REF!</definedName>
    <definedName name="CY_Other" localSheetId="70">#REF!</definedName>
    <definedName name="CY_Other" localSheetId="82">#REF!</definedName>
    <definedName name="CY_Other" localSheetId="58">#REF!</definedName>
    <definedName name="CY_Other" localSheetId="68">#REF!</definedName>
    <definedName name="CY_Other" localSheetId="78">#REF!</definedName>
    <definedName name="CY_Other" localSheetId="73">#REF!</definedName>
    <definedName name="CY_Other" localSheetId="83">#REF!</definedName>
    <definedName name="CY_Other" localSheetId="59">#REF!</definedName>
    <definedName name="CY_Other" localSheetId="56">#REF!</definedName>
    <definedName name="CY_Other">#REF!</definedName>
    <definedName name="CY_Other_Curr_Assets" localSheetId="55">#REF!</definedName>
    <definedName name="CY_Other_Curr_Assets" localSheetId="70">#REF!</definedName>
    <definedName name="CY_Other_Curr_Assets" localSheetId="82">#REF!</definedName>
    <definedName name="CY_Other_Curr_Assets" localSheetId="58">#REF!</definedName>
    <definedName name="CY_Other_Curr_Assets" localSheetId="68">#REF!</definedName>
    <definedName name="CY_Other_Curr_Assets" localSheetId="78">#REF!</definedName>
    <definedName name="CY_Other_Curr_Assets" localSheetId="73">#REF!</definedName>
    <definedName name="CY_Other_Curr_Assets" localSheetId="83">#REF!</definedName>
    <definedName name="CY_Other_Curr_Assets" localSheetId="59">#REF!</definedName>
    <definedName name="CY_Other_Curr_Assets" localSheetId="56">#REF!</definedName>
    <definedName name="CY_Other_Curr_Assets">#REF!</definedName>
    <definedName name="CY_Other_LT_Assets" localSheetId="55">#REF!</definedName>
    <definedName name="CY_Other_LT_Assets" localSheetId="70">#REF!</definedName>
    <definedName name="CY_Other_LT_Assets" localSheetId="82">#REF!</definedName>
    <definedName name="CY_Other_LT_Assets" localSheetId="58">#REF!</definedName>
    <definedName name="CY_Other_LT_Assets" localSheetId="68">#REF!</definedName>
    <definedName name="CY_Other_LT_Assets" localSheetId="78">#REF!</definedName>
    <definedName name="CY_Other_LT_Assets" localSheetId="73">#REF!</definedName>
    <definedName name="CY_Other_LT_Assets" localSheetId="83">#REF!</definedName>
    <definedName name="CY_Other_LT_Assets" localSheetId="59">#REF!</definedName>
    <definedName name="CY_Other_LT_Assets" localSheetId="56">#REF!</definedName>
    <definedName name="CY_Other_LT_Assets">#REF!</definedName>
    <definedName name="CY_Other_LT_Liabilities" localSheetId="55">#REF!</definedName>
    <definedName name="CY_Other_LT_Liabilities" localSheetId="70">#REF!</definedName>
    <definedName name="CY_Other_LT_Liabilities" localSheetId="82">#REF!</definedName>
    <definedName name="CY_Other_LT_Liabilities" localSheetId="58">#REF!</definedName>
    <definedName name="CY_Other_LT_Liabilities" localSheetId="68">#REF!</definedName>
    <definedName name="CY_Other_LT_Liabilities" localSheetId="78">#REF!</definedName>
    <definedName name="CY_Other_LT_Liabilities" localSheetId="73">#REF!</definedName>
    <definedName name="CY_Other_LT_Liabilities" localSheetId="83">#REF!</definedName>
    <definedName name="CY_Other_LT_Liabilities" localSheetId="59">#REF!</definedName>
    <definedName name="CY_Other_LT_Liabilities" localSheetId="56">#REF!</definedName>
    <definedName name="CY_Other_LT_Liabilities">#REF!</definedName>
    <definedName name="CY_Preferred_Stock" localSheetId="55">#REF!</definedName>
    <definedName name="CY_Preferred_Stock" localSheetId="70">#REF!</definedName>
    <definedName name="CY_Preferred_Stock" localSheetId="82">#REF!</definedName>
    <definedName name="CY_Preferred_Stock" localSheetId="58">#REF!</definedName>
    <definedName name="CY_Preferred_Stock" localSheetId="68">#REF!</definedName>
    <definedName name="CY_Preferred_Stock" localSheetId="78">#REF!</definedName>
    <definedName name="CY_Preferred_Stock" localSheetId="73">#REF!</definedName>
    <definedName name="CY_Preferred_Stock" localSheetId="83">#REF!</definedName>
    <definedName name="CY_Preferred_Stock" localSheetId="59">#REF!</definedName>
    <definedName name="CY_Preferred_Stock" localSheetId="56">#REF!</definedName>
    <definedName name="CY_Preferred_Stock">#REF!</definedName>
    <definedName name="CY_QUICK_ASSETS" localSheetId="55">#REF!</definedName>
    <definedName name="CY_QUICK_ASSETS" localSheetId="70">#REF!</definedName>
    <definedName name="CY_QUICK_ASSETS" localSheetId="82">#REF!</definedName>
    <definedName name="CY_QUICK_ASSETS" localSheetId="58">#REF!</definedName>
    <definedName name="CY_QUICK_ASSETS" localSheetId="68">#REF!</definedName>
    <definedName name="CY_QUICK_ASSETS" localSheetId="78">#REF!</definedName>
    <definedName name="CY_QUICK_ASSETS" localSheetId="73">#REF!</definedName>
    <definedName name="CY_QUICK_ASSETS" localSheetId="83">#REF!</definedName>
    <definedName name="CY_QUICK_ASSETS" localSheetId="59">#REF!</definedName>
    <definedName name="CY_QUICK_ASSETS" localSheetId="56">#REF!</definedName>
    <definedName name="CY_QUICK_ASSETS">#REF!</definedName>
    <definedName name="CY_Retained_Earnings" localSheetId="55">#REF!</definedName>
    <definedName name="CY_Retained_Earnings" localSheetId="70">#REF!</definedName>
    <definedName name="CY_Retained_Earnings" localSheetId="82">#REF!</definedName>
    <definedName name="CY_Retained_Earnings" localSheetId="58">#REF!</definedName>
    <definedName name="CY_Retained_Earnings" localSheetId="68">#REF!</definedName>
    <definedName name="CY_Retained_Earnings" localSheetId="78">#REF!</definedName>
    <definedName name="CY_Retained_Earnings" localSheetId="73">#REF!</definedName>
    <definedName name="CY_Retained_Earnings" localSheetId="83">#REF!</definedName>
    <definedName name="CY_Retained_Earnings" localSheetId="59">#REF!</definedName>
    <definedName name="CY_Retained_Earnings" localSheetId="56">#REF!</definedName>
    <definedName name="CY_Retained_Earnings">#REF!</definedName>
    <definedName name="CY_Selling" localSheetId="55">#REF!</definedName>
    <definedName name="CY_Selling" localSheetId="70">#REF!</definedName>
    <definedName name="CY_Selling" localSheetId="82">#REF!</definedName>
    <definedName name="CY_Selling" localSheetId="58">#REF!</definedName>
    <definedName name="CY_Selling" localSheetId="68">#REF!</definedName>
    <definedName name="CY_Selling" localSheetId="78">#REF!</definedName>
    <definedName name="CY_Selling" localSheetId="73">#REF!</definedName>
    <definedName name="CY_Selling" localSheetId="83">#REF!</definedName>
    <definedName name="CY_Selling" localSheetId="59">#REF!</definedName>
    <definedName name="CY_Selling" localSheetId="56">#REF!</definedName>
    <definedName name="CY_Selling">#REF!</definedName>
    <definedName name="CY_Tangible_Assets" localSheetId="55">#REF!</definedName>
    <definedName name="CY_Tangible_Assets" localSheetId="70">#REF!</definedName>
    <definedName name="CY_Tangible_Assets" localSheetId="82">#REF!</definedName>
    <definedName name="CY_Tangible_Assets" localSheetId="58">#REF!</definedName>
    <definedName name="CY_Tangible_Assets" localSheetId="68">#REF!</definedName>
    <definedName name="CY_Tangible_Assets" localSheetId="78">#REF!</definedName>
    <definedName name="CY_Tangible_Assets" localSheetId="73">#REF!</definedName>
    <definedName name="CY_Tangible_Assets" localSheetId="83">#REF!</definedName>
    <definedName name="CY_Tangible_Assets" localSheetId="59">#REF!</definedName>
    <definedName name="CY_Tangible_Assets" localSheetId="56">#REF!</definedName>
    <definedName name="CY_Tangible_Assets">#REF!</definedName>
    <definedName name="CY_Tangible_Net_Worth" localSheetId="55">#REF!</definedName>
    <definedName name="CY_Tangible_Net_Worth" localSheetId="70">#REF!</definedName>
    <definedName name="CY_Tangible_Net_Worth" localSheetId="82">#REF!</definedName>
    <definedName name="CY_Tangible_Net_Worth" localSheetId="58">#REF!</definedName>
    <definedName name="CY_Tangible_Net_Worth" localSheetId="68">#REF!</definedName>
    <definedName name="CY_Tangible_Net_Worth" localSheetId="78">#REF!</definedName>
    <definedName name="CY_Tangible_Net_Worth" localSheetId="73">#REF!</definedName>
    <definedName name="CY_Tangible_Net_Worth" localSheetId="83">#REF!</definedName>
    <definedName name="CY_Tangible_Net_Worth" localSheetId="59">#REF!</definedName>
    <definedName name="CY_Tangible_Net_Worth" localSheetId="56">#REF!</definedName>
    <definedName name="CY_Tangible_Net_Worth">#REF!</definedName>
    <definedName name="CY_Taxes" localSheetId="55">#REF!</definedName>
    <definedName name="CY_Taxes" localSheetId="70">#REF!</definedName>
    <definedName name="CY_Taxes" localSheetId="82">#REF!</definedName>
    <definedName name="CY_Taxes" localSheetId="58">#REF!</definedName>
    <definedName name="CY_Taxes" localSheetId="68">#REF!</definedName>
    <definedName name="CY_Taxes" localSheetId="78">#REF!</definedName>
    <definedName name="CY_Taxes" localSheetId="73">#REF!</definedName>
    <definedName name="CY_Taxes" localSheetId="83">#REF!</definedName>
    <definedName name="CY_Taxes" localSheetId="59">#REF!</definedName>
    <definedName name="CY_Taxes" localSheetId="56">#REF!</definedName>
    <definedName name="CY_Taxes">#REF!</definedName>
    <definedName name="CY_TOTAL_ASSETS" localSheetId="55">#REF!</definedName>
    <definedName name="CY_TOTAL_ASSETS" localSheetId="70">#REF!</definedName>
    <definedName name="CY_TOTAL_ASSETS" localSheetId="82">#REF!</definedName>
    <definedName name="CY_TOTAL_ASSETS" localSheetId="58">#REF!</definedName>
    <definedName name="CY_TOTAL_ASSETS" localSheetId="68">#REF!</definedName>
    <definedName name="CY_TOTAL_ASSETS" localSheetId="78">#REF!</definedName>
    <definedName name="CY_TOTAL_ASSETS" localSheetId="73">#REF!</definedName>
    <definedName name="CY_TOTAL_ASSETS" localSheetId="83">#REF!</definedName>
    <definedName name="CY_TOTAL_ASSETS" localSheetId="59">#REF!</definedName>
    <definedName name="CY_TOTAL_ASSETS" localSheetId="56">#REF!</definedName>
    <definedName name="CY_TOTAL_ASSETS">#REF!</definedName>
    <definedName name="CY_TOTAL_CURR_ASSETS" localSheetId="55">#REF!</definedName>
    <definedName name="CY_TOTAL_CURR_ASSETS" localSheetId="70">#REF!</definedName>
    <definedName name="CY_TOTAL_CURR_ASSETS" localSheetId="82">#REF!</definedName>
    <definedName name="CY_TOTAL_CURR_ASSETS" localSheetId="58">#REF!</definedName>
    <definedName name="CY_TOTAL_CURR_ASSETS" localSheetId="68">#REF!</definedName>
    <definedName name="CY_TOTAL_CURR_ASSETS" localSheetId="78">#REF!</definedName>
    <definedName name="CY_TOTAL_CURR_ASSETS" localSheetId="73">#REF!</definedName>
    <definedName name="CY_TOTAL_CURR_ASSETS" localSheetId="83">#REF!</definedName>
    <definedName name="CY_TOTAL_CURR_ASSETS" localSheetId="59">#REF!</definedName>
    <definedName name="CY_TOTAL_CURR_ASSETS" localSheetId="56">#REF!</definedName>
    <definedName name="CY_TOTAL_CURR_ASSETS">#REF!</definedName>
    <definedName name="CY_TOTAL_DEBT" localSheetId="55">#REF!</definedName>
    <definedName name="CY_TOTAL_DEBT" localSheetId="70">#REF!</definedName>
    <definedName name="CY_TOTAL_DEBT" localSheetId="82">#REF!</definedName>
    <definedName name="CY_TOTAL_DEBT" localSheetId="58">#REF!</definedName>
    <definedName name="CY_TOTAL_DEBT" localSheetId="68">#REF!</definedName>
    <definedName name="CY_TOTAL_DEBT" localSheetId="78">#REF!</definedName>
    <definedName name="CY_TOTAL_DEBT" localSheetId="73">#REF!</definedName>
    <definedName name="CY_TOTAL_DEBT" localSheetId="83">#REF!</definedName>
    <definedName name="CY_TOTAL_DEBT" localSheetId="59">#REF!</definedName>
    <definedName name="CY_TOTAL_DEBT" localSheetId="56">#REF!</definedName>
    <definedName name="CY_TOTAL_DEBT">#REF!</definedName>
    <definedName name="CY_TOTAL_EQUITY" localSheetId="55">#REF!</definedName>
    <definedName name="CY_TOTAL_EQUITY" localSheetId="70">#REF!</definedName>
    <definedName name="CY_TOTAL_EQUITY" localSheetId="82">#REF!</definedName>
    <definedName name="CY_TOTAL_EQUITY" localSheetId="58">#REF!</definedName>
    <definedName name="CY_TOTAL_EQUITY" localSheetId="68">#REF!</definedName>
    <definedName name="CY_TOTAL_EQUITY" localSheetId="78">#REF!</definedName>
    <definedName name="CY_TOTAL_EQUITY" localSheetId="73">#REF!</definedName>
    <definedName name="CY_TOTAL_EQUITY" localSheetId="83">#REF!</definedName>
    <definedName name="CY_TOTAL_EQUITY" localSheetId="59">#REF!</definedName>
    <definedName name="CY_TOTAL_EQUITY" localSheetId="56">#REF!</definedName>
    <definedName name="CY_TOTAL_EQUITY">#REF!</definedName>
    <definedName name="CY_Working_Capital" localSheetId="55">#REF!</definedName>
    <definedName name="CY_Working_Capital" localSheetId="70">#REF!</definedName>
    <definedName name="CY_Working_Capital" localSheetId="82">#REF!</definedName>
    <definedName name="CY_Working_Capital" localSheetId="58">#REF!</definedName>
    <definedName name="CY_Working_Capital" localSheetId="68">#REF!</definedName>
    <definedName name="CY_Working_Capital" localSheetId="78">#REF!</definedName>
    <definedName name="CY_Working_Capital" localSheetId="73">#REF!</definedName>
    <definedName name="CY_Working_Capital" localSheetId="83">#REF!</definedName>
    <definedName name="CY_Working_Capital" localSheetId="59">#REF!</definedName>
    <definedName name="CY_Working_Capital" localSheetId="56">#REF!</definedName>
    <definedName name="CY_Working_Capital">#REF!</definedName>
    <definedName name="Dollar_Threshold" localSheetId="55">#REF!</definedName>
    <definedName name="Dollar_Threshold" localSheetId="70">#REF!</definedName>
    <definedName name="Dollar_Threshold" localSheetId="82">#REF!</definedName>
    <definedName name="Dollar_Threshold" localSheetId="58">#REF!</definedName>
    <definedName name="Dollar_Threshold" localSheetId="68">#REF!</definedName>
    <definedName name="Dollar_Threshold" localSheetId="78">#REF!</definedName>
    <definedName name="Dollar_Threshold" localSheetId="73">#REF!</definedName>
    <definedName name="Dollar_Threshold" localSheetId="83">#REF!</definedName>
    <definedName name="Dollar_Threshold" localSheetId="59">#REF!</definedName>
    <definedName name="Dollar_Threshold" localSheetId="56">#REF!</definedName>
    <definedName name="Dollar_Threshold">#REF!</definedName>
    <definedName name="Percent_Threshold" localSheetId="55">#REF!</definedName>
    <definedName name="Percent_Threshold" localSheetId="70">#REF!</definedName>
    <definedName name="Percent_Threshold" localSheetId="82">#REF!</definedName>
    <definedName name="Percent_Threshold" localSheetId="58">#REF!</definedName>
    <definedName name="Percent_Threshold" localSheetId="68">#REF!</definedName>
    <definedName name="Percent_Threshold" localSheetId="78">#REF!</definedName>
    <definedName name="Percent_Threshold" localSheetId="73">#REF!</definedName>
    <definedName name="Percent_Threshold" localSheetId="83">#REF!</definedName>
    <definedName name="Percent_Threshold" localSheetId="59">#REF!</definedName>
    <definedName name="Percent_Threshold" localSheetId="56">#REF!</definedName>
    <definedName name="Percent_Threshold">#REF!</definedName>
    <definedName name="PL_Dollar_Threshold" localSheetId="55">#REF!</definedName>
    <definedName name="PL_Dollar_Threshold" localSheetId="70">#REF!</definedName>
    <definedName name="PL_Dollar_Threshold" localSheetId="82">#REF!</definedName>
    <definedName name="PL_Dollar_Threshold" localSheetId="58">#REF!</definedName>
    <definedName name="PL_Dollar_Threshold" localSheetId="68">#REF!</definedName>
    <definedName name="PL_Dollar_Threshold" localSheetId="78">#REF!</definedName>
    <definedName name="PL_Dollar_Threshold" localSheetId="73">#REF!</definedName>
    <definedName name="PL_Dollar_Threshold" localSheetId="83">#REF!</definedName>
    <definedName name="PL_Dollar_Threshold" localSheetId="59">#REF!</definedName>
    <definedName name="PL_Dollar_Threshold" localSheetId="56">#REF!</definedName>
    <definedName name="PL_Dollar_Threshold">#REF!</definedName>
    <definedName name="PL_Percent_Threshold" localSheetId="55">#REF!</definedName>
    <definedName name="PL_Percent_Threshold" localSheetId="70">#REF!</definedName>
    <definedName name="PL_Percent_Threshold" localSheetId="82">#REF!</definedName>
    <definedName name="PL_Percent_Threshold" localSheetId="58">#REF!</definedName>
    <definedName name="PL_Percent_Threshold" localSheetId="68">#REF!</definedName>
    <definedName name="PL_Percent_Threshold" localSheetId="78">#REF!</definedName>
    <definedName name="PL_Percent_Threshold" localSheetId="73">#REF!</definedName>
    <definedName name="PL_Percent_Threshold" localSheetId="83">#REF!</definedName>
    <definedName name="PL_Percent_Threshold" localSheetId="59">#REF!</definedName>
    <definedName name="PL_Percent_Threshold" localSheetId="56">#REF!</definedName>
    <definedName name="PL_Percent_Threshold">#REF!</definedName>
    <definedName name="Print" localSheetId="55">#REF!</definedName>
    <definedName name="Print" localSheetId="70">#REF!</definedName>
    <definedName name="Print" localSheetId="82">#REF!</definedName>
    <definedName name="Print" localSheetId="58">#REF!</definedName>
    <definedName name="Print" localSheetId="77">#REF!</definedName>
    <definedName name="Print" localSheetId="68">#REF!</definedName>
    <definedName name="Print" localSheetId="78">#REF!</definedName>
    <definedName name="Print" localSheetId="73">#REF!</definedName>
    <definedName name="Print" localSheetId="83">#REF!</definedName>
    <definedName name="Print" localSheetId="59">#REF!</definedName>
    <definedName name="Print" localSheetId="74">#REF!</definedName>
    <definedName name="Print" localSheetId="63">#REF!</definedName>
    <definedName name="Print" localSheetId="56">#REF!</definedName>
    <definedName name="Print">#REF!</definedName>
    <definedName name="_xlnm.Print_Area" localSheetId="55">BS!$A$5:$G$162</definedName>
    <definedName name="_xlnm.Print_Area" localSheetId="80">'BS - G Statutoryo'!$A$1:$J$210</definedName>
    <definedName name="_xlnm.Print_Area" localSheetId="71">'BS- E Statutory'!$A$1:$J$210</definedName>
    <definedName name="_xlnm.Print_Area" localSheetId="61">'BS old'!$A$5:$G$142</definedName>
    <definedName name="_xlnm.Print_Area" localSheetId="69">'BS-E Cover sheet'!$A$1:$AN$53</definedName>
    <definedName name="_xlnm.Print_Area" localSheetId="70">'BS-E Statutory'!$A$1:$L$248</definedName>
    <definedName name="_xlnm.Print_Area" localSheetId="79">'BS-G Cover sheet'!$A$1:$AM$54</definedName>
    <definedName name="_xlnm.Print_Area" localSheetId="82">'BS-G Statutory'!$A$1:$L$248</definedName>
    <definedName name="_xlnm.Print_Area" localSheetId="58">'BS-SK Statutory'!$A$1:$L$248</definedName>
    <definedName name="_xlnm.Print_Area" localSheetId="64">'BS-SK Statutory old'!$A$1:$L$210</definedName>
    <definedName name="_xlnm.Print_Area" localSheetId="77">'Cash Flow (ENG)'!$A$1:$F$97</definedName>
    <definedName name="_xlnm.Print_Area" localSheetId="67">'Cash Flow SK'!$A$1:$F$101</definedName>
    <definedName name="_xlnm.Print_Area" localSheetId="68">'E_Cover sheet'!$A$1:$AK$54</definedName>
    <definedName name="_xlnm.Print_Area" localSheetId="78">'G-Cover sheet'!$A$1:$AM$55</definedName>
    <definedName name="_xlnm.Print_Area" localSheetId="72">'IS-E Cover sheet'!$A$1:$AN$53</definedName>
    <definedName name="_xlnm.Print_Area" localSheetId="73">'IS-E Statutory'!$A$1:$H$72</definedName>
    <definedName name="_xlnm.Print_Area" localSheetId="75">'IS-E Statutory m'!$A$1:$F$66</definedName>
    <definedName name="_xlnm.Print_Area" localSheetId="81">'IS-G Cover sheet'!$A$1:$AM$55</definedName>
    <definedName name="_xlnm.Print_Area" localSheetId="83">'IS-G Statutory'!$A$1:$H$66</definedName>
    <definedName name="_xlnm.Print_Area" localSheetId="66">'IS-SK Cover sheet'!$A$1:$AM$55</definedName>
    <definedName name="_xlnm.Print_Area" localSheetId="59">'IS-SK Statutory '!$A$1:$H$66</definedName>
    <definedName name="_xlnm.Print_Area" localSheetId="65">'IS-SK Statutoryold '!$A$1:$F$66</definedName>
    <definedName name="_xlnm.Print_Area" localSheetId="74">'Notes - E Template'!$B$2:$AH$907</definedName>
    <definedName name="_xlnm.Print_Area" localSheetId="60">'Notes- SK Template'!$A$2:$AH$921</definedName>
    <definedName name="_xlnm.Print_Area" localSheetId="76">'Notes-E Cover sheet'!$A$1:$AK$55</definedName>
    <definedName name="_xlnm.Print_Area" localSheetId="63">'Notes-SK Cover sheet'!$A$1:$AK$55</definedName>
    <definedName name="_xlnm.Print_Area" localSheetId="56">'P&amp;L'!$A$4:$F$68</definedName>
    <definedName name="_xlnm.Print_Area" localSheetId="62">'P&amp;L old'!$A$4:$E$68</definedName>
    <definedName name="_xlnm.Print_Area" localSheetId="57">'SK Cover sheet'!$A$1:$AM$54</definedName>
    <definedName name="_xlnm.Print_Area">#REF!</definedName>
    <definedName name="Print_Area_ENG" localSheetId="55">#REF!</definedName>
    <definedName name="Print_Area_ENG" localSheetId="70">#REF!</definedName>
    <definedName name="Print_Area_ENG" localSheetId="82">#REF!</definedName>
    <definedName name="Print_Area_ENG" localSheetId="58">#REF!</definedName>
    <definedName name="Print_Area_ENG" localSheetId="77">#REF!</definedName>
    <definedName name="Print_Area_ENG" localSheetId="68">#REF!</definedName>
    <definedName name="Print_Area_ENG" localSheetId="78">#REF!</definedName>
    <definedName name="Print_Area_ENG" localSheetId="73">#REF!</definedName>
    <definedName name="Print_Area_ENG" localSheetId="83">#REF!</definedName>
    <definedName name="Print_Area_ENG" localSheetId="59">#REF!</definedName>
    <definedName name="Print_Area_ENG" localSheetId="56">#REF!</definedName>
    <definedName name="Print_Area_ENG">#REF!</definedName>
    <definedName name="_xlnm.Print_Titles" localSheetId="80">'BS - G Statutoryo'!$1:$3</definedName>
    <definedName name="_xlnm.Print_Titles" localSheetId="71">'BS- E Statutory'!$1:$3</definedName>
    <definedName name="_xlnm.Print_Titles" localSheetId="70">'BS-E Statutory'!$1:$3</definedName>
    <definedName name="_xlnm.Print_Titles" localSheetId="82">'BS-G Statutory'!$1:$3</definedName>
    <definedName name="_xlnm.Print_Titles" localSheetId="58">'BS-SK Statutory'!$1:$3</definedName>
    <definedName name="_xlnm.Print_Titles" localSheetId="64">'BS-SK Statutory old'!$1:$3</definedName>
    <definedName name="_xlnm.Print_Titles" localSheetId="77">'Cash Flow (ENG)'!$3:$5</definedName>
    <definedName name="_xlnm.Print_Titles" localSheetId="67">'Cash Flow SK'!$7:$9</definedName>
    <definedName name="_xlnm.Print_Titles" localSheetId="73">'IS-E Statutory'!$1:$5</definedName>
    <definedName name="_xlnm.Print_Titles" localSheetId="75">'IS-E Statutory m'!$1:$5</definedName>
    <definedName name="_xlnm.Print_Titles" localSheetId="83">'IS-G Statutory'!$1:$5</definedName>
    <definedName name="_xlnm.Print_Titles" localSheetId="59">'IS-SK Statutory '!$1:$5</definedName>
    <definedName name="_xlnm.Print_Titles" localSheetId="65">'IS-SK Statutoryold '!$1:$5</definedName>
    <definedName name="_xlnm.Print_Titles" localSheetId="74">'Notes - E Template'!$2:$6</definedName>
    <definedName name="_xlnm.Print_Titles" localSheetId="60">'Notes- SK Template'!$2:$6</definedName>
    <definedName name="PY_Accounts_Receivable" localSheetId="55">#REF!</definedName>
    <definedName name="PY_Accounts_Receivable" localSheetId="70">#REF!</definedName>
    <definedName name="PY_Accounts_Receivable" localSheetId="82">#REF!</definedName>
    <definedName name="PY_Accounts_Receivable" localSheetId="58">#REF!</definedName>
    <definedName name="PY_Accounts_Receivable" localSheetId="68">#REF!</definedName>
    <definedName name="PY_Accounts_Receivable" localSheetId="78">#REF!</definedName>
    <definedName name="PY_Accounts_Receivable" localSheetId="73">#REF!</definedName>
    <definedName name="PY_Accounts_Receivable" localSheetId="83">#REF!</definedName>
    <definedName name="PY_Accounts_Receivable" localSheetId="59">#REF!</definedName>
    <definedName name="PY_Accounts_Receivable" localSheetId="56">#REF!</definedName>
    <definedName name="PY_Accounts_Receivable">#REF!</definedName>
    <definedName name="PY_Administration" localSheetId="55">#REF!</definedName>
    <definedName name="PY_Administration" localSheetId="70">#REF!</definedName>
    <definedName name="PY_Administration" localSheetId="82">#REF!</definedName>
    <definedName name="PY_Administration" localSheetId="58">#REF!</definedName>
    <definedName name="PY_Administration" localSheetId="68">#REF!</definedName>
    <definedName name="PY_Administration" localSheetId="78">#REF!</definedName>
    <definedName name="PY_Administration" localSheetId="73">#REF!</definedName>
    <definedName name="PY_Administration" localSheetId="83">#REF!</definedName>
    <definedName name="PY_Administration" localSheetId="59">#REF!</definedName>
    <definedName name="PY_Administration" localSheetId="56">#REF!</definedName>
    <definedName name="PY_Administration">#REF!</definedName>
    <definedName name="PY_Cash" localSheetId="55">#REF!</definedName>
    <definedName name="PY_Cash" localSheetId="70">#REF!</definedName>
    <definedName name="PY_Cash" localSheetId="82">#REF!</definedName>
    <definedName name="PY_Cash" localSheetId="58">#REF!</definedName>
    <definedName name="PY_Cash" localSheetId="68">#REF!</definedName>
    <definedName name="PY_Cash" localSheetId="78">#REF!</definedName>
    <definedName name="PY_Cash" localSheetId="73">#REF!</definedName>
    <definedName name="PY_Cash" localSheetId="83">#REF!</definedName>
    <definedName name="PY_Cash" localSheetId="59">#REF!</definedName>
    <definedName name="PY_Cash" localSheetId="56">#REF!</definedName>
    <definedName name="PY_Cash">#REF!</definedName>
    <definedName name="PY_Common_Equity" localSheetId="55">#REF!</definedName>
    <definedName name="PY_Common_Equity" localSheetId="70">#REF!</definedName>
    <definedName name="PY_Common_Equity" localSheetId="82">#REF!</definedName>
    <definedName name="PY_Common_Equity" localSheetId="58">#REF!</definedName>
    <definedName name="PY_Common_Equity" localSheetId="68">#REF!</definedName>
    <definedName name="PY_Common_Equity" localSheetId="78">#REF!</definedName>
    <definedName name="PY_Common_Equity" localSheetId="73">#REF!</definedName>
    <definedName name="PY_Common_Equity" localSheetId="83">#REF!</definedName>
    <definedName name="PY_Common_Equity" localSheetId="59">#REF!</definedName>
    <definedName name="PY_Common_Equity" localSheetId="56">#REF!</definedName>
    <definedName name="PY_Common_Equity">#REF!</definedName>
    <definedName name="PY_Cost_of_Sales" localSheetId="55">#REF!</definedName>
    <definedName name="PY_Cost_of_Sales" localSheetId="70">#REF!</definedName>
    <definedName name="PY_Cost_of_Sales" localSheetId="82">#REF!</definedName>
    <definedName name="PY_Cost_of_Sales" localSheetId="58">#REF!</definedName>
    <definedName name="PY_Cost_of_Sales" localSheetId="68">#REF!</definedName>
    <definedName name="PY_Cost_of_Sales" localSheetId="78">#REF!</definedName>
    <definedName name="PY_Cost_of_Sales" localSheetId="73">#REF!</definedName>
    <definedName name="PY_Cost_of_Sales" localSheetId="83">#REF!</definedName>
    <definedName name="PY_Cost_of_Sales" localSheetId="59">#REF!</definedName>
    <definedName name="PY_Cost_of_Sales" localSheetId="56">#REF!</definedName>
    <definedName name="PY_Cost_of_Sales">#REF!</definedName>
    <definedName name="PY_Current_Liabilities" localSheetId="55">#REF!</definedName>
    <definedName name="PY_Current_Liabilities" localSheetId="70">#REF!</definedName>
    <definedName name="PY_Current_Liabilities" localSheetId="82">#REF!</definedName>
    <definedName name="PY_Current_Liabilities" localSheetId="58">#REF!</definedName>
    <definedName name="PY_Current_Liabilities" localSheetId="68">#REF!</definedName>
    <definedName name="PY_Current_Liabilities" localSheetId="78">#REF!</definedName>
    <definedName name="PY_Current_Liabilities" localSheetId="73">#REF!</definedName>
    <definedName name="PY_Current_Liabilities" localSheetId="83">#REF!</definedName>
    <definedName name="PY_Current_Liabilities" localSheetId="59">#REF!</definedName>
    <definedName name="PY_Current_Liabilities" localSheetId="56">#REF!</definedName>
    <definedName name="PY_Current_Liabilities">#REF!</definedName>
    <definedName name="PY_Depreciation" localSheetId="55">#REF!</definedName>
    <definedName name="PY_Depreciation" localSheetId="70">#REF!</definedName>
    <definedName name="PY_Depreciation" localSheetId="82">#REF!</definedName>
    <definedName name="PY_Depreciation" localSheetId="58">#REF!</definedName>
    <definedName name="PY_Depreciation" localSheetId="68">#REF!</definedName>
    <definedName name="PY_Depreciation" localSheetId="78">#REF!</definedName>
    <definedName name="PY_Depreciation" localSheetId="73">#REF!</definedName>
    <definedName name="PY_Depreciation" localSheetId="83">#REF!</definedName>
    <definedName name="PY_Depreciation" localSheetId="59">#REF!</definedName>
    <definedName name="PY_Depreciation" localSheetId="56">#REF!</definedName>
    <definedName name="PY_Depreciation">#REF!</definedName>
    <definedName name="PY_Gross_Profit" localSheetId="55">#REF!</definedName>
    <definedName name="PY_Gross_Profit" localSheetId="70">#REF!</definedName>
    <definedName name="PY_Gross_Profit" localSheetId="82">#REF!</definedName>
    <definedName name="PY_Gross_Profit" localSheetId="58">#REF!</definedName>
    <definedName name="PY_Gross_Profit" localSheetId="68">#REF!</definedName>
    <definedName name="PY_Gross_Profit" localSheetId="78">#REF!</definedName>
    <definedName name="PY_Gross_Profit" localSheetId="73">#REF!</definedName>
    <definedName name="PY_Gross_Profit" localSheetId="83">#REF!</definedName>
    <definedName name="PY_Gross_Profit" localSheetId="59">#REF!</definedName>
    <definedName name="PY_Gross_Profit" localSheetId="56">#REF!</definedName>
    <definedName name="PY_Gross_Profit">#REF!</definedName>
    <definedName name="PY_Inc_Bef_Tax" localSheetId="55">#REF!</definedName>
    <definedName name="PY_Inc_Bef_Tax" localSheetId="70">#REF!</definedName>
    <definedName name="PY_Inc_Bef_Tax" localSheetId="82">#REF!</definedName>
    <definedName name="PY_Inc_Bef_Tax" localSheetId="58">#REF!</definedName>
    <definedName name="PY_Inc_Bef_Tax" localSheetId="68">#REF!</definedName>
    <definedName name="PY_Inc_Bef_Tax" localSheetId="78">#REF!</definedName>
    <definedName name="PY_Inc_Bef_Tax" localSheetId="73">#REF!</definedName>
    <definedName name="PY_Inc_Bef_Tax" localSheetId="83">#REF!</definedName>
    <definedName name="PY_Inc_Bef_Tax" localSheetId="59">#REF!</definedName>
    <definedName name="PY_Inc_Bef_Tax" localSheetId="56">#REF!</definedName>
    <definedName name="PY_Inc_Bef_Tax">#REF!</definedName>
    <definedName name="PY_Intangible_Assets" localSheetId="55">#REF!</definedName>
    <definedName name="PY_Intangible_Assets" localSheetId="70">#REF!</definedName>
    <definedName name="PY_Intangible_Assets" localSheetId="82">#REF!</definedName>
    <definedName name="PY_Intangible_Assets" localSheetId="58">#REF!</definedName>
    <definedName name="PY_Intangible_Assets" localSheetId="68">#REF!</definedName>
    <definedName name="PY_Intangible_Assets" localSheetId="78">#REF!</definedName>
    <definedName name="PY_Intangible_Assets" localSheetId="73">#REF!</definedName>
    <definedName name="PY_Intangible_Assets" localSheetId="83">#REF!</definedName>
    <definedName name="PY_Intangible_Assets" localSheetId="59">#REF!</definedName>
    <definedName name="PY_Intangible_Assets" localSheetId="56">#REF!</definedName>
    <definedName name="PY_Intangible_Assets">#REF!</definedName>
    <definedName name="PY_Interest_Expense" localSheetId="55">#REF!</definedName>
    <definedName name="PY_Interest_Expense" localSheetId="70">#REF!</definedName>
    <definedName name="PY_Interest_Expense" localSheetId="82">#REF!</definedName>
    <definedName name="PY_Interest_Expense" localSheetId="58">#REF!</definedName>
    <definedName name="PY_Interest_Expense" localSheetId="68">#REF!</definedName>
    <definedName name="PY_Interest_Expense" localSheetId="78">#REF!</definedName>
    <definedName name="PY_Interest_Expense" localSheetId="73">#REF!</definedName>
    <definedName name="PY_Interest_Expense" localSheetId="83">#REF!</definedName>
    <definedName name="PY_Interest_Expense" localSheetId="59">#REF!</definedName>
    <definedName name="PY_Interest_Expense" localSheetId="56">#REF!</definedName>
    <definedName name="PY_Interest_Expense">#REF!</definedName>
    <definedName name="PY_Inventory" localSheetId="55">#REF!</definedName>
    <definedName name="PY_Inventory" localSheetId="70">#REF!</definedName>
    <definedName name="PY_Inventory" localSheetId="82">#REF!</definedName>
    <definedName name="PY_Inventory" localSheetId="58">#REF!</definedName>
    <definedName name="PY_Inventory" localSheetId="68">#REF!</definedName>
    <definedName name="PY_Inventory" localSheetId="78">#REF!</definedName>
    <definedName name="PY_Inventory" localSheetId="73">#REF!</definedName>
    <definedName name="PY_Inventory" localSheetId="83">#REF!</definedName>
    <definedName name="PY_Inventory" localSheetId="59">#REF!</definedName>
    <definedName name="PY_Inventory" localSheetId="56">#REF!</definedName>
    <definedName name="PY_Inventory">#REF!</definedName>
    <definedName name="PY_LIABIL_EQUITY" localSheetId="55">#REF!</definedName>
    <definedName name="PY_LIABIL_EQUITY" localSheetId="70">#REF!</definedName>
    <definedName name="PY_LIABIL_EQUITY" localSheetId="82">#REF!</definedName>
    <definedName name="PY_LIABIL_EQUITY" localSheetId="58">#REF!</definedName>
    <definedName name="PY_LIABIL_EQUITY" localSheetId="68">#REF!</definedName>
    <definedName name="PY_LIABIL_EQUITY" localSheetId="78">#REF!</definedName>
    <definedName name="PY_LIABIL_EQUITY" localSheetId="73">#REF!</definedName>
    <definedName name="PY_LIABIL_EQUITY" localSheetId="83">#REF!</definedName>
    <definedName name="PY_LIABIL_EQUITY" localSheetId="59">#REF!</definedName>
    <definedName name="PY_LIABIL_EQUITY" localSheetId="56">#REF!</definedName>
    <definedName name="PY_LIABIL_EQUITY">#REF!</definedName>
    <definedName name="PY_LT_Debt" localSheetId="55">#REF!</definedName>
    <definedName name="PY_LT_Debt" localSheetId="70">#REF!</definedName>
    <definedName name="PY_LT_Debt" localSheetId="82">#REF!</definedName>
    <definedName name="PY_LT_Debt" localSheetId="58">#REF!</definedName>
    <definedName name="PY_LT_Debt" localSheetId="68">#REF!</definedName>
    <definedName name="PY_LT_Debt" localSheetId="78">#REF!</definedName>
    <definedName name="PY_LT_Debt" localSheetId="73">#REF!</definedName>
    <definedName name="PY_LT_Debt" localSheetId="83">#REF!</definedName>
    <definedName name="PY_LT_Debt" localSheetId="59">#REF!</definedName>
    <definedName name="PY_LT_Debt" localSheetId="56">#REF!</definedName>
    <definedName name="PY_LT_Debt">#REF!</definedName>
    <definedName name="PY_Market_Value_of_Equity" localSheetId="55">#REF!</definedName>
    <definedName name="PY_Market_Value_of_Equity" localSheetId="70">#REF!</definedName>
    <definedName name="PY_Market_Value_of_Equity" localSheetId="82">#REF!</definedName>
    <definedName name="PY_Market_Value_of_Equity" localSheetId="58">#REF!</definedName>
    <definedName name="PY_Market_Value_of_Equity" localSheetId="68">#REF!</definedName>
    <definedName name="PY_Market_Value_of_Equity" localSheetId="78">#REF!</definedName>
    <definedName name="PY_Market_Value_of_Equity" localSheetId="73">#REF!</definedName>
    <definedName name="PY_Market_Value_of_Equity" localSheetId="83">#REF!</definedName>
    <definedName name="PY_Market_Value_of_Equity" localSheetId="59">#REF!</definedName>
    <definedName name="PY_Market_Value_of_Equity" localSheetId="56">#REF!</definedName>
    <definedName name="PY_Market_Value_of_Equity">#REF!</definedName>
    <definedName name="PY_Marketable_Sec" localSheetId="55">#REF!</definedName>
    <definedName name="PY_Marketable_Sec" localSheetId="70">#REF!</definedName>
    <definedName name="PY_Marketable_Sec" localSheetId="82">#REF!</definedName>
    <definedName name="PY_Marketable_Sec" localSheetId="58">#REF!</definedName>
    <definedName name="PY_Marketable_Sec" localSheetId="68">#REF!</definedName>
    <definedName name="PY_Marketable_Sec" localSheetId="78">#REF!</definedName>
    <definedName name="PY_Marketable_Sec" localSheetId="73">#REF!</definedName>
    <definedName name="PY_Marketable_Sec" localSheetId="83">#REF!</definedName>
    <definedName name="PY_Marketable_Sec" localSheetId="59">#REF!</definedName>
    <definedName name="PY_Marketable_Sec" localSheetId="56">#REF!</definedName>
    <definedName name="PY_Marketable_Sec">#REF!</definedName>
    <definedName name="PY_NET_PROFIT" localSheetId="55">#REF!</definedName>
    <definedName name="PY_NET_PROFIT" localSheetId="70">#REF!</definedName>
    <definedName name="PY_NET_PROFIT" localSheetId="82">#REF!</definedName>
    <definedName name="PY_NET_PROFIT" localSheetId="58">#REF!</definedName>
    <definedName name="PY_NET_PROFIT" localSheetId="68">#REF!</definedName>
    <definedName name="PY_NET_PROFIT" localSheetId="78">#REF!</definedName>
    <definedName name="PY_NET_PROFIT" localSheetId="73">#REF!</definedName>
    <definedName name="PY_NET_PROFIT" localSheetId="83">#REF!</definedName>
    <definedName name="PY_NET_PROFIT" localSheetId="59">#REF!</definedName>
    <definedName name="PY_NET_PROFIT" localSheetId="56">#REF!</definedName>
    <definedName name="PY_NET_PROFIT">#REF!</definedName>
    <definedName name="PY_Net_Revenue" localSheetId="55">#REF!</definedName>
    <definedName name="PY_Net_Revenue" localSheetId="70">#REF!</definedName>
    <definedName name="PY_Net_Revenue" localSheetId="82">#REF!</definedName>
    <definedName name="PY_Net_Revenue" localSheetId="58">#REF!</definedName>
    <definedName name="PY_Net_Revenue" localSheetId="68">#REF!</definedName>
    <definedName name="PY_Net_Revenue" localSheetId="78">#REF!</definedName>
    <definedName name="PY_Net_Revenue" localSheetId="73">#REF!</definedName>
    <definedName name="PY_Net_Revenue" localSheetId="83">#REF!</definedName>
    <definedName name="PY_Net_Revenue" localSheetId="59">#REF!</definedName>
    <definedName name="PY_Net_Revenue" localSheetId="56">#REF!</definedName>
    <definedName name="PY_Net_Revenue">#REF!</definedName>
    <definedName name="PY_Operating_Inc" localSheetId="55">#REF!</definedName>
    <definedName name="PY_Operating_Inc" localSheetId="70">#REF!</definedName>
    <definedName name="PY_Operating_Inc" localSheetId="82">#REF!</definedName>
    <definedName name="PY_Operating_Inc" localSheetId="58">#REF!</definedName>
    <definedName name="PY_Operating_Inc" localSheetId="68">#REF!</definedName>
    <definedName name="PY_Operating_Inc" localSheetId="78">#REF!</definedName>
    <definedName name="PY_Operating_Inc" localSheetId="73">#REF!</definedName>
    <definedName name="PY_Operating_Inc" localSheetId="83">#REF!</definedName>
    <definedName name="PY_Operating_Inc" localSheetId="59">#REF!</definedName>
    <definedName name="PY_Operating_Inc" localSheetId="56">#REF!</definedName>
    <definedName name="PY_Operating_Inc">#REF!</definedName>
    <definedName name="PY_Operating_Income" localSheetId="55">#REF!</definedName>
    <definedName name="PY_Operating_Income" localSheetId="70">#REF!</definedName>
    <definedName name="PY_Operating_Income" localSheetId="82">#REF!</definedName>
    <definedName name="PY_Operating_Income" localSheetId="58">#REF!</definedName>
    <definedName name="PY_Operating_Income" localSheetId="68">#REF!</definedName>
    <definedName name="PY_Operating_Income" localSheetId="78">#REF!</definedName>
    <definedName name="PY_Operating_Income" localSheetId="73">#REF!</definedName>
    <definedName name="PY_Operating_Income" localSheetId="83">#REF!</definedName>
    <definedName name="PY_Operating_Income" localSheetId="59">#REF!</definedName>
    <definedName name="PY_Operating_Income" localSheetId="56">#REF!</definedName>
    <definedName name="PY_Operating_Income">#REF!</definedName>
    <definedName name="PY_Other_Curr_Assets" localSheetId="55">#REF!</definedName>
    <definedName name="PY_Other_Curr_Assets" localSheetId="70">#REF!</definedName>
    <definedName name="PY_Other_Curr_Assets" localSheetId="82">#REF!</definedName>
    <definedName name="PY_Other_Curr_Assets" localSheetId="58">#REF!</definedName>
    <definedName name="PY_Other_Curr_Assets" localSheetId="68">#REF!</definedName>
    <definedName name="PY_Other_Curr_Assets" localSheetId="78">#REF!</definedName>
    <definedName name="PY_Other_Curr_Assets" localSheetId="73">#REF!</definedName>
    <definedName name="PY_Other_Curr_Assets" localSheetId="83">#REF!</definedName>
    <definedName name="PY_Other_Curr_Assets" localSheetId="59">#REF!</definedName>
    <definedName name="PY_Other_Curr_Assets" localSheetId="56">#REF!</definedName>
    <definedName name="PY_Other_Curr_Assets">#REF!</definedName>
    <definedName name="PY_Other_Exp" localSheetId="55">#REF!</definedName>
    <definedName name="PY_Other_Exp" localSheetId="70">#REF!</definedName>
    <definedName name="PY_Other_Exp" localSheetId="82">#REF!</definedName>
    <definedName name="PY_Other_Exp" localSheetId="58">#REF!</definedName>
    <definedName name="PY_Other_Exp" localSheetId="68">#REF!</definedName>
    <definedName name="PY_Other_Exp" localSheetId="78">#REF!</definedName>
    <definedName name="PY_Other_Exp" localSheetId="73">#REF!</definedName>
    <definedName name="PY_Other_Exp" localSheetId="83">#REF!</definedName>
    <definedName name="PY_Other_Exp" localSheetId="59">#REF!</definedName>
    <definedName name="PY_Other_Exp" localSheetId="56">#REF!</definedName>
    <definedName name="PY_Other_Exp">#REF!</definedName>
    <definedName name="PY_Other_LT_Assets" localSheetId="55">#REF!</definedName>
    <definedName name="PY_Other_LT_Assets" localSheetId="70">#REF!</definedName>
    <definedName name="PY_Other_LT_Assets" localSheetId="82">#REF!</definedName>
    <definedName name="PY_Other_LT_Assets" localSheetId="58">#REF!</definedName>
    <definedName name="PY_Other_LT_Assets" localSheetId="68">#REF!</definedName>
    <definedName name="PY_Other_LT_Assets" localSheetId="78">#REF!</definedName>
    <definedName name="PY_Other_LT_Assets" localSheetId="73">#REF!</definedName>
    <definedName name="PY_Other_LT_Assets" localSheetId="83">#REF!</definedName>
    <definedName name="PY_Other_LT_Assets" localSheetId="59">#REF!</definedName>
    <definedName name="PY_Other_LT_Assets" localSheetId="56">#REF!</definedName>
    <definedName name="PY_Other_LT_Assets">#REF!</definedName>
    <definedName name="PY_Other_LT_Liabilities" localSheetId="55">#REF!</definedName>
    <definedName name="PY_Other_LT_Liabilities" localSheetId="70">#REF!</definedName>
    <definedName name="PY_Other_LT_Liabilities" localSheetId="82">#REF!</definedName>
    <definedName name="PY_Other_LT_Liabilities" localSheetId="58">#REF!</definedName>
    <definedName name="PY_Other_LT_Liabilities" localSheetId="68">#REF!</definedName>
    <definedName name="PY_Other_LT_Liabilities" localSheetId="78">#REF!</definedName>
    <definedName name="PY_Other_LT_Liabilities" localSheetId="73">#REF!</definedName>
    <definedName name="PY_Other_LT_Liabilities" localSheetId="83">#REF!</definedName>
    <definedName name="PY_Other_LT_Liabilities" localSheetId="59">#REF!</definedName>
    <definedName name="PY_Other_LT_Liabilities" localSheetId="56">#REF!</definedName>
    <definedName name="PY_Other_LT_Liabilities">#REF!</definedName>
    <definedName name="PY_Preferred_Stock" localSheetId="55">#REF!</definedName>
    <definedName name="PY_Preferred_Stock" localSheetId="70">#REF!</definedName>
    <definedName name="PY_Preferred_Stock" localSheetId="82">#REF!</definedName>
    <definedName name="PY_Preferred_Stock" localSheetId="58">#REF!</definedName>
    <definedName name="PY_Preferred_Stock" localSheetId="68">#REF!</definedName>
    <definedName name="PY_Preferred_Stock" localSheetId="78">#REF!</definedName>
    <definedName name="PY_Preferred_Stock" localSheetId="73">#REF!</definedName>
    <definedName name="PY_Preferred_Stock" localSheetId="83">#REF!</definedName>
    <definedName name="PY_Preferred_Stock" localSheetId="59">#REF!</definedName>
    <definedName name="PY_Preferred_Stock" localSheetId="56">#REF!</definedName>
    <definedName name="PY_Preferred_Stock">#REF!</definedName>
    <definedName name="PY_QUICK_ASSETS" localSheetId="55">#REF!</definedName>
    <definedName name="PY_QUICK_ASSETS" localSheetId="70">#REF!</definedName>
    <definedName name="PY_QUICK_ASSETS" localSheetId="82">#REF!</definedName>
    <definedName name="PY_QUICK_ASSETS" localSheetId="58">#REF!</definedName>
    <definedName name="PY_QUICK_ASSETS" localSheetId="68">#REF!</definedName>
    <definedName name="PY_QUICK_ASSETS" localSheetId="78">#REF!</definedName>
    <definedName name="PY_QUICK_ASSETS" localSheetId="73">#REF!</definedName>
    <definedName name="PY_QUICK_ASSETS" localSheetId="83">#REF!</definedName>
    <definedName name="PY_QUICK_ASSETS" localSheetId="59">#REF!</definedName>
    <definedName name="PY_QUICK_ASSETS" localSheetId="56">#REF!</definedName>
    <definedName name="PY_QUICK_ASSETS">#REF!</definedName>
    <definedName name="PY_Retained_Earnings" localSheetId="55">#REF!</definedName>
    <definedName name="PY_Retained_Earnings" localSheetId="70">#REF!</definedName>
    <definedName name="PY_Retained_Earnings" localSheetId="82">#REF!</definedName>
    <definedName name="PY_Retained_Earnings" localSheetId="58">#REF!</definedName>
    <definedName name="PY_Retained_Earnings" localSheetId="68">#REF!</definedName>
    <definedName name="PY_Retained_Earnings" localSheetId="78">#REF!</definedName>
    <definedName name="PY_Retained_Earnings" localSheetId="73">#REF!</definedName>
    <definedName name="PY_Retained_Earnings" localSheetId="83">#REF!</definedName>
    <definedName name="PY_Retained_Earnings" localSheetId="59">#REF!</definedName>
    <definedName name="PY_Retained_Earnings" localSheetId="56">#REF!</definedName>
    <definedName name="PY_Retained_Earnings">#REF!</definedName>
    <definedName name="PY_Selling" localSheetId="55">#REF!</definedName>
    <definedName name="PY_Selling" localSheetId="70">#REF!</definedName>
    <definedName name="PY_Selling" localSheetId="82">#REF!</definedName>
    <definedName name="PY_Selling" localSheetId="58">#REF!</definedName>
    <definedName name="PY_Selling" localSheetId="68">#REF!</definedName>
    <definedName name="PY_Selling" localSheetId="78">#REF!</definedName>
    <definedName name="PY_Selling" localSheetId="73">#REF!</definedName>
    <definedName name="PY_Selling" localSheetId="83">#REF!</definedName>
    <definedName name="PY_Selling" localSheetId="59">#REF!</definedName>
    <definedName name="PY_Selling" localSheetId="56">#REF!</definedName>
    <definedName name="PY_Selling">#REF!</definedName>
    <definedName name="PY_Tangible_Assets" localSheetId="55">#REF!</definedName>
    <definedName name="PY_Tangible_Assets" localSheetId="70">#REF!</definedName>
    <definedName name="PY_Tangible_Assets" localSheetId="82">#REF!</definedName>
    <definedName name="PY_Tangible_Assets" localSheetId="58">#REF!</definedName>
    <definedName name="PY_Tangible_Assets" localSheetId="68">#REF!</definedName>
    <definedName name="PY_Tangible_Assets" localSheetId="78">#REF!</definedName>
    <definedName name="PY_Tangible_Assets" localSheetId="73">#REF!</definedName>
    <definedName name="PY_Tangible_Assets" localSheetId="83">#REF!</definedName>
    <definedName name="PY_Tangible_Assets" localSheetId="59">#REF!</definedName>
    <definedName name="PY_Tangible_Assets" localSheetId="56">#REF!</definedName>
    <definedName name="PY_Tangible_Assets">#REF!</definedName>
    <definedName name="PY_Tangible_Net_Worth" localSheetId="55">#REF!</definedName>
    <definedName name="PY_Tangible_Net_Worth" localSheetId="70">#REF!</definedName>
    <definedName name="PY_Tangible_Net_Worth" localSheetId="82">#REF!</definedName>
    <definedName name="PY_Tangible_Net_Worth" localSheetId="58">#REF!</definedName>
    <definedName name="PY_Tangible_Net_Worth" localSheetId="68">#REF!</definedName>
    <definedName name="PY_Tangible_Net_Worth" localSheetId="78">#REF!</definedName>
    <definedName name="PY_Tangible_Net_Worth" localSheetId="73">#REF!</definedName>
    <definedName name="PY_Tangible_Net_Worth" localSheetId="83">#REF!</definedName>
    <definedName name="PY_Tangible_Net_Worth" localSheetId="59">#REF!</definedName>
    <definedName name="PY_Tangible_Net_Worth" localSheetId="56">#REF!</definedName>
    <definedName name="PY_Tangible_Net_Worth">#REF!</definedName>
    <definedName name="PY_Taxes" localSheetId="55">#REF!</definedName>
    <definedName name="PY_Taxes" localSheetId="70">#REF!</definedName>
    <definedName name="PY_Taxes" localSheetId="82">#REF!</definedName>
    <definedName name="PY_Taxes" localSheetId="58">#REF!</definedName>
    <definedName name="PY_Taxes" localSheetId="68">#REF!</definedName>
    <definedName name="PY_Taxes" localSheetId="78">#REF!</definedName>
    <definedName name="PY_Taxes" localSheetId="73">#REF!</definedName>
    <definedName name="PY_Taxes" localSheetId="83">#REF!</definedName>
    <definedName name="PY_Taxes" localSheetId="59">#REF!</definedName>
    <definedName name="PY_Taxes" localSheetId="56">#REF!</definedName>
    <definedName name="PY_Taxes">#REF!</definedName>
    <definedName name="PY_TOTAL_ASSETS" localSheetId="55">#REF!</definedName>
    <definedName name="PY_TOTAL_ASSETS" localSheetId="70">#REF!</definedName>
    <definedName name="PY_TOTAL_ASSETS" localSheetId="82">#REF!</definedName>
    <definedName name="PY_TOTAL_ASSETS" localSheetId="58">#REF!</definedName>
    <definedName name="PY_TOTAL_ASSETS" localSheetId="68">#REF!</definedName>
    <definedName name="PY_TOTAL_ASSETS" localSheetId="78">#REF!</definedName>
    <definedName name="PY_TOTAL_ASSETS" localSheetId="73">#REF!</definedName>
    <definedName name="PY_TOTAL_ASSETS" localSheetId="83">#REF!</definedName>
    <definedName name="PY_TOTAL_ASSETS" localSheetId="59">#REF!</definedName>
    <definedName name="PY_TOTAL_ASSETS" localSheetId="56">#REF!</definedName>
    <definedName name="PY_TOTAL_ASSETS">#REF!</definedName>
    <definedName name="PY_TOTAL_CURR_ASSETS" localSheetId="55">#REF!</definedName>
    <definedName name="PY_TOTAL_CURR_ASSETS" localSheetId="70">#REF!</definedName>
    <definedName name="PY_TOTAL_CURR_ASSETS" localSheetId="82">#REF!</definedName>
    <definedName name="PY_TOTAL_CURR_ASSETS" localSheetId="58">#REF!</definedName>
    <definedName name="PY_TOTAL_CURR_ASSETS" localSheetId="68">#REF!</definedName>
    <definedName name="PY_TOTAL_CURR_ASSETS" localSheetId="78">#REF!</definedName>
    <definedName name="PY_TOTAL_CURR_ASSETS" localSheetId="73">#REF!</definedName>
    <definedName name="PY_TOTAL_CURR_ASSETS" localSheetId="83">#REF!</definedName>
    <definedName name="PY_TOTAL_CURR_ASSETS" localSheetId="59">#REF!</definedName>
    <definedName name="PY_TOTAL_CURR_ASSETS" localSheetId="56">#REF!</definedName>
    <definedName name="PY_TOTAL_CURR_ASSETS">#REF!</definedName>
    <definedName name="PY_TOTAL_DEBT" localSheetId="55">#REF!</definedName>
    <definedName name="PY_TOTAL_DEBT" localSheetId="70">#REF!</definedName>
    <definedName name="PY_TOTAL_DEBT" localSheetId="82">#REF!</definedName>
    <definedName name="PY_TOTAL_DEBT" localSheetId="58">#REF!</definedName>
    <definedName name="PY_TOTAL_DEBT" localSheetId="68">#REF!</definedName>
    <definedName name="PY_TOTAL_DEBT" localSheetId="78">#REF!</definedName>
    <definedName name="PY_TOTAL_DEBT" localSheetId="73">#REF!</definedName>
    <definedName name="PY_TOTAL_DEBT" localSheetId="83">#REF!</definedName>
    <definedName name="PY_TOTAL_DEBT" localSheetId="59">#REF!</definedName>
    <definedName name="PY_TOTAL_DEBT" localSheetId="56">#REF!</definedName>
    <definedName name="PY_TOTAL_DEBT">#REF!</definedName>
    <definedName name="PY_TOTAL_EQUITY" localSheetId="55">#REF!</definedName>
    <definedName name="PY_TOTAL_EQUITY" localSheetId="70">#REF!</definedName>
    <definedName name="PY_TOTAL_EQUITY" localSheetId="82">#REF!</definedName>
    <definedName name="PY_TOTAL_EQUITY" localSheetId="58">#REF!</definedName>
    <definedName name="PY_TOTAL_EQUITY" localSheetId="68">#REF!</definedName>
    <definedName name="PY_TOTAL_EQUITY" localSheetId="78">#REF!</definedName>
    <definedName name="PY_TOTAL_EQUITY" localSheetId="73">#REF!</definedName>
    <definedName name="PY_TOTAL_EQUITY" localSheetId="83">#REF!</definedName>
    <definedName name="PY_TOTAL_EQUITY" localSheetId="59">#REF!</definedName>
    <definedName name="PY_TOTAL_EQUITY" localSheetId="56">#REF!</definedName>
    <definedName name="PY_TOTAL_EQUITY">#REF!</definedName>
    <definedName name="PY_Working_Capital" localSheetId="55">#REF!</definedName>
    <definedName name="PY_Working_Capital" localSheetId="70">#REF!</definedName>
    <definedName name="PY_Working_Capital" localSheetId="82">#REF!</definedName>
    <definedName name="PY_Working_Capital" localSheetId="58">#REF!</definedName>
    <definedName name="PY_Working_Capital" localSheetId="68">#REF!</definedName>
    <definedName name="PY_Working_Capital" localSheetId="78">#REF!</definedName>
    <definedName name="PY_Working_Capital" localSheetId="73">#REF!</definedName>
    <definedName name="PY_Working_Capital" localSheetId="83">#REF!</definedName>
    <definedName name="PY_Working_Capital" localSheetId="59">#REF!</definedName>
    <definedName name="PY_Working_Capital" localSheetId="56">#REF!</definedName>
    <definedName name="PY_Working_Capital">#REF!</definedName>
    <definedName name="PY2_Accounts_Receivable" localSheetId="55">#REF!</definedName>
    <definedName name="PY2_Accounts_Receivable" localSheetId="70">#REF!</definedName>
    <definedName name="PY2_Accounts_Receivable" localSheetId="82">#REF!</definedName>
    <definedName name="PY2_Accounts_Receivable" localSheetId="58">#REF!</definedName>
    <definedName name="PY2_Accounts_Receivable" localSheetId="68">#REF!</definedName>
    <definedName name="PY2_Accounts_Receivable" localSheetId="78">#REF!</definedName>
    <definedName name="PY2_Accounts_Receivable" localSheetId="73">#REF!</definedName>
    <definedName name="PY2_Accounts_Receivable" localSheetId="83">#REF!</definedName>
    <definedName name="PY2_Accounts_Receivable" localSheetId="59">#REF!</definedName>
    <definedName name="PY2_Accounts_Receivable" localSheetId="56">#REF!</definedName>
    <definedName name="PY2_Accounts_Receivable">#REF!</definedName>
    <definedName name="PY2_Administration" localSheetId="55">#REF!</definedName>
    <definedName name="PY2_Administration" localSheetId="70">#REF!</definedName>
    <definedName name="PY2_Administration" localSheetId="82">#REF!</definedName>
    <definedName name="PY2_Administration" localSheetId="58">#REF!</definedName>
    <definedName name="PY2_Administration" localSheetId="68">#REF!</definedName>
    <definedName name="PY2_Administration" localSheetId="78">#REF!</definedName>
    <definedName name="PY2_Administration" localSheetId="73">#REF!</definedName>
    <definedName name="PY2_Administration" localSheetId="83">#REF!</definedName>
    <definedName name="PY2_Administration" localSheetId="59">#REF!</definedName>
    <definedName name="PY2_Administration" localSheetId="56">#REF!</definedName>
    <definedName name="PY2_Administration">#REF!</definedName>
    <definedName name="PY2_Cash" localSheetId="55">#REF!</definedName>
    <definedName name="PY2_Cash" localSheetId="70">#REF!</definedName>
    <definedName name="PY2_Cash" localSheetId="82">#REF!</definedName>
    <definedName name="PY2_Cash" localSheetId="58">#REF!</definedName>
    <definedName name="PY2_Cash" localSheetId="68">#REF!</definedName>
    <definedName name="PY2_Cash" localSheetId="78">#REF!</definedName>
    <definedName name="PY2_Cash" localSheetId="73">#REF!</definedName>
    <definedName name="PY2_Cash" localSheetId="83">#REF!</definedName>
    <definedName name="PY2_Cash" localSheetId="59">#REF!</definedName>
    <definedName name="PY2_Cash" localSheetId="56">#REF!</definedName>
    <definedName name="PY2_Cash">#REF!</definedName>
    <definedName name="PY2_Common_Equity" localSheetId="55">#REF!</definedName>
    <definedName name="PY2_Common_Equity" localSheetId="70">#REF!</definedName>
    <definedName name="PY2_Common_Equity" localSheetId="82">#REF!</definedName>
    <definedName name="PY2_Common_Equity" localSheetId="58">#REF!</definedName>
    <definedName name="PY2_Common_Equity" localSheetId="68">#REF!</definedName>
    <definedName name="PY2_Common_Equity" localSheetId="78">#REF!</definedName>
    <definedName name="PY2_Common_Equity" localSheetId="73">#REF!</definedName>
    <definedName name="PY2_Common_Equity" localSheetId="83">#REF!</definedName>
    <definedName name="PY2_Common_Equity" localSheetId="59">#REF!</definedName>
    <definedName name="PY2_Common_Equity" localSheetId="56">#REF!</definedName>
    <definedName name="PY2_Common_Equity">#REF!</definedName>
    <definedName name="PY2_Cost_of_Sales" localSheetId="55">#REF!</definedName>
    <definedName name="PY2_Cost_of_Sales" localSheetId="70">#REF!</definedName>
    <definedName name="PY2_Cost_of_Sales" localSheetId="82">#REF!</definedName>
    <definedName name="PY2_Cost_of_Sales" localSheetId="58">#REF!</definedName>
    <definedName name="PY2_Cost_of_Sales" localSheetId="68">#REF!</definedName>
    <definedName name="PY2_Cost_of_Sales" localSheetId="78">#REF!</definedName>
    <definedName name="PY2_Cost_of_Sales" localSheetId="73">#REF!</definedName>
    <definedName name="PY2_Cost_of_Sales" localSheetId="83">#REF!</definedName>
    <definedName name="PY2_Cost_of_Sales" localSheetId="59">#REF!</definedName>
    <definedName name="PY2_Cost_of_Sales" localSheetId="56">#REF!</definedName>
    <definedName name="PY2_Cost_of_Sales">#REF!</definedName>
    <definedName name="PY2_Current_Liabilities" localSheetId="55">#REF!</definedName>
    <definedName name="PY2_Current_Liabilities" localSheetId="70">#REF!</definedName>
    <definedName name="PY2_Current_Liabilities" localSheetId="82">#REF!</definedName>
    <definedName name="PY2_Current_Liabilities" localSheetId="58">#REF!</definedName>
    <definedName name="PY2_Current_Liabilities" localSheetId="68">#REF!</definedName>
    <definedName name="PY2_Current_Liabilities" localSheetId="78">#REF!</definedName>
    <definedName name="PY2_Current_Liabilities" localSheetId="73">#REF!</definedName>
    <definedName name="PY2_Current_Liabilities" localSheetId="83">#REF!</definedName>
    <definedName name="PY2_Current_Liabilities" localSheetId="59">#REF!</definedName>
    <definedName name="PY2_Current_Liabilities" localSheetId="56">#REF!</definedName>
    <definedName name="PY2_Current_Liabilities">#REF!</definedName>
    <definedName name="PY2_Depreciation" localSheetId="55">#REF!</definedName>
    <definedName name="PY2_Depreciation" localSheetId="70">#REF!</definedName>
    <definedName name="PY2_Depreciation" localSheetId="82">#REF!</definedName>
    <definedName name="PY2_Depreciation" localSheetId="58">#REF!</definedName>
    <definedName name="PY2_Depreciation" localSheetId="68">#REF!</definedName>
    <definedName name="PY2_Depreciation" localSheetId="78">#REF!</definedName>
    <definedName name="PY2_Depreciation" localSheetId="73">#REF!</definedName>
    <definedName name="PY2_Depreciation" localSheetId="83">#REF!</definedName>
    <definedName name="PY2_Depreciation" localSheetId="59">#REF!</definedName>
    <definedName name="PY2_Depreciation" localSheetId="56">#REF!</definedName>
    <definedName name="PY2_Depreciation">#REF!</definedName>
    <definedName name="PY2_Gross_Profit" localSheetId="55">#REF!</definedName>
    <definedName name="PY2_Gross_Profit" localSheetId="70">#REF!</definedName>
    <definedName name="PY2_Gross_Profit" localSheetId="82">#REF!</definedName>
    <definedName name="PY2_Gross_Profit" localSheetId="58">#REF!</definedName>
    <definedName name="PY2_Gross_Profit" localSheetId="68">#REF!</definedName>
    <definedName name="PY2_Gross_Profit" localSheetId="78">#REF!</definedName>
    <definedName name="PY2_Gross_Profit" localSheetId="73">#REF!</definedName>
    <definedName name="PY2_Gross_Profit" localSheetId="83">#REF!</definedName>
    <definedName name="PY2_Gross_Profit" localSheetId="59">#REF!</definedName>
    <definedName name="PY2_Gross_Profit" localSheetId="56">#REF!</definedName>
    <definedName name="PY2_Gross_Profit">#REF!</definedName>
    <definedName name="PY2_Inc_Bef_Tax" localSheetId="55">#REF!</definedName>
    <definedName name="PY2_Inc_Bef_Tax" localSheetId="70">#REF!</definedName>
    <definedName name="PY2_Inc_Bef_Tax" localSheetId="82">#REF!</definedName>
    <definedName name="PY2_Inc_Bef_Tax" localSheetId="58">#REF!</definedName>
    <definedName name="PY2_Inc_Bef_Tax" localSheetId="68">#REF!</definedName>
    <definedName name="PY2_Inc_Bef_Tax" localSheetId="78">#REF!</definedName>
    <definedName name="PY2_Inc_Bef_Tax" localSheetId="73">#REF!</definedName>
    <definedName name="PY2_Inc_Bef_Tax" localSheetId="83">#REF!</definedName>
    <definedName name="PY2_Inc_Bef_Tax" localSheetId="59">#REF!</definedName>
    <definedName name="PY2_Inc_Bef_Tax" localSheetId="56">#REF!</definedName>
    <definedName name="PY2_Inc_Bef_Tax">#REF!</definedName>
    <definedName name="PY2_Intangible_Assets" localSheetId="55">#REF!</definedName>
    <definedName name="PY2_Intangible_Assets" localSheetId="70">#REF!</definedName>
    <definedName name="PY2_Intangible_Assets" localSheetId="82">#REF!</definedName>
    <definedName name="PY2_Intangible_Assets" localSheetId="58">#REF!</definedName>
    <definedName name="PY2_Intangible_Assets" localSheetId="68">#REF!</definedName>
    <definedName name="PY2_Intangible_Assets" localSheetId="78">#REF!</definedName>
    <definedName name="PY2_Intangible_Assets" localSheetId="73">#REF!</definedName>
    <definedName name="PY2_Intangible_Assets" localSheetId="83">#REF!</definedName>
    <definedName name="PY2_Intangible_Assets" localSheetId="59">#REF!</definedName>
    <definedName name="PY2_Intangible_Assets" localSheetId="56">#REF!</definedName>
    <definedName name="PY2_Intangible_Assets">#REF!</definedName>
    <definedName name="PY2_Interest_Expense" localSheetId="55">#REF!</definedName>
    <definedName name="PY2_Interest_Expense" localSheetId="70">#REF!</definedName>
    <definedName name="PY2_Interest_Expense" localSheetId="82">#REF!</definedName>
    <definedName name="PY2_Interest_Expense" localSheetId="58">#REF!</definedName>
    <definedName name="PY2_Interest_Expense" localSheetId="68">#REF!</definedName>
    <definedName name="PY2_Interest_Expense" localSheetId="78">#REF!</definedName>
    <definedName name="PY2_Interest_Expense" localSheetId="73">#REF!</definedName>
    <definedName name="PY2_Interest_Expense" localSheetId="83">#REF!</definedName>
    <definedName name="PY2_Interest_Expense" localSheetId="59">#REF!</definedName>
    <definedName name="PY2_Interest_Expense" localSheetId="56">#REF!</definedName>
    <definedName name="PY2_Interest_Expense">#REF!</definedName>
    <definedName name="PY2_Inventory" localSheetId="55">#REF!</definedName>
    <definedName name="PY2_Inventory" localSheetId="70">#REF!</definedName>
    <definedName name="PY2_Inventory" localSheetId="82">#REF!</definedName>
    <definedName name="PY2_Inventory" localSheetId="58">#REF!</definedName>
    <definedName name="PY2_Inventory" localSheetId="68">#REF!</definedName>
    <definedName name="PY2_Inventory" localSheetId="78">#REF!</definedName>
    <definedName name="PY2_Inventory" localSheetId="73">#REF!</definedName>
    <definedName name="PY2_Inventory" localSheetId="83">#REF!</definedName>
    <definedName name="PY2_Inventory" localSheetId="59">#REF!</definedName>
    <definedName name="PY2_Inventory" localSheetId="56">#REF!</definedName>
    <definedName name="PY2_Inventory">#REF!</definedName>
    <definedName name="PY2_LIABIL_EQUITY" localSheetId="55">#REF!</definedName>
    <definedName name="PY2_LIABIL_EQUITY" localSheetId="70">#REF!</definedName>
    <definedName name="PY2_LIABIL_EQUITY" localSheetId="82">#REF!</definedName>
    <definedName name="PY2_LIABIL_EQUITY" localSheetId="58">#REF!</definedName>
    <definedName name="PY2_LIABIL_EQUITY" localSheetId="68">#REF!</definedName>
    <definedName name="PY2_LIABIL_EQUITY" localSheetId="78">#REF!</definedName>
    <definedName name="PY2_LIABIL_EQUITY" localSheetId="73">#REF!</definedName>
    <definedName name="PY2_LIABIL_EQUITY" localSheetId="83">#REF!</definedName>
    <definedName name="PY2_LIABIL_EQUITY" localSheetId="59">#REF!</definedName>
    <definedName name="PY2_LIABIL_EQUITY" localSheetId="56">#REF!</definedName>
    <definedName name="PY2_LIABIL_EQUITY">#REF!</definedName>
    <definedName name="PY2_LT_Debt" localSheetId="55">#REF!</definedName>
    <definedName name="PY2_LT_Debt" localSheetId="70">#REF!</definedName>
    <definedName name="PY2_LT_Debt" localSheetId="82">#REF!</definedName>
    <definedName name="PY2_LT_Debt" localSheetId="58">#REF!</definedName>
    <definedName name="PY2_LT_Debt" localSheetId="68">#REF!</definedName>
    <definedName name="PY2_LT_Debt" localSheetId="78">#REF!</definedName>
    <definedName name="PY2_LT_Debt" localSheetId="73">#REF!</definedName>
    <definedName name="PY2_LT_Debt" localSheetId="83">#REF!</definedName>
    <definedName name="PY2_LT_Debt" localSheetId="59">#REF!</definedName>
    <definedName name="PY2_LT_Debt" localSheetId="56">#REF!</definedName>
    <definedName name="PY2_LT_Debt">#REF!</definedName>
    <definedName name="PY2_Marketable_Sec" localSheetId="55">#REF!</definedName>
    <definedName name="PY2_Marketable_Sec" localSheetId="70">#REF!</definedName>
    <definedName name="PY2_Marketable_Sec" localSheetId="82">#REF!</definedName>
    <definedName name="PY2_Marketable_Sec" localSheetId="58">#REF!</definedName>
    <definedName name="PY2_Marketable_Sec" localSheetId="68">#REF!</definedName>
    <definedName name="PY2_Marketable_Sec" localSheetId="78">#REF!</definedName>
    <definedName name="PY2_Marketable_Sec" localSheetId="73">#REF!</definedName>
    <definedName name="PY2_Marketable_Sec" localSheetId="83">#REF!</definedName>
    <definedName name="PY2_Marketable_Sec" localSheetId="59">#REF!</definedName>
    <definedName name="PY2_Marketable_Sec" localSheetId="56">#REF!</definedName>
    <definedName name="PY2_Marketable_Sec">#REF!</definedName>
    <definedName name="PY2_NET_PROFIT" localSheetId="55">#REF!</definedName>
    <definedName name="PY2_NET_PROFIT" localSheetId="70">#REF!</definedName>
    <definedName name="PY2_NET_PROFIT" localSheetId="82">#REF!</definedName>
    <definedName name="PY2_NET_PROFIT" localSheetId="58">#REF!</definedName>
    <definedName name="PY2_NET_PROFIT" localSheetId="68">#REF!</definedName>
    <definedName name="PY2_NET_PROFIT" localSheetId="78">#REF!</definedName>
    <definedName name="PY2_NET_PROFIT" localSheetId="73">#REF!</definedName>
    <definedName name="PY2_NET_PROFIT" localSheetId="83">#REF!</definedName>
    <definedName name="PY2_NET_PROFIT" localSheetId="59">#REF!</definedName>
    <definedName name="PY2_NET_PROFIT" localSheetId="56">#REF!</definedName>
    <definedName name="PY2_NET_PROFIT">#REF!</definedName>
    <definedName name="PY2_Net_Revenue" localSheetId="55">#REF!</definedName>
    <definedName name="PY2_Net_Revenue" localSheetId="70">#REF!</definedName>
    <definedName name="PY2_Net_Revenue" localSheetId="82">#REF!</definedName>
    <definedName name="PY2_Net_Revenue" localSheetId="58">#REF!</definedName>
    <definedName name="PY2_Net_Revenue" localSheetId="68">#REF!</definedName>
    <definedName name="PY2_Net_Revenue" localSheetId="78">#REF!</definedName>
    <definedName name="PY2_Net_Revenue" localSheetId="73">#REF!</definedName>
    <definedName name="PY2_Net_Revenue" localSheetId="83">#REF!</definedName>
    <definedName name="PY2_Net_Revenue" localSheetId="59">#REF!</definedName>
    <definedName name="PY2_Net_Revenue" localSheetId="56">#REF!</definedName>
    <definedName name="PY2_Net_Revenue">#REF!</definedName>
    <definedName name="PY2_Operating_Inc" localSheetId="55">#REF!</definedName>
    <definedName name="PY2_Operating_Inc" localSheetId="70">#REF!</definedName>
    <definedName name="PY2_Operating_Inc" localSheetId="82">#REF!</definedName>
    <definedName name="PY2_Operating_Inc" localSheetId="58">#REF!</definedName>
    <definedName name="PY2_Operating_Inc" localSheetId="68">#REF!</definedName>
    <definedName name="PY2_Operating_Inc" localSheetId="78">#REF!</definedName>
    <definedName name="PY2_Operating_Inc" localSheetId="73">#REF!</definedName>
    <definedName name="PY2_Operating_Inc" localSheetId="83">#REF!</definedName>
    <definedName name="PY2_Operating_Inc" localSheetId="59">#REF!</definedName>
    <definedName name="PY2_Operating_Inc" localSheetId="56">#REF!</definedName>
    <definedName name="PY2_Operating_Inc">#REF!</definedName>
    <definedName name="PY2_Operating_Income" localSheetId="55">#REF!</definedName>
    <definedName name="PY2_Operating_Income" localSheetId="70">#REF!</definedName>
    <definedName name="PY2_Operating_Income" localSheetId="82">#REF!</definedName>
    <definedName name="PY2_Operating_Income" localSheetId="58">#REF!</definedName>
    <definedName name="PY2_Operating_Income" localSheetId="68">#REF!</definedName>
    <definedName name="PY2_Operating_Income" localSheetId="78">#REF!</definedName>
    <definedName name="PY2_Operating_Income" localSheetId="73">#REF!</definedName>
    <definedName name="PY2_Operating_Income" localSheetId="83">#REF!</definedName>
    <definedName name="PY2_Operating_Income" localSheetId="59">#REF!</definedName>
    <definedName name="PY2_Operating_Income" localSheetId="56">#REF!</definedName>
    <definedName name="PY2_Operating_Income">#REF!</definedName>
    <definedName name="PY2_Other_Curr_Assets" localSheetId="55">#REF!</definedName>
    <definedName name="PY2_Other_Curr_Assets" localSheetId="70">#REF!</definedName>
    <definedName name="PY2_Other_Curr_Assets" localSheetId="82">#REF!</definedName>
    <definedName name="PY2_Other_Curr_Assets" localSheetId="58">#REF!</definedName>
    <definedName name="PY2_Other_Curr_Assets" localSheetId="68">#REF!</definedName>
    <definedName name="PY2_Other_Curr_Assets" localSheetId="78">#REF!</definedName>
    <definedName name="PY2_Other_Curr_Assets" localSheetId="73">#REF!</definedName>
    <definedName name="PY2_Other_Curr_Assets" localSheetId="83">#REF!</definedName>
    <definedName name="PY2_Other_Curr_Assets" localSheetId="59">#REF!</definedName>
    <definedName name="PY2_Other_Curr_Assets" localSheetId="56">#REF!</definedName>
    <definedName name="PY2_Other_Curr_Assets">#REF!</definedName>
    <definedName name="PY2_Other_Exp." localSheetId="55">#REF!</definedName>
    <definedName name="PY2_Other_Exp." localSheetId="70">#REF!</definedName>
    <definedName name="PY2_Other_Exp." localSheetId="82">#REF!</definedName>
    <definedName name="PY2_Other_Exp." localSheetId="58">#REF!</definedName>
    <definedName name="PY2_Other_Exp." localSheetId="68">#REF!</definedName>
    <definedName name="PY2_Other_Exp." localSheetId="78">#REF!</definedName>
    <definedName name="PY2_Other_Exp." localSheetId="73">#REF!</definedName>
    <definedName name="PY2_Other_Exp." localSheetId="83">#REF!</definedName>
    <definedName name="PY2_Other_Exp." localSheetId="59">#REF!</definedName>
    <definedName name="PY2_Other_Exp." localSheetId="56">#REF!</definedName>
    <definedName name="PY2_Other_Exp.">#REF!</definedName>
    <definedName name="PY2_Other_LT_Assets" localSheetId="55">#REF!</definedName>
    <definedName name="PY2_Other_LT_Assets" localSheetId="70">#REF!</definedName>
    <definedName name="PY2_Other_LT_Assets" localSheetId="82">#REF!</definedName>
    <definedName name="PY2_Other_LT_Assets" localSheetId="58">#REF!</definedName>
    <definedName name="PY2_Other_LT_Assets" localSheetId="68">#REF!</definedName>
    <definedName name="PY2_Other_LT_Assets" localSheetId="78">#REF!</definedName>
    <definedName name="PY2_Other_LT_Assets" localSheetId="73">#REF!</definedName>
    <definedName name="PY2_Other_LT_Assets" localSheetId="83">#REF!</definedName>
    <definedName name="PY2_Other_LT_Assets" localSheetId="59">#REF!</definedName>
    <definedName name="PY2_Other_LT_Assets" localSheetId="56">#REF!</definedName>
    <definedName name="PY2_Other_LT_Assets">#REF!</definedName>
    <definedName name="PY2_Other_LT_Liabilities" localSheetId="55">#REF!</definedName>
    <definedName name="PY2_Other_LT_Liabilities" localSheetId="70">#REF!</definedName>
    <definedName name="PY2_Other_LT_Liabilities" localSheetId="82">#REF!</definedName>
    <definedName name="PY2_Other_LT_Liabilities" localSheetId="58">#REF!</definedName>
    <definedName name="PY2_Other_LT_Liabilities" localSheetId="68">#REF!</definedName>
    <definedName name="PY2_Other_LT_Liabilities" localSheetId="78">#REF!</definedName>
    <definedName name="PY2_Other_LT_Liabilities" localSheetId="73">#REF!</definedName>
    <definedName name="PY2_Other_LT_Liabilities" localSheetId="83">#REF!</definedName>
    <definedName name="PY2_Other_LT_Liabilities" localSheetId="59">#REF!</definedName>
    <definedName name="PY2_Other_LT_Liabilities" localSheetId="56">#REF!</definedName>
    <definedName name="PY2_Other_LT_Liabilities">#REF!</definedName>
    <definedName name="PY2_Preferred_Stock" localSheetId="55">#REF!</definedName>
    <definedName name="PY2_Preferred_Stock" localSheetId="70">#REF!</definedName>
    <definedName name="PY2_Preferred_Stock" localSheetId="82">#REF!</definedName>
    <definedName name="PY2_Preferred_Stock" localSheetId="58">#REF!</definedName>
    <definedName name="PY2_Preferred_Stock" localSheetId="68">#REF!</definedName>
    <definedName name="PY2_Preferred_Stock" localSheetId="78">#REF!</definedName>
    <definedName name="PY2_Preferred_Stock" localSheetId="73">#REF!</definedName>
    <definedName name="PY2_Preferred_Stock" localSheetId="83">#REF!</definedName>
    <definedName name="PY2_Preferred_Stock" localSheetId="59">#REF!</definedName>
    <definedName name="PY2_Preferred_Stock" localSheetId="56">#REF!</definedName>
    <definedName name="PY2_Preferred_Stock">#REF!</definedName>
    <definedName name="PY2_QUICK_ASSETS" localSheetId="55">#REF!</definedName>
    <definedName name="PY2_QUICK_ASSETS" localSheetId="70">#REF!</definedName>
    <definedName name="PY2_QUICK_ASSETS" localSheetId="82">#REF!</definedName>
    <definedName name="PY2_QUICK_ASSETS" localSheetId="58">#REF!</definedName>
    <definedName name="PY2_QUICK_ASSETS" localSheetId="68">#REF!</definedName>
    <definedName name="PY2_QUICK_ASSETS" localSheetId="78">#REF!</definedName>
    <definedName name="PY2_QUICK_ASSETS" localSheetId="73">#REF!</definedName>
    <definedName name="PY2_QUICK_ASSETS" localSheetId="83">#REF!</definedName>
    <definedName name="PY2_QUICK_ASSETS" localSheetId="59">#REF!</definedName>
    <definedName name="PY2_QUICK_ASSETS" localSheetId="56">#REF!</definedName>
    <definedName name="PY2_QUICK_ASSETS">#REF!</definedName>
    <definedName name="PY2_Retained_Earnings" localSheetId="55">#REF!</definedName>
    <definedName name="PY2_Retained_Earnings" localSheetId="70">#REF!</definedName>
    <definedName name="PY2_Retained_Earnings" localSheetId="82">#REF!</definedName>
    <definedName name="PY2_Retained_Earnings" localSheetId="58">#REF!</definedName>
    <definedName name="PY2_Retained_Earnings" localSheetId="68">#REF!</definedName>
    <definedName name="PY2_Retained_Earnings" localSheetId="78">#REF!</definedName>
    <definedName name="PY2_Retained_Earnings" localSheetId="73">#REF!</definedName>
    <definedName name="PY2_Retained_Earnings" localSheetId="83">#REF!</definedName>
    <definedName name="PY2_Retained_Earnings" localSheetId="59">#REF!</definedName>
    <definedName name="PY2_Retained_Earnings" localSheetId="56">#REF!</definedName>
    <definedName name="PY2_Retained_Earnings">#REF!</definedName>
    <definedName name="PY2_Selling" localSheetId="55">#REF!</definedName>
    <definedName name="PY2_Selling" localSheetId="70">#REF!</definedName>
    <definedName name="PY2_Selling" localSheetId="82">#REF!</definedName>
    <definedName name="PY2_Selling" localSheetId="58">#REF!</definedName>
    <definedName name="PY2_Selling" localSheetId="68">#REF!</definedName>
    <definedName name="PY2_Selling" localSheetId="78">#REF!</definedName>
    <definedName name="PY2_Selling" localSheetId="73">#REF!</definedName>
    <definedName name="PY2_Selling" localSheetId="83">#REF!</definedName>
    <definedName name="PY2_Selling" localSheetId="59">#REF!</definedName>
    <definedName name="PY2_Selling" localSheetId="56">#REF!</definedName>
    <definedName name="PY2_Selling">#REF!</definedName>
    <definedName name="PY2_Tangible_Assets" localSheetId="55">#REF!</definedName>
    <definedName name="PY2_Tangible_Assets" localSheetId="70">#REF!</definedName>
    <definedName name="PY2_Tangible_Assets" localSheetId="82">#REF!</definedName>
    <definedName name="PY2_Tangible_Assets" localSheetId="58">#REF!</definedName>
    <definedName name="PY2_Tangible_Assets" localSheetId="68">#REF!</definedName>
    <definedName name="PY2_Tangible_Assets" localSheetId="78">#REF!</definedName>
    <definedName name="PY2_Tangible_Assets" localSheetId="73">#REF!</definedName>
    <definedName name="PY2_Tangible_Assets" localSheetId="83">#REF!</definedName>
    <definedName name="PY2_Tangible_Assets" localSheetId="59">#REF!</definedName>
    <definedName name="PY2_Tangible_Assets" localSheetId="56">#REF!</definedName>
    <definedName name="PY2_Tangible_Assets">#REF!</definedName>
    <definedName name="PY2_Tangible_Net_Worth" localSheetId="55">#REF!</definedName>
    <definedName name="PY2_Tangible_Net_Worth" localSheetId="70">#REF!</definedName>
    <definedName name="PY2_Tangible_Net_Worth" localSheetId="82">#REF!</definedName>
    <definedName name="PY2_Tangible_Net_Worth" localSheetId="58">#REF!</definedName>
    <definedName name="PY2_Tangible_Net_Worth" localSheetId="68">#REF!</definedName>
    <definedName name="PY2_Tangible_Net_Worth" localSheetId="78">#REF!</definedName>
    <definedName name="PY2_Tangible_Net_Worth" localSheetId="73">#REF!</definedName>
    <definedName name="PY2_Tangible_Net_Worth" localSheetId="83">#REF!</definedName>
    <definedName name="PY2_Tangible_Net_Worth" localSheetId="59">#REF!</definedName>
    <definedName name="PY2_Tangible_Net_Worth" localSheetId="56">#REF!</definedName>
    <definedName name="PY2_Tangible_Net_Worth">#REF!</definedName>
    <definedName name="PY2_Taxes" localSheetId="55">#REF!</definedName>
    <definedName name="PY2_Taxes" localSheetId="70">#REF!</definedName>
    <definedName name="PY2_Taxes" localSheetId="82">#REF!</definedName>
    <definedName name="PY2_Taxes" localSheetId="58">#REF!</definedName>
    <definedName name="PY2_Taxes" localSheetId="68">#REF!</definedName>
    <definedName name="PY2_Taxes" localSheetId="78">#REF!</definedName>
    <definedName name="PY2_Taxes" localSheetId="73">#REF!</definedName>
    <definedName name="PY2_Taxes" localSheetId="83">#REF!</definedName>
    <definedName name="PY2_Taxes" localSheetId="59">#REF!</definedName>
    <definedName name="PY2_Taxes" localSheetId="56">#REF!</definedName>
    <definedName name="PY2_Taxes">#REF!</definedName>
    <definedName name="PY2_TOTAL_ASSETS" localSheetId="55">#REF!</definedName>
    <definedName name="PY2_TOTAL_ASSETS" localSheetId="70">#REF!</definedName>
    <definedName name="PY2_TOTAL_ASSETS" localSheetId="82">#REF!</definedName>
    <definedName name="PY2_TOTAL_ASSETS" localSheetId="58">#REF!</definedName>
    <definedName name="PY2_TOTAL_ASSETS" localSheetId="68">#REF!</definedName>
    <definedName name="PY2_TOTAL_ASSETS" localSheetId="78">#REF!</definedName>
    <definedName name="PY2_TOTAL_ASSETS" localSheetId="73">#REF!</definedName>
    <definedName name="PY2_TOTAL_ASSETS" localSheetId="83">#REF!</definedName>
    <definedName name="PY2_TOTAL_ASSETS" localSheetId="59">#REF!</definedName>
    <definedName name="PY2_TOTAL_ASSETS" localSheetId="56">#REF!</definedName>
    <definedName name="PY2_TOTAL_ASSETS">#REF!</definedName>
    <definedName name="PY2_TOTAL_CURR_ASSETS" localSheetId="55">#REF!</definedName>
    <definedName name="PY2_TOTAL_CURR_ASSETS" localSheetId="70">#REF!</definedName>
    <definedName name="PY2_TOTAL_CURR_ASSETS" localSheetId="82">#REF!</definedName>
    <definedName name="PY2_TOTAL_CURR_ASSETS" localSheetId="58">#REF!</definedName>
    <definedName name="PY2_TOTAL_CURR_ASSETS" localSheetId="68">#REF!</definedName>
    <definedName name="PY2_TOTAL_CURR_ASSETS" localSheetId="78">#REF!</definedName>
    <definedName name="PY2_TOTAL_CURR_ASSETS" localSheetId="73">#REF!</definedName>
    <definedName name="PY2_TOTAL_CURR_ASSETS" localSheetId="83">#REF!</definedName>
    <definedName name="PY2_TOTAL_CURR_ASSETS" localSheetId="59">#REF!</definedName>
    <definedName name="PY2_TOTAL_CURR_ASSETS" localSheetId="56">#REF!</definedName>
    <definedName name="PY2_TOTAL_CURR_ASSETS">#REF!</definedName>
    <definedName name="PY2_TOTAL_DEBT" localSheetId="55">#REF!</definedName>
    <definedName name="PY2_TOTAL_DEBT" localSheetId="70">#REF!</definedName>
    <definedName name="PY2_TOTAL_DEBT" localSheetId="82">#REF!</definedName>
    <definedName name="PY2_TOTAL_DEBT" localSheetId="58">#REF!</definedName>
    <definedName name="PY2_TOTAL_DEBT" localSheetId="68">#REF!</definedName>
    <definedName name="PY2_TOTAL_DEBT" localSheetId="78">#REF!</definedName>
    <definedName name="PY2_TOTAL_DEBT" localSheetId="73">#REF!</definedName>
    <definedName name="PY2_TOTAL_DEBT" localSheetId="83">#REF!</definedName>
    <definedName name="PY2_TOTAL_DEBT" localSheetId="59">#REF!</definedName>
    <definedName name="PY2_TOTAL_DEBT" localSheetId="56">#REF!</definedName>
    <definedName name="PY2_TOTAL_DEBT">#REF!</definedName>
    <definedName name="PY2_TOTAL_EQUITY" localSheetId="55">#REF!</definedName>
    <definedName name="PY2_TOTAL_EQUITY" localSheetId="70">#REF!</definedName>
    <definedName name="PY2_TOTAL_EQUITY" localSheetId="82">#REF!</definedName>
    <definedName name="PY2_TOTAL_EQUITY" localSheetId="58">#REF!</definedName>
    <definedName name="PY2_TOTAL_EQUITY" localSheetId="68">#REF!</definedName>
    <definedName name="PY2_TOTAL_EQUITY" localSheetId="78">#REF!</definedName>
    <definedName name="PY2_TOTAL_EQUITY" localSheetId="73">#REF!</definedName>
    <definedName name="PY2_TOTAL_EQUITY" localSheetId="83">#REF!</definedName>
    <definedName name="PY2_TOTAL_EQUITY" localSheetId="59">#REF!</definedName>
    <definedName name="PY2_TOTAL_EQUITY" localSheetId="56">#REF!</definedName>
    <definedName name="PY2_TOTAL_EQUITY">#REF!</definedName>
    <definedName name="PY2_Working_Capital" localSheetId="55">#REF!</definedName>
    <definedName name="PY2_Working_Capital" localSheetId="70">#REF!</definedName>
    <definedName name="PY2_Working_Capital" localSheetId="82">#REF!</definedName>
    <definedName name="PY2_Working_Capital" localSheetId="58">#REF!</definedName>
    <definedName name="PY2_Working_Capital" localSheetId="68">#REF!</definedName>
    <definedName name="PY2_Working_Capital" localSheetId="78">#REF!</definedName>
    <definedName name="PY2_Working_Capital" localSheetId="73">#REF!</definedName>
    <definedName name="PY2_Working_Capital" localSheetId="83">#REF!</definedName>
    <definedName name="PY2_Working_Capital" localSheetId="59">#REF!</definedName>
    <definedName name="PY2_Working_Capital" localSheetId="56">#REF!</definedName>
    <definedName name="PY2_Working_Capital">#REF!</definedName>
    <definedName name="Účty">[1]Sheet3!$A$4:$BF$371</definedName>
    <definedName name="VER_CF_BALANCES" localSheetId="55">#REF!</definedName>
    <definedName name="VER_CF_BALANCES" localSheetId="80">#REF!</definedName>
    <definedName name="VER_CF_BALANCES" localSheetId="71">#REF!</definedName>
    <definedName name="VER_CF_BALANCES" localSheetId="69">#REF!</definedName>
    <definedName name="VER_CF_BALANCES" localSheetId="70">#REF!</definedName>
    <definedName name="VER_CF_BALANCES" localSheetId="79">#REF!</definedName>
    <definedName name="VER_CF_BALANCES" localSheetId="82">#REF!</definedName>
    <definedName name="VER_CF_BALANCES" localSheetId="58">#REF!</definedName>
    <definedName name="VER_CF_BALANCES" localSheetId="64">#REF!</definedName>
    <definedName name="VER_CF_BALANCES" localSheetId="68">#REF!</definedName>
    <definedName name="VER_CF_BALANCES" localSheetId="78">#REF!</definedName>
    <definedName name="VER_CF_BALANCES" localSheetId="0">#REF!</definedName>
    <definedName name="VER_CF_BALANCES" localSheetId="72">#REF!</definedName>
    <definedName name="VER_CF_BALANCES" localSheetId="73">#REF!</definedName>
    <definedName name="VER_CF_BALANCES" localSheetId="75">#REF!</definedName>
    <definedName name="VER_CF_BALANCES" localSheetId="81">#REF!</definedName>
    <definedName name="VER_CF_BALANCES" localSheetId="83">#REF!</definedName>
    <definedName name="VER_CF_BALANCES" localSheetId="66">#REF!</definedName>
    <definedName name="VER_CF_BALANCES" localSheetId="59">#REF!</definedName>
    <definedName name="VER_CF_BALANCES" localSheetId="65">#REF!</definedName>
    <definedName name="VER_CF_BALANCES" localSheetId="74">#REF!</definedName>
    <definedName name="VER_CF_BALANCES" localSheetId="63">#REF!</definedName>
    <definedName name="VER_CF_BALANCES" localSheetId="56">#REF!</definedName>
    <definedName name="VER_CF_BALANCES" localSheetId="57">#REF!</definedName>
    <definedName name="VER_CF_BALANCES">#REF!</definedName>
    <definedName name="VER_SH_RATIOS" localSheetId="55">#REF!</definedName>
    <definedName name="VER_SH_RATIOS" localSheetId="80">#REF!</definedName>
    <definedName name="VER_SH_RATIOS" localSheetId="71">#REF!</definedName>
    <definedName name="VER_SH_RATIOS" localSheetId="69">#REF!</definedName>
    <definedName name="VER_SH_RATIOS" localSheetId="70">#REF!</definedName>
    <definedName name="VER_SH_RATIOS" localSheetId="79">#REF!</definedName>
    <definedName name="VER_SH_RATIOS" localSheetId="82">#REF!</definedName>
    <definedName name="VER_SH_RATIOS" localSheetId="58">#REF!</definedName>
    <definedName name="VER_SH_RATIOS" localSheetId="64">#REF!</definedName>
    <definedName name="VER_SH_RATIOS" localSheetId="68">#REF!</definedName>
    <definedName name="VER_SH_RATIOS" localSheetId="78">#REF!</definedName>
    <definedName name="VER_SH_RATIOS" localSheetId="0">#REF!</definedName>
    <definedName name="VER_SH_RATIOS" localSheetId="72">#REF!</definedName>
    <definedName name="VER_SH_RATIOS" localSheetId="73">#REF!</definedName>
    <definedName name="VER_SH_RATIOS" localSheetId="75">#REF!</definedName>
    <definedName name="VER_SH_RATIOS" localSheetId="81">#REF!</definedName>
    <definedName name="VER_SH_RATIOS" localSheetId="83">#REF!</definedName>
    <definedName name="VER_SH_RATIOS" localSheetId="66">#REF!</definedName>
    <definedName name="VER_SH_RATIOS" localSheetId="59">#REF!</definedName>
    <definedName name="VER_SH_RATIOS" localSheetId="65">#REF!</definedName>
    <definedName name="VER_SH_RATIOS" localSheetId="74">#REF!</definedName>
    <definedName name="VER_SH_RATIOS" localSheetId="63">#REF!</definedName>
    <definedName name="VER_SH_RATIOS" localSheetId="56">#REF!</definedName>
    <definedName name="VER_SH_RATIOS" localSheetId="57">#REF!</definedName>
    <definedName name="VER_SH_RATIOS">#REF!</definedName>
    <definedName name="VER_SCH_10" localSheetId="55">#REF!</definedName>
    <definedName name="VER_SCH_10" localSheetId="80">#REF!</definedName>
    <definedName name="VER_SCH_10" localSheetId="71">#REF!</definedName>
    <definedName name="VER_SCH_10" localSheetId="69">#REF!</definedName>
    <definedName name="VER_SCH_10" localSheetId="70">#REF!</definedName>
    <definedName name="VER_SCH_10" localSheetId="79">#REF!</definedName>
    <definedName name="VER_SCH_10" localSheetId="82">#REF!</definedName>
    <definedName name="VER_SCH_10" localSheetId="58">#REF!</definedName>
    <definedName name="VER_SCH_10" localSheetId="64">#REF!</definedName>
    <definedName name="VER_SCH_10" localSheetId="68">#REF!</definedName>
    <definedName name="VER_SCH_10" localSheetId="78">#REF!</definedName>
    <definedName name="VER_SCH_10" localSheetId="0">#REF!</definedName>
    <definedName name="VER_SCH_10" localSheetId="72">#REF!</definedName>
    <definedName name="VER_SCH_10" localSheetId="73">#REF!</definedName>
    <definedName name="VER_SCH_10" localSheetId="75">#REF!</definedName>
    <definedName name="VER_SCH_10" localSheetId="81">#REF!</definedName>
    <definedName name="VER_SCH_10" localSheetId="83">#REF!</definedName>
    <definedName name="VER_SCH_10" localSheetId="66">#REF!</definedName>
    <definedName name="VER_SCH_10" localSheetId="59">#REF!</definedName>
    <definedName name="VER_SCH_10" localSheetId="65">#REF!</definedName>
    <definedName name="VER_SCH_10" localSheetId="74">#REF!</definedName>
    <definedName name="VER_SCH_10" localSheetId="63">#REF!</definedName>
    <definedName name="VER_SCH_10" localSheetId="56">#REF!</definedName>
    <definedName name="VER_SCH_10" localSheetId="57">#REF!</definedName>
    <definedName name="VER_SCH_10">#REF!</definedName>
    <definedName name="VER_SCH_14" localSheetId="55">#REF!</definedName>
    <definedName name="VER_SCH_14" localSheetId="70">#REF!</definedName>
    <definedName name="VER_SCH_14" localSheetId="82">#REF!</definedName>
    <definedName name="VER_SCH_14" localSheetId="58">#REF!</definedName>
    <definedName name="VER_SCH_14" localSheetId="68">#REF!</definedName>
    <definedName name="VER_SCH_14" localSheetId="78">#REF!</definedName>
    <definedName name="VER_SCH_14" localSheetId="73">#REF!</definedName>
    <definedName name="VER_SCH_14" localSheetId="83">#REF!</definedName>
    <definedName name="VER_SCH_14" localSheetId="59">#REF!</definedName>
    <definedName name="VER_SCH_14" localSheetId="74">#REF!</definedName>
    <definedName name="VER_SCH_14" localSheetId="63">#REF!</definedName>
    <definedName name="VER_SCH_14" localSheetId="56">#REF!</definedName>
    <definedName name="VER_SCH_14">#REF!</definedName>
    <definedName name="VER_SCH_2" localSheetId="55">#REF!</definedName>
    <definedName name="VER_SCH_2" localSheetId="70">#REF!</definedName>
    <definedName name="VER_SCH_2" localSheetId="82">#REF!</definedName>
    <definedName name="VER_SCH_2" localSheetId="58">#REF!</definedName>
    <definedName name="VER_SCH_2" localSheetId="68">#REF!</definedName>
    <definedName name="VER_SCH_2" localSheetId="78">#REF!</definedName>
    <definedName name="VER_SCH_2" localSheetId="73">#REF!</definedName>
    <definedName name="VER_SCH_2" localSheetId="83">#REF!</definedName>
    <definedName name="VER_SCH_2" localSheetId="59">#REF!</definedName>
    <definedName name="VER_SCH_2" localSheetId="74">#REF!</definedName>
    <definedName name="VER_SCH_2" localSheetId="63">#REF!</definedName>
    <definedName name="VER_SCH_2" localSheetId="56">#REF!</definedName>
    <definedName name="VER_SCH_2">#REF!</definedName>
    <definedName name="VER_SCH_7" localSheetId="55">#REF!</definedName>
    <definedName name="VER_SCH_7" localSheetId="70">#REF!</definedName>
    <definedName name="VER_SCH_7" localSheetId="82">#REF!</definedName>
    <definedName name="VER_SCH_7" localSheetId="58">#REF!</definedName>
    <definedName name="VER_SCH_7" localSheetId="68">#REF!</definedName>
    <definedName name="VER_SCH_7" localSheetId="78">#REF!</definedName>
    <definedName name="VER_SCH_7" localSheetId="73">#REF!</definedName>
    <definedName name="VER_SCH_7" localSheetId="83">#REF!</definedName>
    <definedName name="VER_SCH_7" localSheetId="59">#REF!</definedName>
    <definedName name="VER_SCH_7" localSheetId="74">#REF!</definedName>
    <definedName name="VER_SCH_7" localSheetId="63">#REF!</definedName>
    <definedName name="VER_SCH_7" localSheetId="56">#REF!</definedName>
    <definedName name="VER_SCH_7">#REF!</definedName>
    <definedName name="Visit">[1]Sheet2!$I$3</definedName>
    <definedName name="wrn.Aging._.and._.Trend._.Analysis." localSheetId="55"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82" hidden="1">{#N/A,#N/A,FALSE,"Aging Summary";#N/A,#N/A,FALSE,"Ratio Analysis";#N/A,#N/A,FALSE,"Test 120 Day Accts";#N/A,#N/A,FALSE,"Tickmarks"}</definedName>
    <definedName name="wrn.Aging._.and._.Trend._.Analysis." localSheetId="58" hidden="1">{#N/A,#N/A,FALSE,"Aging Summary";#N/A,#N/A,FALSE,"Ratio Analysis";#N/A,#N/A,FALSE,"Test 120 Day Accts";#N/A,#N/A,FALSE,"Tickmarks"}</definedName>
    <definedName name="wrn.Aging._.and._.Trend._.Analysis." localSheetId="77" hidden="1">{#N/A,#N/A,FALSE,"Aging Summary";#N/A,#N/A,FALSE,"Ratio Analysis";#N/A,#N/A,FALSE,"Test 120 Day Accts";#N/A,#N/A,FALSE,"Tickmarks"}</definedName>
    <definedName name="wrn.Aging._.and._.Trend._.Analysis." localSheetId="73" hidden="1">{#N/A,#N/A,FALSE,"Aging Summary";#N/A,#N/A,FALSE,"Ratio Analysis";#N/A,#N/A,FALSE,"Test 120 Day Accts";#N/A,#N/A,FALSE,"Tickmarks"}</definedName>
    <definedName name="wrn.Aging._.and._.Trend._.Analysis." localSheetId="83"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localSheetId="5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5" hidden="1">BS!#REF!</definedName>
    <definedName name="Z_4D14509E_B826_11D1_8159_444553540000_.wvu.Cols" localSheetId="61" hidden="1">'BS old'!#REF!</definedName>
    <definedName name="Z_4D14509E_B826_11D1_8159_444553540000_.wvu.Cols" localSheetId="56" hidden="1">'P&amp;L'!#REF!</definedName>
    <definedName name="Z_4D14509E_B826_11D1_8159_444553540000_.wvu.Cols" localSheetId="62" hidden="1">'P&amp;L old'!#REF!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G683" i="86" l="1"/>
  <c r="AF683" i="86"/>
  <c r="AE683" i="86"/>
  <c r="AD683" i="86"/>
  <c r="AC683" i="86"/>
  <c r="AB683" i="86"/>
  <c r="AA683" i="86"/>
  <c r="Z683" i="86"/>
  <c r="Y683" i="86"/>
  <c r="W683" i="86"/>
  <c r="V683" i="86"/>
  <c r="U683" i="86"/>
  <c r="T683" i="86"/>
  <c r="S683" i="86"/>
  <c r="R683" i="86"/>
  <c r="Q683" i="86"/>
  <c r="P683" i="86"/>
  <c r="O683" i="86"/>
  <c r="X692" i="71" l="1"/>
  <c r="X683" i="86" s="1"/>
  <c r="N692" i="71"/>
  <c r="N683" i="86" s="1"/>
  <c r="N591" i="71" l="1"/>
  <c r="D76" i="62" l="1"/>
  <c r="N837" i="71" l="1"/>
  <c r="Z837" i="71"/>
  <c r="Z832" i="71"/>
  <c r="X800" i="71"/>
  <c r="N800" i="71"/>
  <c r="AM782" i="71"/>
  <c r="X767" i="71"/>
  <c r="N740" i="71"/>
  <c r="N576" i="71"/>
  <c r="N580" i="71"/>
  <c r="X580" i="71"/>
  <c r="X576" i="71"/>
  <c r="AA480" i="71" l="1"/>
  <c r="AA479" i="71"/>
  <c r="AA478" i="71"/>
  <c r="AA477" i="71"/>
  <c r="AA476" i="71"/>
  <c r="AA475" i="71"/>
  <c r="AA474" i="71"/>
  <c r="T481" i="71"/>
  <c r="M481" i="71"/>
  <c r="AC436" i="71"/>
  <c r="AC435" i="71"/>
  <c r="AC434" i="71"/>
  <c r="AC433" i="71"/>
  <c r="AC432" i="71"/>
  <c r="X437" i="71"/>
  <c r="S437" i="71"/>
  <c r="N437" i="71"/>
  <c r="I437" i="71"/>
  <c r="AC402" i="71"/>
  <c r="AC401" i="71"/>
  <c r="AC400" i="71"/>
  <c r="AC399" i="71"/>
  <c r="AC398" i="71"/>
  <c r="AC397" i="71"/>
  <c r="AC396" i="71"/>
  <c r="X403" i="71"/>
  <c r="S403" i="71"/>
  <c r="N403" i="71"/>
  <c r="I403" i="71"/>
  <c r="AC437" i="71" l="1"/>
  <c r="AA481" i="71"/>
  <c r="AC403" i="71"/>
  <c r="D5" i="71"/>
  <c r="D5" i="86" s="1"/>
  <c r="D47" i="90"/>
  <c r="D66" i="89"/>
  <c r="M454" i="71" s="1"/>
  <c r="F82" i="89"/>
  <c r="F81" i="89"/>
  <c r="E10" i="90"/>
  <c r="E151" i="89"/>
  <c r="E117" i="89"/>
  <c r="AG893" i="86" l="1"/>
  <c r="AF893" i="86"/>
  <c r="AE893" i="86"/>
  <c r="AC893" i="86"/>
  <c r="AB893" i="86"/>
  <c r="AA893" i="86"/>
  <c r="Y893" i="86"/>
  <c r="X893" i="86"/>
  <c r="W893" i="86"/>
  <c r="U893" i="86"/>
  <c r="T893" i="86"/>
  <c r="S893" i="86"/>
  <c r="AG892" i="86"/>
  <c r="AF892" i="86"/>
  <c r="AE892" i="86"/>
  <c r="AC892" i="86"/>
  <c r="AB892" i="86"/>
  <c r="AA892" i="86"/>
  <c r="Z892" i="86"/>
  <c r="Y892" i="86"/>
  <c r="X892" i="86"/>
  <c r="W892" i="86"/>
  <c r="V892" i="86"/>
  <c r="U892" i="86"/>
  <c r="T892" i="86"/>
  <c r="S892" i="86"/>
  <c r="R892" i="86"/>
  <c r="AG891" i="86"/>
  <c r="AF891" i="86"/>
  <c r="AE891" i="86"/>
  <c r="AC891" i="86"/>
  <c r="AB891" i="86"/>
  <c r="AA891" i="86"/>
  <c r="Z891" i="86"/>
  <c r="Y891" i="86"/>
  <c r="X891" i="86"/>
  <c r="W891" i="86"/>
  <c r="V891" i="86"/>
  <c r="U891" i="86"/>
  <c r="T891" i="86"/>
  <c r="S891" i="86"/>
  <c r="R891" i="86"/>
  <c r="AG890" i="86"/>
  <c r="AF890" i="86"/>
  <c r="AE890" i="86"/>
  <c r="AC890" i="86"/>
  <c r="AB890" i="86"/>
  <c r="AA890" i="86"/>
  <c r="Y890" i="86"/>
  <c r="X890" i="86"/>
  <c r="W890" i="86"/>
  <c r="U890" i="86"/>
  <c r="T890" i="86"/>
  <c r="S890" i="86"/>
  <c r="R890" i="86"/>
  <c r="AG889" i="86"/>
  <c r="AF889" i="86"/>
  <c r="AE889" i="86"/>
  <c r="AC889" i="86"/>
  <c r="AB889" i="86"/>
  <c r="AA889" i="86"/>
  <c r="Z889" i="86"/>
  <c r="Y889" i="86"/>
  <c r="X889" i="86"/>
  <c r="W889" i="86"/>
  <c r="V889" i="86"/>
  <c r="U889" i="86"/>
  <c r="T889" i="86"/>
  <c r="S889" i="86"/>
  <c r="R889" i="86"/>
  <c r="AG888" i="86"/>
  <c r="AF888" i="86"/>
  <c r="AE888" i="86"/>
  <c r="AC888" i="86"/>
  <c r="AB888" i="86"/>
  <c r="AA888" i="86"/>
  <c r="Z888" i="86"/>
  <c r="Y888" i="86"/>
  <c r="X888" i="86"/>
  <c r="W888" i="86"/>
  <c r="V888" i="86"/>
  <c r="U888" i="86"/>
  <c r="T888" i="86"/>
  <c r="S888" i="86"/>
  <c r="R888" i="86"/>
  <c r="AG887" i="86"/>
  <c r="AF887" i="86"/>
  <c r="AE887" i="86"/>
  <c r="AC887" i="86"/>
  <c r="AB887" i="86"/>
  <c r="AA887" i="86"/>
  <c r="Z887" i="86"/>
  <c r="Y887" i="86"/>
  <c r="X887" i="86"/>
  <c r="W887" i="86"/>
  <c r="V887" i="86"/>
  <c r="U887" i="86"/>
  <c r="T887" i="86"/>
  <c r="S887" i="86"/>
  <c r="R887" i="86"/>
  <c r="AG886" i="86"/>
  <c r="AF886" i="86"/>
  <c r="AE886" i="86"/>
  <c r="AC886" i="86"/>
  <c r="AB886" i="86"/>
  <c r="AA886" i="86"/>
  <c r="Z886" i="86"/>
  <c r="Y886" i="86"/>
  <c r="X886" i="86"/>
  <c r="W886" i="86"/>
  <c r="V886" i="86"/>
  <c r="U886" i="86"/>
  <c r="T886" i="86"/>
  <c r="S886" i="86"/>
  <c r="R886" i="86"/>
  <c r="AG885" i="86"/>
  <c r="AF885" i="86"/>
  <c r="AE885" i="86"/>
  <c r="AC885" i="86"/>
  <c r="AB885" i="86"/>
  <c r="AA885" i="86"/>
  <c r="Z885" i="86"/>
  <c r="Y885" i="86"/>
  <c r="X885" i="86"/>
  <c r="W885" i="86"/>
  <c r="V885" i="86"/>
  <c r="U885" i="86"/>
  <c r="T885" i="86"/>
  <c r="S885" i="86"/>
  <c r="R885" i="86"/>
  <c r="AG884" i="86"/>
  <c r="AF884" i="86"/>
  <c r="AE884" i="86"/>
  <c r="AC884" i="86"/>
  <c r="AB884" i="86"/>
  <c r="AA884" i="86"/>
  <c r="Z884" i="86"/>
  <c r="Y884" i="86"/>
  <c r="X884" i="86"/>
  <c r="W884" i="86"/>
  <c r="V884" i="86"/>
  <c r="U884" i="86"/>
  <c r="T884" i="86"/>
  <c r="S884" i="86"/>
  <c r="R884" i="86"/>
  <c r="AG883" i="86"/>
  <c r="AF883" i="86"/>
  <c r="AE883" i="86"/>
  <c r="AC883" i="86"/>
  <c r="AB883" i="86"/>
  <c r="AA883" i="86"/>
  <c r="Z883" i="86"/>
  <c r="Y883" i="86"/>
  <c r="X883" i="86"/>
  <c r="W883" i="86"/>
  <c r="V883" i="86"/>
  <c r="U883" i="86"/>
  <c r="T883" i="86"/>
  <c r="S883" i="86"/>
  <c r="R883" i="86"/>
  <c r="AG882" i="86"/>
  <c r="AF882" i="86"/>
  <c r="AE882" i="86"/>
  <c r="AC882" i="86"/>
  <c r="AB882" i="86"/>
  <c r="AA882" i="86"/>
  <c r="Z882" i="86"/>
  <c r="Y882" i="86"/>
  <c r="X882" i="86"/>
  <c r="W882" i="86"/>
  <c r="V882" i="86"/>
  <c r="U882" i="86"/>
  <c r="T882" i="86"/>
  <c r="S882" i="86"/>
  <c r="R882" i="86"/>
  <c r="AG881" i="86"/>
  <c r="AF881" i="86"/>
  <c r="AE881" i="86"/>
  <c r="AC881" i="86"/>
  <c r="AB881" i="86"/>
  <c r="AA881" i="86"/>
  <c r="Z881" i="86"/>
  <c r="Y881" i="86"/>
  <c r="X881" i="86"/>
  <c r="W881" i="86"/>
  <c r="V881" i="86"/>
  <c r="U881" i="86"/>
  <c r="T881" i="86"/>
  <c r="S881" i="86"/>
  <c r="R881" i="86"/>
  <c r="AG880" i="86"/>
  <c r="AF880" i="86"/>
  <c r="AE880" i="86"/>
  <c r="AC880" i="86"/>
  <c r="AB880" i="86"/>
  <c r="AA880" i="86"/>
  <c r="Z880" i="86"/>
  <c r="Y880" i="86"/>
  <c r="X880" i="86"/>
  <c r="W880" i="86"/>
  <c r="V880" i="86"/>
  <c r="U880" i="86"/>
  <c r="T880" i="86"/>
  <c r="S880" i="86"/>
  <c r="R880" i="86"/>
  <c r="AG879" i="86"/>
  <c r="AF879" i="86"/>
  <c r="AE879" i="86"/>
  <c r="AC879" i="86"/>
  <c r="AB879" i="86"/>
  <c r="AA879" i="86"/>
  <c r="Z879" i="86"/>
  <c r="Y879" i="86"/>
  <c r="X879" i="86"/>
  <c r="W879" i="86"/>
  <c r="V879" i="86"/>
  <c r="U879" i="86"/>
  <c r="T879" i="86"/>
  <c r="S879" i="86"/>
  <c r="R879" i="86"/>
  <c r="AG878" i="86"/>
  <c r="AF878" i="86"/>
  <c r="AE878" i="86"/>
  <c r="AC878" i="86"/>
  <c r="AB878" i="86"/>
  <c r="AA878" i="86"/>
  <c r="Z878" i="86"/>
  <c r="Y878" i="86"/>
  <c r="X878" i="86"/>
  <c r="W878" i="86"/>
  <c r="V878" i="86"/>
  <c r="U878" i="86"/>
  <c r="T878" i="86"/>
  <c r="S878" i="86"/>
  <c r="R878" i="86"/>
  <c r="Q893" i="86"/>
  <c r="P893" i="86"/>
  <c r="O893" i="86"/>
  <c r="Q892" i="86"/>
  <c r="P892" i="86"/>
  <c r="O892" i="86"/>
  <c r="N892" i="86"/>
  <c r="Q891" i="86"/>
  <c r="P891" i="86"/>
  <c r="O891" i="86"/>
  <c r="N891" i="86"/>
  <c r="Q890" i="86"/>
  <c r="P890" i="86"/>
  <c r="O890" i="86"/>
  <c r="N890" i="86"/>
  <c r="Q889" i="86"/>
  <c r="P889" i="86"/>
  <c r="O889" i="86"/>
  <c r="N889" i="86"/>
  <c r="Q888" i="86"/>
  <c r="P888" i="86"/>
  <c r="O888" i="86"/>
  <c r="N888" i="86"/>
  <c r="Q887" i="86"/>
  <c r="P887" i="86"/>
  <c r="O887" i="86"/>
  <c r="N887" i="86"/>
  <c r="Q886" i="86"/>
  <c r="P886" i="86"/>
  <c r="O886" i="86"/>
  <c r="N886" i="86"/>
  <c r="Q885" i="86"/>
  <c r="P885" i="86"/>
  <c r="O885" i="86"/>
  <c r="N885" i="86"/>
  <c r="Q884" i="86"/>
  <c r="P884" i="86"/>
  <c r="O884" i="86"/>
  <c r="N884" i="86"/>
  <c r="Q883" i="86"/>
  <c r="P883" i="86"/>
  <c r="O883" i="86"/>
  <c r="N883" i="86"/>
  <c r="Q882" i="86"/>
  <c r="P882" i="86"/>
  <c r="O882" i="86"/>
  <c r="N882" i="86"/>
  <c r="Q881" i="86"/>
  <c r="P881" i="86"/>
  <c r="O881" i="86"/>
  <c r="N881" i="86"/>
  <c r="Q880" i="86"/>
  <c r="P880" i="86"/>
  <c r="O880" i="86"/>
  <c r="N880" i="86"/>
  <c r="Q879" i="86"/>
  <c r="P879" i="86"/>
  <c r="O879" i="86"/>
  <c r="N879" i="86"/>
  <c r="AG873" i="86"/>
  <c r="AF873" i="86"/>
  <c r="AE873" i="86"/>
  <c r="AC873" i="86"/>
  <c r="AB873" i="86"/>
  <c r="AA873" i="86"/>
  <c r="Y873" i="86"/>
  <c r="X873" i="86"/>
  <c r="W873" i="86"/>
  <c r="U873" i="86"/>
  <c r="T873" i="86"/>
  <c r="S873" i="86"/>
  <c r="AG872" i="86"/>
  <c r="AF872" i="86"/>
  <c r="AE872" i="86"/>
  <c r="AC872" i="86"/>
  <c r="AB872" i="86"/>
  <c r="AA872" i="86"/>
  <c r="Z872" i="86"/>
  <c r="Y872" i="86"/>
  <c r="X872" i="86"/>
  <c r="W872" i="86"/>
  <c r="V872" i="86"/>
  <c r="U872" i="86"/>
  <c r="T872" i="86"/>
  <c r="S872" i="86"/>
  <c r="R872" i="86"/>
  <c r="AG871" i="86"/>
  <c r="AF871" i="86"/>
  <c r="AE871" i="86"/>
  <c r="AC871" i="86"/>
  <c r="AB871" i="86"/>
  <c r="AA871" i="86"/>
  <c r="Z871" i="86"/>
  <c r="Y871" i="86"/>
  <c r="X871" i="86"/>
  <c r="W871" i="86"/>
  <c r="V871" i="86"/>
  <c r="U871" i="86"/>
  <c r="T871" i="86"/>
  <c r="S871" i="86"/>
  <c r="R871" i="86"/>
  <c r="AG870" i="86"/>
  <c r="AF870" i="86"/>
  <c r="AE870" i="86"/>
  <c r="AC870" i="86"/>
  <c r="AB870" i="86"/>
  <c r="AA870" i="86"/>
  <c r="Z870" i="86"/>
  <c r="Y870" i="86"/>
  <c r="X870" i="86"/>
  <c r="W870" i="86"/>
  <c r="V870" i="86"/>
  <c r="U870" i="86"/>
  <c r="T870" i="86"/>
  <c r="S870" i="86"/>
  <c r="R870" i="86"/>
  <c r="AG869" i="86"/>
  <c r="AF869" i="86"/>
  <c r="AE869" i="86"/>
  <c r="AC869" i="86"/>
  <c r="AB869" i="86"/>
  <c r="AA869" i="86"/>
  <c r="Z869" i="86"/>
  <c r="Y869" i="86"/>
  <c r="X869" i="86"/>
  <c r="W869" i="86"/>
  <c r="V869" i="86"/>
  <c r="U869" i="86"/>
  <c r="T869" i="86"/>
  <c r="S869" i="86"/>
  <c r="R869" i="86"/>
  <c r="AG868" i="86"/>
  <c r="AF868" i="86"/>
  <c r="AE868" i="86"/>
  <c r="AC868" i="86"/>
  <c r="AB868" i="86"/>
  <c r="AA868" i="86"/>
  <c r="Z868" i="86"/>
  <c r="Y868" i="86"/>
  <c r="X868" i="86"/>
  <c r="W868" i="86"/>
  <c r="V868" i="86"/>
  <c r="U868" i="86"/>
  <c r="T868" i="86"/>
  <c r="S868" i="86"/>
  <c r="R868" i="86"/>
  <c r="AG867" i="86"/>
  <c r="AF867" i="86"/>
  <c r="AE867" i="86"/>
  <c r="AC867" i="86"/>
  <c r="AB867" i="86"/>
  <c r="AA867" i="86"/>
  <c r="Z867" i="86"/>
  <c r="Y867" i="86"/>
  <c r="X867" i="86"/>
  <c r="W867" i="86"/>
  <c r="V867" i="86"/>
  <c r="U867" i="86"/>
  <c r="T867" i="86"/>
  <c r="S867" i="86"/>
  <c r="R867" i="86"/>
  <c r="AG866" i="86"/>
  <c r="AF866" i="86"/>
  <c r="AE866" i="86"/>
  <c r="AC866" i="86"/>
  <c r="AB866" i="86"/>
  <c r="AA866" i="86"/>
  <c r="Z866" i="86"/>
  <c r="Y866" i="86"/>
  <c r="X866" i="86"/>
  <c r="W866" i="86"/>
  <c r="V866" i="86"/>
  <c r="U866" i="86"/>
  <c r="T866" i="86"/>
  <c r="S866" i="86"/>
  <c r="R866" i="86"/>
  <c r="AG865" i="86"/>
  <c r="AF865" i="86"/>
  <c r="AE865" i="86"/>
  <c r="AC865" i="86"/>
  <c r="AB865" i="86"/>
  <c r="AA865" i="86"/>
  <c r="Z865" i="86"/>
  <c r="Y865" i="86"/>
  <c r="X865" i="86"/>
  <c r="W865" i="86"/>
  <c r="V865" i="86"/>
  <c r="U865" i="86"/>
  <c r="T865" i="86"/>
  <c r="S865" i="86"/>
  <c r="R865" i="86"/>
  <c r="AG864" i="86"/>
  <c r="AF864" i="86"/>
  <c r="AE864" i="86"/>
  <c r="AC864" i="86"/>
  <c r="AB864" i="86"/>
  <c r="AA864" i="86"/>
  <c r="Z864" i="86"/>
  <c r="Y864" i="86"/>
  <c r="X864" i="86"/>
  <c r="W864" i="86"/>
  <c r="V864" i="86"/>
  <c r="U864" i="86"/>
  <c r="T864" i="86"/>
  <c r="S864" i="86"/>
  <c r="R864" i="86"/>
  <c r="AG863" i="86"/>
  <c r="AF863" i="86"/>
  <c r="AE863" i="86"/>
  <c r="AC863" i="86"/>
  <c r="AB863" i="86"/>
  <c r="AA863" i="86"/>
  <c r="Z863" i="86"/>
  <c r="Y863" i="86"/>
  <c r="X863" i="86"/>
  <c r="W863" i="86"/>
  <c r="V863" i="86"/>
  <c r="U863" i="86"/>
  <c r="T863" i="86"/>
  <c r="S863" i="86"/>
  <c r="R863" i="86"/>
  <c r="AG862" i="86"/>
  <c r="AF862" i="86"/>
  <c r="AE862" i="86"/>
  <c r="AC862" i="86"/>
  <c r="AB862" i="86"/>
  <c r="AA862" i="86"/>
  <c r="Z862" i="86"/>
  <c r="Y862" i="86"/>
  <c r="X862" i="86"/>
  <c r="W862" i="86"/>
  <c r="V862" i="86"/>
  <c r="U862" i="86"/>
  <c r="T862" i="86"/>
  <c r="S862" i="86"/>
  <c r="R862" i="86"/>
  <c r="AG861" i="86"/>
  <c r="AF861" i="86"/>
  <c r="AE861" i="86"/>
  <c r="AC861" i="86"/>
  <c r="AB861" i="86"/>
  <c r="AA861" i="86"/>
  <c r="Z861" i="86"/>
  <c r="Y861" i="86"/>
  <c r="X861" i="86"/>
  <c r="W861" i="86"/>
  <c r="V861" i="86"/>
  <c r="U861" i="86"/>
  <c r="T861" i="86"/>
  <c r="S861" i="86"/>
  <c r="R861" i="86"/>
  <c r="AG860" i="86"/>
  <c r="AF860" i="86"/>
  <c r="AE860" i="86"/>
  <c r="AC860" i="86"/>
  <c r="AB860" i="86"/>
  <c r="AA860" i="86"/>
  <c r="Z860" i="86"/>
  <c r="Y860" i="86"/>
  <c r="X860" i="86"/>
  <c r="W860" i="86"/>
  <c r="V860" i="86"/>
  <c r="U860" i="86"/>
  <c r="T860" i="86"/>
  <c r="S860" i="86"/>
  <c r="R860" i="86"/>
  <c r="AG859" i="86"/>
  <c r="AF859" i="86"/>
  <c r="AE859" i="86"/>
  <c r="AC859" i="86"/>
  <c r="AB859" i="86"/>
  <c r="AA859" i="86"/>
  <c r="Z859" i="86"/>
  <c r="Y859" i="86"/>
  <c r="X859" i="86"/>
  <c r="W859" i="86"/>
  <c r="V859" i="86"/>
  <c r="U859" i="86"/>
  <c r="T859" i="86"/>
  <c r="S859" i="86"/>
  <c r="R859" i="86"/>
  <c r="AG858" i="86"/>
  <c r="AF858" i="86"/>
  <c r="AE858" i="86"/>
  <c r="AC858" i="86"/>
  <c r="AB858" i="86"/>
  <c r="AA858" i="86"/>
  <c r="Z858" i="86"/>
  <c r="Y858" i="86"/>
  <c r="X858" i="86"/>
  <c r="W858" i="86"/>
  <c r="V858" i="86"/>
  <c r="U858" i="86"/>
  <c r="T858" i="86"/>
  <c r="S858" i="86"/>
  <c r="R858" i="86"/>
  <c r="Q873" i="86"/>
  <c r="P873" i="86"/>
  <c r="O873" i="86"/>
  <c r="Q872" i="86"/>
  <c r="P872" i="86"/>
  <c r="O872" i="86"/>
  <c r="N872" i="86"/>
  <c r="Q871" i="86"/>
  <c r="P871" i="86"/>
  <c r="O871" i="86"/>
  <c r="N871" i="86"/>
  <c r="Q870" i="86"/>
  <c r="P870" i="86"/>
  <c r="O870" i="86"/>
  <c r="N870" i="86"/>
  <c r="Q869" i="86"/>
  <c r="P869" i="86"/>
  <c r="O869" i="86"/>
  <c r="N869" i="86"/>
  <c r="Q868" i="86"/>
  <c r="P868" i="86"/>
  <c r="O868" i="86"/>
  <c r="N868" i="86"/>
  <c r="Q867" i="86"/>
  <c r="P867" i="86"/>
  <c r="O867" i="86"/>
  <c r="N867" i="86"/>
  <c r="Q866" i="86"/>
  <c r="P866" i="86"/>
  <c r="O866" i="86"/>
  <c r="N866" i="86"/>
  <c r="Q865" i="86"/>
  <c r="P865" i="86"/>
  <c r="O865" i="86"/>
  <c r="N865" i="86"/>
  <c r="Q864" i="86"/>
  <c r="P864" i="86"/>
  <c r="O864" i="86"/>
  <c r="N864" i="86"/>
  <c r="Q863" i="86"/>
  <c r="P863" i="86"/>
  <c r="O863" i="86"/>
  <c r="N863" i="86"/>
  <c r="Q862" i="86"/>
  <c r="P862" i="86"/>
  <c r="O862" i="86"/>
  <c r="N862" i="86"/>
  <c r="Q861" i="86"/>
  <c r="P861" i="86"/>
  <c r="O861" i="86"/>
  <c r="N861" i="86"/>
  <c r="Q860" i="86"/>
  <c r="P860" i="86"/>
  <c r="O860" i="86"/>
  <c r="N860" i="86"/>
  <c r="Q859" i="86"/>
  <c r="P859" i="86"/>
  <c r="O859" i="86"/>
  <c r="N859" i="86"/>
  <c r="Z840" i="71" l="1"/>
  <c r="Z839" i="71"/>
  <c r="N839" i="71" l="1"/>
  <c r="Z890" i="86" l="1"/>
  <c r="V890" i="86"/>
  <c r="Z906" i="71" l="1"/>
  <c r="Z893" i="86" s="1"/>
  <c r="V906" i="71"/>
  <c r="V893" i="86" s="1"/>
  <c r="R906" i="71"/>
  <c r="R893" i="86" s="1"/>
  <c r="N906" i="71"/>
  <c r="N893" i="86" s="1"/>
  <c r="AD905" i="71"/>
  <c r="AD904" i="71"/>
  <c r="AD903" i="71"/>
  <c r="AD902" i="71"/>
  <c r="AD901" i="71"/>
  <c r="AD900" i="71"/>
  <c r="AD899" i="71"/>
  <c r="AD898" i="71"/>
  <c r="AD897" i="71"/>
  <c r="AD896" i="71"/>
  <c r="AD895" i="71"/>
  <c r="AD894" i="71"/>
  <c r="AD893" i="71"/>
  <c r="AD892" i="71"/>
  <c r="AD891" i="71"/>
  <c r="AD878" i="86" s="1"/>
  <c r="AD879" i="71"/>
  <c r="AD866" i="86" s="1"/>
  <c r="AD877" i="71"/>
  <c r="AD864" i="86" s="1"/>
  <c r="AD878" i="71"/>
  <c r="Z886" i="71"/>
  <c r="Z873" i="86" s="1"/>
  <c r="V886" i="71"/>
  <c r="V873" i="86" s="1"/>
  <c r="R886" i="71"/>
  <c r="R873" i="86" s="1"/>
  <c r="N886" i="71"/>
  <c r="N873" i="86" s="1"/>
  <c r="AD885" i="86" l="1"/>
  <c r="AL878" i="71"/>
  <c r="AD889" i="86"/>
  <c r="AL882" i="71"/>
  <c r="AD886" i="86"/>
  <c r="AL879" i="71"/>
  <c r="AD890" i="86"/>
  <c r="AL883" i="71"/>
  <c r="AD879" i="86"/>
  <c r="AL872" i="71"/>
  <c r="AD887" i="86"/>
  <c r="AL880" i="71"/>
  <c r="AD891" i="86"/>
  <c r="AL884" i="71"/>
  <c r="AD881" i="86"/>
  <c r="AL874" i="71"/>
  <c r="AD880" i="86"/>
  <c r="AL873" i="71"/>
  <c r="AD884" i="86"/>
  <c r="AL877" i="71"/>
  <c r="AD888" i="86"/>
  <c r="AL881" i="71"/>
  <c r="AD892" i="86"/>
  <c r="AL885" i="71"/>
  <c r="AD882" i="86"/>
  <c r="AL875" i="71"/>
  <c r="AD883" i="86"/>
  <c r="AL876" i="71"/>
  <c r="AO878" i="71"/>
  <c r="AD865" i="86"/>
  <c r="AD886" i="71"/>
  <c r="AD873" i="86" s="1"/>
  <c r="AD906" i="71"/>
  <c r="AD893" i="86" s="1"/>
  <c r="AM878" i="71"/>
  <c r="AG848" i="86" l="1"/>
  <c r="AF848" i="86"/>
  <c r="AE848" i="86"/>
  <c r="AD848" i="86"/>
  <c r="AC848" i="86"/>
  <c r="AB848" i="86"/>
  <c r="AA848" i="86"/>
  <c r="Z848" i="86"/>
  <c r="AG847" i="86"/>
  <c r="AF847" i="86"/>
  <c r="AE847" i="86"/>
  <c r="AD847" i="86"/>
  <c r="AC847" i="86"/>
  <c r="AB847" i="86"/>
  <c r="AA847" i="86"/>
  <c r="Z847" i="86"/>
  <c r="Y848" i="86"/>
  <c r="X848" i="86"/>
  <c r="W848" i="86"/>
  <c r="V848" i="86"/>
  <c r="U848" i="86"/>
  <c r="T848" i="86"/>
  <c r="S848" i="86"/>
  <c r="R848" i="86"/>
  <c r="Y847" i="86"/>
  <c r="X847" i="86"/>
  <c r="W847" i="86"/>
  <c r="V847" i="86"/>
  <c r="U847" i="86"/>
  <c r="T847" i="86"/>
  <c r="S847" i="86"/>
  <c r="R847" i="86"/>
  <c r="L848" i="86"/>
  <c r="K848" i="86"/>
  <c r="J848" i="86"/>
  <c r="I848" i="86"/>
  <c r="H848" i="86"/>
  <c r="G848" i="86"/>
  <c r="F848" i="86"/>
  <c r="E848" i="86"/>
  <c r="D848" i="86"/>
  <c r="L847" i="86"/>
  <c r="K847" i="86"/>
  <c r="J847" i="86"/>
  <c r="I847" i="86"/>
  <c r="H847" i="86"/>
  <c r="G847" i="86"/>
  <c r="F847" i="86"/>
  <c r="E847" i="86"/>
  <c r="D847" i="86"/>
  <c r="Y809" i="86"/>
  <c r="Y814" i="86"/>
  <c r="P814" i="86"/>
  <c r="Y813" i="86"/>
  <c r="P813" i="86"/>
  <c r="Y812" i="86"/>
  <c r="P812" i="86"/>
  <c r="Y811" i="86"/>
  <c r="P811" i="86"/>
  <c r="Y810" i="86"/>
  <c r="P810" i="86"/>
  <c r="P809" i="86"/>
  <c r="N802" i="86"/>
  <c r="N801" i="86"/>
  <c r="N800" i="86"/>
  <c r="X802" i="86"/>
  <c r="X801" i="86"/>
  <c r="X800" i="86"/>
  <c r="X799" i="86"/>
  <c r="N799" i="86"/>
  <c r="X588" i="86"/>
  <c r="X587" i="86"/>
  <c r="X586" i="86"/>
  <c r="X585" i="86"/>
  <c r="X584" i="86"/>
  <c r="X583" i="86"/>
  <c r="X582" i="86"/>
  <c r="X581" i="86"/>
  <c r="X580" i="86"/>
  <c r="X579" i="86"/>
  <c r="X578" i="86"/>
  <c r="N588" i="86"/>
  <c r="N587" i="86"/>
  <c r="N586" i="86"/>
  <c r="N585" i="86"/>
  <c r="N584" i="86"/>
  <c r="N583" i="86"/>
  <c r="N582" i="86"/>
  <c r="N581" i="86"/>
  <c r="N580" i="86"/>
  <c r="N579" i="86"/>
  <c r="N578" i="86"/>
  <c r="W571" i="86"/>
  <c r="V571" i="86"/>
  <c r="U571" i="86"/>
  <c r="T571" i="86"/>
  <c r="S571" i="86"/>
  <c r="R571" i="86"/>
  <c r="Q571" i="86"/>
  <c r="P571" i="86"/>
  <c r="O571" i="86"/>
  <c r="N571" i="86"/>
  <c r="M571" i="86"/>
  <c r="L571" i="86"/>
  <c r="K571" i="86"/>
  <c r="J571" i="86"/>
  <c r="I571" i="86"/>
  <c r="AB571" i="86"/>
  <c r="AA571" i="86"/>
  <c r="Z571" i="86"/>
  <c r="Y571" i="86"/>
  <c r="X571" i="86"/>
  <c r="AB570" i="86"/>
  <c r="AA570" i="86"/>
  <c r="Z570" i="86"/>
  <c r="Y570" i="86"/>
  <c r="X570" i="86"/>
  <c r="AB569" i="86"/>
  <c r="AA569" i="86"/>
  <c r="Z569" i="86"/>
  <c r="Y569" i="86"/>
  <c r="X569" i="86"/>
  <c r="AB560" i="86"/>
  <c r="AA560" i="86"/>
  <c r="Z560" i="86"/>
  <c r="Y560" i="86"/>
  <c r="X560" i="86"/>
  <c r="AB559" i="86"/>
  <c r="AA559" i="86"/>
  <c r="Z559" i="86"/>
  <c r="Y559" i="86"/>
  <c r="X559" i="86"/>
  <c r="AB558" i="86"/>
  <c r="AA558" i="86"/>
  <c r="Z558" i="86"/>
  <c r="Y558" i="86"/>
  <c r="X558" i="86"/>
  <c r="AG541" i="86" l="1"/>
  <c r="AF541" i="86"/>
  <c r="AE541" i="86"/>
  <c r="AD541" i="86"/>
  <c r="AC541" i="86"/>
  <c r="AB541" i="86"/>
  <c r="AA541" i="86"/>
  <c r="Z541" i="86"/>
  <c r="Y541" i="86"/>
  <c r="X541" i="86"/>
  <c r="W541" i="86"/>
  <c r="V541" i="86"/>
  <c r="U541" i="86"/>
  <c r="T541" i="86"/>
  <c r="S541" i="86"/>
  <c r="R541" i="86"/>
  <c r="AG535" i="86"/>
  <c r="AF535" i="86"/>
  <c r="AE535" i="86"/>
  <c r="AD535" i="86"/>
  <c r="AC535" i="86"/>
  <c r="AB535" i="86"/>
  <c r="AA535" i="86"/>
  <c r="Z535" i="86"/>
  <c r="Y535" i="86"/>
  <c r="X535" i="86"/>
  <c r="W535" i="86"/>
  <c r="V535" i="86"/>
  <c r="U535" i="86"/>
  <c r="T535" i="86"/>
  <c r="S535" i="86"/>
  <c r="R535" i="86"/>
  <c r="T484" i="86"/>
  <c r="T483" i="86"/>
  <c r="T482" i="86"/>
  <c r="T481" i="86"/>
  <c r="T480" i="86"/>
  <c r="T479" i="86"/>
  <c r="T478" i="86"/>
  <c r="T477" i="86"/>
  <c r="AA484" i="86"/>
  <c r="AA483" i="86"/>
  <c r="AA482" i="86"/>
  <c r="AA481" i="86"/>
  <c r="AA480" i="86"/>
  <c r="AA479" i="86"/>
  <c r="AA478" i="86"/>
  <c r="AA477" i="86"/>
  <c r="M484" i="86"/>
  <c r="M483" i="86"/>
  <c r="M482" i="86"/>
  <c r="M481" i="86"/>
  <c r="M480" i="86"/>
  <c r="M479" i="86"/>
  <c r="M478" i="86"/>
  <c r="M477" i="86"/>
  <c r="T475" i="86"/>
  <c r="M475" i="86"/>
  <c r="AA475" i="86"/>
  <c r="AA474" i="86"/>
  <c r="AA473" i="86"/>
  <c r="AA472" i="86"/>
  <c r="AA471" i="86"/>
  <c r="AA470" i="86"/>
  <c r="AF439" i="86"/>
  <c r="AC439" i="86"/>
  <c r="AF438" i="86"/>
  <c r="AC438" i="86"/>
  <c r="AF437" i="86"/>
  <c r="AC437" i="86"/>
  <c r="AF436" i="86"/>
  <c r="AC436" i="86"/>
  <c r="AF435" i="86"/>
  <c r="AC435" i="86"/>
  <c r="AF434" i="86"/>
  <c r="AC434" i="86"/>
  <c r="AA434" i="86"/>
  <c r="X434" i="86"/>
  <c r="AA439" i="86"/>
  <c r="X439" i="86"/>
  <c r="V439" i="86"/>
  <c r="S439" i="86"/>
  <c r="Q439" i="86"/>
  <c r="N439" i="86"/>
  <c r="L439" i="86"/>
  <c r="I439" i="86"/>
  <c r="L438" i="86"/>
  <c r="I438" i="86"/>
  <c r="L437" i="86"/>
  <c r="I437" i="86"/>
  <c r="L436" i="86"/>
  <c r="I436" i="86"/>
  <c r="L435" i="86"/>
  <c r="I435" i="86"/>
  <c r="I434" i="86"/>
  <c r="Q438" i="86"/>
  <c r="N438" i="86"/>
  <c r="L434" i="86"/>
  <c r="AF430" i="86"/>
  <c r="AF429" i="86"/>
  <c r="AF428" i="86"/>
  <c r="AF427" i="86"/>
  <c r="AF426" i="86"/>
  <c r="AF425" i="86"/>
  <c r="Q429" i="86"/>
  <c r="N429" i="86"/>
  <c r="L430" i="86"/>
  <c r="L429" i="86"/>
  <c r="I429" i="86"/>
  <c r="L428" i="86"/>
  <c r="I428" i="86"/>
  <c r="L427" i="86"/>
  <c r="I427" i="86"/>
  <c r="L426" i="86"/>
  <c r="I426" i="86"/>
  <c r="AA413" i="86"/>
  <c r="AA412" i="86"/>
  <c r="AF405" i="86"/>
  <c r="AC405" i="86"/>
  <c r="AF404" i="86"/>
  <c r="AC404" i="86"/>
  <c r="AF403" i="86"/>
  <c r="AC403" i="86"/>
  <c r="AF402" i="86"/>
  <c r="AC402" i="86"/>
  <c r="AF401" i="86"/>
  <c r="AC401" i="86"/>
  <c r="AF400" i="86"/>
  <c r="AC400" i="86"/>
  <c r="AF399" i="86"/>
  <c r="AC399" i="86"/>
  <c r="AF406" i="86"/>
  <c r="AC406" i="86"/>
  <c r="AA406" i="86"/>
  <c r="X406" i="86"/>
  <c r="V406" i="86"/>
  <c r="S406" i="86"/>
  <c r="Q406" i="86"/>
  <c r="N406" i="86"/>
  <c r="V399" i="86"/>
  <c r="S399" i="86"/>
  <c r="L406" i="86"/>
  <c r="I406" i="86"/>
  <c r="L405" i="86"/>
  <c r="I405" i="86"/>
  <c r="L404" i="86"/>
  <c r="I404" i="86"/>
  <c r="L403" i="86"/>
  <c r="I403" i="86"/>
  <c r="L402" i="86"/>
  <c r="I402" i="86"/>
  <c r="L401" i="86"/>
  <c r="I401" i="86"/>
  <c r="L400" i="86"/>
  <c r="I400" i="86"/>
  <c r="I399" i="86"/>
  <c r="L399" i="86"/>
  <c r="L393" i="86"/>
  <c r="I393" i="86"/>
  <c r="L392" i="86"/>
  <c r="I392" i="86"/>
  <c r="L391" i="86"/>
  <c r="I391" i="86"/>
  <c r="L390" i="86"/>
  <c r="I390" i="86"/>
  <c r="L389" i="86"/>
  <c r="I389" i="86"/>
  <c r="L388" i="86"/>
  <c r="I388" i="86"/>
  <c r="N832" i="71" l="1"/>
  <c r="E10" i="88" l="1"/>
  <c r="E11" i="88"/>
  <c r="E12" i="88"/>
  <c r="E13" i="88"/>
  <c r="E14" i="88"/>
  <c r="E15" i="88"/>
  <c r="E16" i="88"/>
  <c r="E17" i="88"/>
  <c r="E18" i="88"/>
  <c r="E19" i="88"/>
  <c r="E20" i="88"/>
  <c r="E21" i="88"/>
  <c r="E22" i="88"/>
  <c r="E24" i="88"/>
  <c r="E25" i="88"/>
  <c r="E26" i="88"/>
  <c r="N767" i="71" l="1"/>
  <c r="R707" i="71" l="1"/>
  <c r="J707" i="71"/>
  <c r="AD707" i="71" l="1"/>
  <c r="V707" i="71"/>
  <c r="N707" i="71"/>
  <c r="E62" i="89" l="1"/>
  <c r="F72" i="89" l="1"/>
  <c r="D29" i="90"/>
  <c r="D112" i="89"/>
  <c r="D117" i="89"/>
  <c r="F85" i="89"/>
  <c r="F74" i="89"/>
  <c r="D151" i="89"/>
  <c r="F48" i="89"/>
  <c r="F46" i="89"/>
  <c r="F45" i="89"/>
  <c r="F22" i="89"/>
  <c r="G83" i="89"/>
  <c r="G62" i="89"/>
  <c r="N783" i="71" l="1"/>
  <c r="AM766" i="71"/>
  <c r="AG571" i="86" l="1"/>
  <c r="AF571" i="86"/>
  <c r="AE571" i="86"/>
  <c r="AD571" i="86"/>
  <c r="H571" i="86"/>
  <c r="G571" i="86"/>
  <c r="F571" i="86"/>
  <c r="E571" i="86"/>
  <c r="W560" i="86"/>
  <c r="V560" i="86"/>
  <c r="U560" i="86"/>
  <c r="T560" i="86"/>
  <c r="R560" i="86"/>
  <c r="Q560" i="86"/>
  <c r="P560" i="86"/>
  <c r="O560" i="86"/>
  <c r="M560" i="86"/>
  <c r="L560" i="86"/>
  <c r="K560" i="86"/>
  <c r="J560" i="86"/>
  <c r="I560" i="86"/>
  <c r="D137" i="89" l="1"/>
  <c r="D62" i="89" l="1"/>
  <c r="E27" i="62" l="1"/>
  <c r="E13" i="62" l="1"/>
  <c r="E9" i="88" s="1"/>
  <c r="G20" i="89"/>
  <c r="E20" i="89"/>
  <c r="D20" i="89"/>
  <c r="E12" i="89"/>
  <c r="D12" i="89"/>
  <c r="F13" i="89"/>
  <c r="F16" i="89"/>
  <c r="F12" i="89" l="1"/>
  <c r="E53" i="90"/>
  <c r="D53" i="90"/>
  <c r="D23" i="90"/>
  <c r="D10" i="90"/>
  <c r="X740" i="71"/>
  <c r="X606" i="71" l="1"/>
  <c r="X603" i="71"/>
  <c r="N560" i="86"/>
  <c r="X616" i="71" l="1"/>
  <c r="S560" i="86"/>
  <c r="X566" i="71" l="1"/>
  <c r="S566" i="71"/>
  <c r="N566" i="71"/>
  <c r="I566" i="71"/>
  <c r="AC569" i="71"/>
  <c r="F83" i="89"/>
  <c r="D83" i="89"/>
  <c r="G80" i="89"/>
  <c r="G42" i="89" s="1"/>
  <c r="F80" i="89"/>
  <c r="D80" i="89"/>
  <c r="G43" i="89"/>
  <c r="E43" i="89"/>
  <c r="E42" i="89" s="1"/>
  <c r="D43" i="89"/>
  <c r="F44" i="89"/>
  <c r="F43" i="89" s="1"/>
  <c r="D42" i="89" l="1"/>
  <c r="AM569" i="71"/>
  <c r="AC571" i="86"/>
  <c r="AL558" i="71"/>
  <c r="AC351" i="71"/>
  <c r="Z351" i="71"/>
  <c r="W351" i="71"/>
  <c r="T351" i="71"/>
  <c r="Q351" i="71"/>
  <c r="N351" i="71"/>
  <c r="K351" i="71"/>
  <c r="H351" i="71"/>
  <c r="AC349" i="71"/>
  <c r="Z349" i="71"/>
  <c r="W349" i="71"/>
  <c r="T349" i="71"/>
  <c r="Q349" i="71"/>
  <c r="N349" i="71"/>
  <c r="K349" i="71"/>
  <c r="H349" i="71"/>
  <c r="AF348" i="71"/>
  <c r="AF347" i="71"/>
  <c r="AF346" i="71"/>
  <c r="AF345" i="71"/>
  <c r="AC343" i="71"/>
  <c r="Z343" i="71"/>
  <c r="W343" i="71"/>
  <c r="T343" i="71"/>
  <c r="Q343" i="71"/>
  <c r="K343" i="71"/>
  <c r="H343" i="71"/>
  <c r="AF342" i="71"/>
  <c r="AF341" i="71"/>
  <c r="N343" i="71"/>
  <c r="AF339" i="71"/>
  <c r="AC337" i="71"/>
  <c r="Z337" i="71"/>
  <c r="W337" i="71"/>
  <c r="T337" i="71"/>
  <c r="Q337" i="71"/>
  <c r="N337" i="71"/>
  <c r="K337" i="71"/>
  <c r="H337" i="71"/>
  <c r="AF336" i="71"/>
  <c r="AF335" i="71"/>
  <c r="AF334" i="71"/>
  <c r="AF333" i="71"/>
  <c r="AB287" i="71"/>
  <c r="Y287" i="71"/>
  <c r="V287" i="71"/>
  <c r="S287" i="71"/>
  <c r="P287" i="71"/>
  <c r="M287" i="71"/>
  <c r="J287" i="71"/>
  <c r="AB285" i="71"/>
  <c r="Y285" i="71"/>
  <c r="V285" i="71"/>
  <c r="S285" i="71"/>
  <c r="P285" i="71"/>
  <c r="M285" i="71"/>
  <c r="J285" i="71"/>
  <c r="AE284" i="71"/>
  <c r="AE283" i="71"/>
  <c r="AE282" i="71"/>
  <c r="AE281" i="71"/>
  <c r="AB279" i="71"/>
  <c r="Y279" i="71"/>
  <c r="V279" i="71"/>
  <c r="S279" i="71"/>
  <c r="AU250" i="71" s="1"/>
  <c r="P279" i="71"/>
  <c r="M279" i="71"/>
  <c r="J279" i="71"/>
  <c r="AE278" i="71"/>
  <c r="AE277" i="71"/>
  <c r="AE276" i="71"/>
  <c r="AE275" i="71"/>
  <c r="AB273" i="71"/>
  <c r="Y273" i="71"/>
  <c r="V273" i="71"/>
  <c r="S273" i="71"/>
  <c r="P273" i="71"/>
  <c r="M273" i="71"/>
  <c r="J273" i="71"/>
  <c r="AE272" i="71"/>
  <c r="AE271" i="71"/>
  <c r="AE270" i="71"/>
  <c r="AE269" i="71"/>
  <c r="H352" i="71" l="1"/>
  <c r="T352" i="71"/>
  <c r="V288" i="71"/>
  <c r="AF337" i="71"/>
  <c r="AE287" i="71"/>
  <c r="J288" i="71"/>
  <c r="Q352" i="71"/>
  <c r="AC352" i="71"/>
  <c r="AF349" i="71"/>
  <c r="K352" i="71"/>
  <c r="W352" i="71"/>
  <c r="N352" i="71"/>
  <c r="M288" i="71"/>
  <c r="P288" i="71"/>
  <c r="AB288" i="71"/>
  <c r="AE285" i="71"/>
  <c r="AF340" i="71"/>
  <c r="AF343" i="71" s="1"/>
  <c r="Z352" i="71"/>
  <c r="Y288" i="71"/>
  <c r="S288" i="71"/>
  <c r="AE279" i="71"/>
  <c r="AF351" i="71"/>
  <c r="AE273" i="71"/>
  <c r="AF352" i="71" l="1"/>
  <c r="AE288" i="71"/>
  <c r="E65" i="90"/>
  <c r="E37" i="90"/>
  <c r="E63" i="90" s="1"/>
  <c r="E36" i="90"/>
  <c r="E18" i="90"/>
  <c r="E35" i="90" s="1"/>
  <c r="E137" i="89"/>
  <c r="E116" i="89" s="1"/>
  <c r="E102" i="89"/>
  <c r="E64" i="90" l="1"/>
  <c r="E69" i="90" s="1"/>
  <c r="D18" i="90" l="1"/>
  <c r="E95" i="89"/>
  <c r="E94" i="89" s="1"/>
  <c r="X613" i="71"/>
  <c r="N606" i="71"/>
  <c r="N603" i="71"/>
  <c r="N616" i="71" l="1"/>
  <c r="N617" i="71" s="1"/>
  <c r="N773" i="71"/>
  <c r="N782" i="71" s="1"/>
  <c r="E11" i="89"/>
  <c r="E10" i="89" s="1"/>
  <c r="D11" i="89"/>
  <c r="D10" i="89" s="1"/>
  <c r="D102" i="89"/>
  <c r="D95" i="89" s="1"/>
  <c r="F23" i="89"/>
  <c r="F20" i="89" s="1"/>
  <c r="F11" i="89" s="1"/>
  <c r="D65" i="90"/>
  <c r="D37" i="90"/>
  <c r="D63" i="90" s="1"/>
  <c r="D36" i="90"/>
  <c r="D35" i="90"/>
  <c r="D116" i="89"/>
  <c r="AL782" i="71" l="1"/>
  <c r="AL766" i="71"/>
  <c r="D94" i="89"/>
  <c r="D64" i="90"/>
  <c r="D69" i="90" s="1"/>
  <c r="D27" i="62"/>
  <c r="N878" i="86" l="1"/>
  <c r="N858" i="86"/>
  <c r="Z846" i="86"/>
  <c r="AA846" i="86"/>
  <c r="AB846" i="86"/>
  <c r="AC846" i="86"/>
  <c r="AD846" i="86"/>
  <c r="AE846" i="86"/>
  <c r="AF846" i="86"/>
  <c r="AG846" i="86"/>
  <c r="Z845" i="86"/>
  <c r="AA845" i="86"/>
  <c r="AB845" i="86"/>
  <c r="AC845" i="86"/>
  <c r="AD845" i="86"/>
  <c r="AE845" i="86"/>
  <c r="AF845" i="86"/>
  <c r="AG845" i="86"/>
  <c r="R846" i="86"/>
  <c r="S846" i="86"/>
  <c r="T846" i="86"/>
  <c r="U846" i="86"/>
  <c r="V846" i="86"/>
  <c r="W846" i="86"/>
  <c r="X846" i="86"/>
  <c r="Y846" i="86"/>
  <c r="R845" i="86"/>
  <c r="D846" i="86" l="1"/>
  <c r="E846" i="86"/>
  <c r="F846" i="86"/>
  <c r="G846" i="86"/>
  <c r="H846" i="86"/>
  <c r="I846" i="86"/>
  <c r="J846" i="86"/>
  <c r="K846" i="86"/>
  <c r="L846" i="86"/>
  <c r="D845" i="86"/>
  <c r="Y783" i="86"/>
  <c r="Z783" i="86"/>
  <c r="AA783" i="86"/>
  <c r="AB783" i="86"/>
  <c r="AC783" i="86"/>
  <c r="AD783" i="86"/>
  <c r="AE783" i="86"/>
  <c r="AF783" i="86"/>
  <c r="AG783" i="86"/>
  <c r="X784" i="86"/>
  <c r="Y784" i="86"/>
  <c r="Z784" i="86"/>
  <c r="AA784" i="86"/>
  <c r="AB784" i="86"/>
  <c r="AC784" i="86"/>
  <c r="AD784" i="86"/>
  <c r="AE784" i="86"/>
  <c r="AF784" i="86"/>
  <c r="AG784" i="86"/>
  <c r="O783" i="86"/>
  <c r="P783" i="86"/>
  <c r="Q783" i="86"/>
  <c r="R783" i="86"/>
  <c r="S783" i="86"/>
  <c r="T783" i="86"/>
  <c r="U783" i="86"/>
  <c r="V783" i="86"/>
  <c r="W783" i="86"/>
  <c r="N784" i="86"/>
  <c r="O784" i="86"/>
  <c r="P784" i="86"/>
  <c r="Q784" i="86"/>
  <c r="R784" i="86"/>
  <c r="S784" i="86"/>
  <c r="T784" i="86"/>
  <c r="U784" i="86"/>
  <c r="V784" i="86"/>
  <c r="W784" i="86"/>
  <c r="Y780" i="86"/>
  <c r="Z780" i="86"/>
  <c r="AA780" i="86"/>
  <c r="AB780" i="86"/>
  <c r="AC780" i="86"/>
  <c r="AD780" i="86"/>
  <c r="AE780" i="86"/>
  <c r="AF780" i="86"/>
  <c r="AG780" i="86"/>
  <c r="Y781" i="86"/>
  <c r="Z781" i="86"/>
  <c r="AA781" i="86"/>
  <c r="AB781" i="86"/>
  <c r="AC781" i="86"/>
  <c r="AD781" i="86"/>
  <c r="AE781" i="86"/>
  <c r="AF781" i="86"/>
  <c r="AG781" i="86"/>
  <c r="X782" i="86"/>
  <c r="Y782" i="86"/>
  <c r="Z782" i="86"/>
  <c r="AA782" i="86"/>
  <c r="AB782" i="86"/>
  <c r="AC782" i="86"/>
  <c r="AD782" i="86"/>
  <c r="AE782" i="86"/>
  <c r="AF782" i="86"/>
  <c r="AG782" i="86"/>
  <c r="O780" i="86"/>
  <c r="P780" i="86"/>
  <c r="Q780" i="86"/>
  <c r="R780" i="86"/>
  <c r="S780" i="86"/>
  <c r="T780" i="86"/>
  <c r="U780" i="86"/>
  <c r="V780" i="86"/>
  <c r="W780" i="86"/>
  <c r="O781" i="86"/>
  <c r="P781" i="86"/>
  <c r="Q781" i="86"/>
  <c r="R781" i="86"/>
  <c r="S781" i="86"/>
  <c r="T781" i="86"/>
  <c r="U781" i="86"/>
  <c r="V781" i="86"/>
  <c r="W781" i="86"/>
  <c r="N782" i="86"/>
  <c r="O782" i="86"/>
  <c r="P782" i="86"/>
  <c r="Q782" i="86"/>
  <c r="R782" i="86"/>
  <c r="S782" i="86"/>
  <c r="T782" i="86"/>
  <c r="U782" i="86"/>
  <c r="V782" i="86"/>
  <c r="W782" i="86"/>
  <c r="X774" i="86"/>
  <c r="Y774" i="86"/>
  <c r="Z774" i="86"/>
  <c r="AA774" i="86"/>
  <c r="AB774" i="86"/>
  <c r="AC774" i="86"/>
  <c r="AD774" i="86"/>
  <c r="AE774" i="86"/>
  <c r="AF774" i="86"/>
  <c r="AG774" i="86"/>
  <c r="X775" i="86"/>
  <c r="Y775" i="86"/>
  <c r="Z775" i="86"/>
  <c r="AA775" i="86"/>
  <c r="AB775" i="86"/>
  <c r="AC775" i="86"/>
  <c r="AD775" i="86"/>
  <c r="AE775" i="86"/>
  <c r="AF775" i="86"/>
  <c r="AG775" i="86"/>
  <c r="X776" i="86"/>
  <c r="Y776" i="86"/>
  <c r="Z776" i="86"/>
  <c r="AA776" i="86"/>
  <c r="AB776" i="86"/>
  <c r="AC776" i="86"/>
  <c r="AD776" i="86"/>
  <c r="AE776" i="86"/>
  <c r="AF776" i="86"/>
  <c r="AG776" i="86"/>
  <c r="X777" i="86"/>
  <c r="Y777" i="86"/>
  <c r="Z777" i="86"/>
  <c r="AA777" i="86"/>
  <c r="AB777" i="86"/>
  <c r="AC777" i="86"/>
  <c r="AD777" i="86"/>
  <c r="AE777" i="86"/>
  <c r="AF777" i="86"/>
  <c r="AG777" i="86"/>
  <c r="X778" i="86"/>
  <c r="Y778" i="86"/>
  <c r="Z778" i="86"/>
  <c r="AA778" i="86"/>
  <c r="AB778" i="86"/>
  <c r="AC778" i="86"/>
  <c r="AD778" i="86"/>
  <c r="AE778" i="86"/>
  <c r="AF778" i="86"/>
  <c r="AG778" i="86"/>
  <c r="X779" i="86"/>
  <c r="Y779" i="86"/>
  <c r="Z779" i="86"/>
  <c r="AA779" i="86"/>
  <c r="AB779" i="86"/>
  <c r="AC779" i="86"/>
  <c r="AD779" i="86"/>
  <c r="AE779" i="86"/>
  <c r="AF779" i="86"/>
  <c r="AG779" i="86"/>
  <c r="N774" i="86"/>
  <c r="O774" i="86"/>
  <c r="P774" i="86"/>
  <c r="Q774" i="86"/>
  <c r="R774" i="86"/>
  <c r="S774" i="86"/>
  <c r="T774" i="86"/>
  <c r="U774" i="86"/>
  <c r="V774" i="86"/>
  <c r="W774" i="86"/>
  <c r="N775" i="86"/>
  <c r="O775" i="86"/>
  <c r="P775" i="86"/>
  <c r="Q775" i="86"/>
  <c r="R775" i="86"/>
  <c r="S775" i="86"/>
  <c r="T775" i="86"/>
  <c r="U775" i="86"/>
  <c r="V775" i="86"/>
  <c r="W775" i="86"/>
  <c r="N776" i="86"/>
  <c r="O776" i="86"/>
  <c r="P776" i="86"/>
  <c r="Q776" i="86"/>
  <c r="R776" i="86"/>
  <c r="S776" i="86"/>
  <c r="T776" i="86"/>
  <c r="U776" i="86"/>
  <c r="V776" i="86"/>
  <c r="W776" i="86"/>
  <c r="N777" i="86"/>
  <c r="O777" i="86"/>
  <c r="P777" i="86"/>
  <c r="Q777" i="86"/>
  <c r="R777" i="86"/>
  <c r="S777" i="86"/>
  <c r="T777" i="86"/>
  <c r="U777" i="86"/>
  <c r="V777" i="86"/>
  <c r="W777" i="86"/>
  <c r="N778" i="86"/>
  <c r="O778" i="86"/>
  <c r="P778" i="86"/>
  <c r="Q778" i="86"/>
  <c r="R778" i="86"/>
  <c r="S778" i="86"/>
  <c r="T778" i="86"/>
  <c r="U778" i="86"/>
  <c r="V778" i="86"/>
  <c r="W778" i="86"/>
  <c r="N779" i="86"/>
  <c r="O779" i="86"/>
  <c r="P779" i="86"/>
  <c r="Q779" i="86"/>
  <c r="R779" i="86"/>
  <c r="S779" i="86"/>
  <c r="T779" i="86"/>
  <c r="U779" i="86"/>
  <c r="V779" i="86"/>
  <c r="W779" i="86"/>
  <c r="M776" i="86"/>
  <c r="L776" i="86"/>
  <c r="K776" i="86"/>
  <c r="J776" i="86"/>
  <c r="I776" i="86"/>
  <c r="H776" i="86"/>
  <c r="G776" i="86"/>
  <c r="F776" i="86"/>
  <c r="E776" i="86"/>
  <c r="M775" i="86"/>
  <c r="L775" i="86"/>
  <c r="K775" i="86"/>
  <c r="J775" i="86"/>
  <c r="I775" i="86"/>
  <c r="H775" i="86"/>
  <c r="G775" i="86"/>
  <c r="F775" i="86"/>
  <c r="E775" i="86"/>
  <c r="M774" i="86"/>
  <c r="L774" i="86"/>
  <c r="K774" i="86"/>
  <c r="J774" i="86"/>
  <c r="I774" i="86"/>
  <c r="H774" i="86"/>
  <c r="G774" i="86"/>
  <c r="F774" i="86"/>
  <c r="E774" i="86"/>
  <c r="X765" i="86"/>
  <c r="Y765" i="86"/>
  <c r="Z765" i="86"/>
  <c r="AA765" i="86"/>
  <c r="AB765" i="86"/>
  <c r="AC765" i="86"/>
  <c r="AD765" i="86"/>
  <c r="AE765" i="86"/>
  <c r="AF765" i="86"/>
  <c r="AG765" i="86"/>
  <c r="X766" i="86"/>
  <c r="Y766" i="86"/>
  <c r="Z766" i="86"/>
  <c r="AA766" i="86"/>
  <c r="AB766" i="86"/>
  <c r="AC766" i="86"/>
  <c r="AD766" i="86"/>
  <c r="AE766" i="86"/>
  <c r="AF766" i="86"/>
  <c r="AG766" i="86"/>
  <c r="X767" i="86"/>
  <c r="Y767" i="86"/>
  <c r="Z767" i="86"/>
  <c r="AA767" i="86"/>
  <c r="AB767" i="86"/>
  <c r="AC767" i="86"/>
  <c r="AD767" i="86"/>
  <c r="AE767" i="86"/>
  <c r="AF767" i="86"/>
  <c r="AG767" i="86"/>
  <c r="Y768" i="86"/>
  <c r="Z768" i="86"/>
  <c r="AA768" i="86"/>
  <c r="AB768" i="86"/>
  <c r="AC768" i="86"/>
  <c r="AD768" i="86"/>
  <c r="AE768" i="86"/>
  <c r="AF768" i="86"/>
  <c r="AG768" i="86"/>
  <c r="X769" i="86"/>
  <c r="Y769" i="86"/>
  <c r="Z769" i="86"/>
  <c r="AA769" i="86"/>
  <c r="AB769" i="86"/>
  <c r="AC769" i="86"/>
  <c r="AD769" i="86"/>
  <c r="AE769" i="86"/>
  <c r="AF769" i="86"/>
  <c r="AG769" i="86"/>
  <c r="X770" i="86"/>
  <c r="Y770" i="86"/>
  <c r="Z770" i="86"/>
  <c r="AA770" i="86"/>
  <c r="AB770" i="86"/>
  <c r="AC770" i="86"/>
  <c r="AD770" i="86"/>
  <c r="AE770" i="86"/>
  <c r="AF770" i="86"/>
  <c r="AG770" i="86"/>
  <c r="X771" i="86"/>
  <c r="Y771" i="86"/>
  <c r="Z771" i="86"/>
  <c r="AA771" i="86"/>
  <c r="AB771" i="86"/>
  <c r="AC771" i="86"/>
  <c r="AD771" i="86"/>
  <c r="AE771" i="86"/>
  <c r="AF771" i="86"/>
  <c r="AG771" i="86"/>
  <c r="Y772" i="86"/>
  <c r="Z772" i="86"/>
  <c r="AA772" i="86"/>
  <c r="AB772" i="86"/>
  <c r="AC772" i="86"/>
  <c r="AD772" i="86"/>
  <c r="AE772" i="86"/>
  <c r="AF772" i="86"/>
  <c r="AG772" i="86"/>
  <c r="N765" i="86"/>
  <c r="O765" i="86"/>
  <c r="P765" i="86"/>
  <c r="Q765" i="86"/>
  <c r="R765" i="86"/>
  <c r="S765" i="86"/>
  <c r="T765" i="86"/>
  <c r="U765" i="86"/>
  <c r="V765" i="86"/>
  <c r="W765" i="86"/>
  <c r="N766" i="86"/>
  <c r="O766" i="86"/>
  <c r="P766" i="86"/>
  <c r="Q766" i="86"/>
  <c r="R766" i="86"/>
  <c r="S766" i="86"/>
  <c r="T766" i="86"/>
  <c r="U766" i="86"/>
  <c r="V766" i="86"/>
  <c r="W766" i="86"/>
  <c r="N767" i="86"/>
  <c r="O767" i="86"/>
  <c r="P767" i="86"/>
  <c r="Q767" i="86"/>
  <c r="R767" i="86"/>
  <c r="S767" i="86"/>
  <c r="T767" i="86"/>
  <c r="U767" i="86"/>
  <c r="V767" i="86"/>
  <c r="W767" i="86"/>
  <c r="N768" i="86"/>
  <c r="O768" i="86"/>
  <c r="P768" i="86"/>
  <c r="Q768" i="86"/>
  <c r="R768" i="86"/>
  <c r="S768" i="86"/>
  <c r="T768" i="86"/>
  <c r="U768" i="86"/>
  <c r="V768" i="86"/>
  <c r="W768" i="86"/>
  <c r="N769" i="86"/>
  <c r="O769" i="86"/>
  <c r="P769" i="86"/>
  <c r="Q769" i="86"/>
  <c r="R769" i="86"/>
  <c r="S769" i="86"/>
  <c r="T769" i="86"/>
  <c r="U769" i="86"/>
  <c r="V769" i="86"/>
  <c r="W769" i="86"/>
  <c r="N770" i="86"/>
  <c r="O770" i="86"/>
  <c r="P770" i="86"/>
  <c r="Q770" i="86"/>
  <c r="R770" i="86"/>
  <c r="S770" i="86"/>
  <c r="T770" i="86"/>
  <c r="U770" i="86"/>
  <c r="V770" i="86"/>
  <c r="W770" i="86"/>
  <c r="N771" i="86"/>
  <c r="O771" i="86"/>
  <c r="P771" i="86"/>
  <c r="Q771" i="86"/>
  <c r="R771" i="86"/>
  <c r="S771" i="86"/>
  <c r="T771" i="86"/>
  <c r="U771" i="86"/>
  <c r="V771" i="86"/>
  <c r="W771" i="86"/>
  <c r="N772" i="86"/>
  <c r="O772" i="86"/>
  <c r="P772" i="86"/>
  <c r="Q772" i="86"/>
  <c r="R772" i="86"/>
  <c r="S772" i="86"/>
  <c r="T772" i="86"/>
  <c r="U772" i="86"/>
  <c r="V772" i="86"/>
  <c r="W772" i="86"/>
  <c r="M772" i="86"/>
  <c r="L772" i="86"/>
  <c r="K772" i="86"/>
  <c r="J772" i="86"/>
  <c r="I772" i="86"/>
  <c r="H772" i="86"/>
  <c r="G772" i="86"/>
  <c r="F772" i="86"/>
  <c r="E772" i="86"/>
  <c r="M771" i="86"/>
  <c r="L771" i="86"/>
  <c r="K771" i="86"/>
  <c r="J771" i="86"/>
  <c r="I771" i="86"/>
  <c r="H771" i="86"/>
  <c r="G771" i="86"/>
  <c r="F771" i="86"/>
  <c r="E771" i="86"/>
  <c r="M770" i="86"/>
  <c r="L770" i="86"/>
  <c r="K770" i="86"/>
  <c r="J770" i="86"/>
  <c r="I770" i="86"/>
  <c r="H770" i="86"/>
  <c r="G770" i="86"/>
  <c r="F770" i="86"/>
  <c r="E770" i="86"/>
  <c r="M769" i="86"/>
  <c r="L769" i="86"/>
  <c r="K769" i="86"/>
  <c r="J769" i="86"/>
  <c r="I769" i="86"/>
  <c r="H769" i="86"/>
  <c r="G769" i="86"/>
  <c r="F769" i="86"/>
  <c r="E769" i="86"/>
  <c r="M768" i="86"/>
  <c r="L768" i="86"/>
  <c r="K768" i="86"/>
  <c r="J768" i="86"/>
  <c r="I768" i="86"/>
  <c r="H768" i="86"/>
  <c r="G768" i="86"/>
  <c r="F768" i="86"/>
  <c r="E768" i="86"/>
  <c r="M767" i="86"/>
  <c r="L767" i="86"/>
  <c r="K767" i="86"/>
  <c r="J767" i="86"/>
  <c r="I767" i="86"/>
  <c r="H767" i="86"/>
  <c r="G767" i="86"/>
  <c r="F767" i="86"/>
  <c r="E767" i="86"/>
  <c r="M766" i="86"/>
  <c r="L766" i="86"/>
  <c r="K766" i="86"/>
  <c r="J766" i="86"/>
  <c r="I766" i="86"/>
  <c r="H766" i="86"/>
  <c r="G766" i="86"/>
  <c r="F766" i="86"/>
  <c r="E766" i="86"/>
  <c r="M765" i="86"/>
  <c r="L765" i="86"/>
  <c r="K765" i="86"/>
  <c r="J765" i="86"/>
  <c r="I765" i="86"/>
  <c r="H765" i="86"/>
  <c r="G765" i="86"/>
  <c r="F765" i="86"/>
  <c r="E765" i="86"/>
  <c r="H570" i="86"/>
  <c r="G570" i="86"/>
  <c r="F570" i="86"/>
  <c r="E570" i="86"/>
  <c r="H569" i="86"/>
  <c r="G569" i="86"/>
  <c r="F569" i="86"/>
  <c r="E569" i="86"/>
  <c r="AD560" i="86"/>
  <c r="AE560" i="86"/>
  <c r="AF560" i="86"/>
  <c r="AG560" i="86"/>
  <c r="AG556" i="86"/>
  <c r="AF556" i="86"/>
  <c r="AE556" i="86"/>
  <c r="AD556" i="86"/>
  <c r="M555" i="86"/>
  <c r="L555" i="86"/>
  <c r="K555" i="86"/>
  <c r="J555" i="86"/>
  <c r="R555" i="86"/>
  <c r="Q555" i="86"/>
  <c r="P555" i="86"/>
  <c r="O555" i="86"/>
  <c r="T555" i="86"/>
  <c r="U555" i="86"/>
  <c r="V555" i="86"/>
  <c r="W555" i="86"/>
  <c r="Y555" i="86"/>
  <c r="Z555" i="86"/>
  <c r="AA555" i="86"/>
  <c r="AB555" i="86"/>
  <c r="AD555" i="86"/>
  <c r="AE555" i="86"/>
  <c r="AF555" i="86"/>
  <c r="AG555" i="86"/>
  <c r="D13" i="62" l="1"/>
  <c r="E98" i="62"/>
  <c r="AL717" i="71" l="1"/>
  <c r="Z719" i="71"/>
  <c r="AP658" i="71" l="1"/>
  <c r="N555" i="71" l="1"/>
  <c r="AA451" i="71"/>
  <c r="AO451" i="71" s="1"/>
  <c r="F63" i="89" l="1"/>
  <c r="F62" i="89" s="1"/>
  <c r="F42" i="89" s="1"/>
  <c r="F10" i="89" s="1"/>
  <c r="G94" i="89" s="1"/>
  <c r="F64" i="89"/>
  <c r="M455" i="71" s="1"/>
  <c r="D141" i="89"/>
  <c r="I124" i="91" l="1"/>
  <c r="F66" i="89"/>
  <c r="J125" i="91"/>
  <c r="J10" i="91"/>
  <c r="D9" i="90" l="1"/>
  <c r="E9" i="90"/>
  <c r="V830" i="71" l="1"/>
  <c r="Z831" i="71" s="1"/>
  <c r="N793" i="71"/>
  <c r="N783" i="86" s="1"/>
  <c r="N791" i="71"/>
  <c r="X793" i="71"/>
  <c r="X783" i="86" s="1"/>
  <c r="X783" i="71"/>
  <c r="N742" i="71"/>
  <c r="X742" i="71"/>
  <c r="X739" i="71" s="1"/>
  <c r="N736" i="71"/>
  <c r="X736" i="71"/>
  <c r="S555" i="71"/>
  <c r="X555" i="71"/>
  <c r="I555" i="71"/>
  <c r="AC558" i="71"/>
  <c r="AD839" i="71" l="1"/>
  <c r="AD840" i="71"/>
  <c r="AM897" i="71"/>
  <c r="N781" i="86"/>
  <c r="N790" i="71"/>
  <c r="N780" i="86" s="1"/>
  <c r="AC560" i="86"/>
  <c r="AM558" i="71"/>
  <c r="X768" i="86"/>
  <c r="N739" i="71"/>
  <c r="Z838" i="71"/>
  <c r="AD838" i="71" s="1"/>
  <c r="AC568" i="71"/>
  <c r="AC567" i="71"/>
  <c r="AL556" i="71" s="1"/>
  <c r="AC565" i="71"/>
  <c r="X564" i="71"/>
  <c r="S564" i="71"/>
  <c r="N564" i="71"/>
  <c r="I564" i="71"/>
  <c r="Y520" i="71"/>
  <c r="Y517" i="71"/>
  <c r="Y514" i="71"/>
  <c r="Y511" i="71"/>
  <c r="X501" i="71"/>
  <c r="AD841" i="71" l="1"/>
  <c r="AC566" i="71"/>
  <c r="AC564" i="71"/>
  <c r="Z841" i="71" l="1"/>
  <c r="AF308" i="71"/>
  <c r="AD885" i="71" l="1"/>
  <c r="AD872" i="86" s="1"/>
  <c r="AL658" i="71"/>
  <c r="AM654" i="71"/>
  <c r="J830" i="71"/>
  <c r="N831" i="71" l="1"/>
  <c r="R840" i="71"/>
  <c r="R839" i="71"/>
  <c r="I229" i="91"/>
  <c r="I227" i="91"/>
  <c r="E131" i="91"/>
  <c r="E124" i="91"/>
  <c r="N838" i="71" l="1"/>
  <c r="R838" i="71" s="1"/>
  <c r="R841" i="71"/>
  <c r="AL793" i="71" l="1"/>
  <c r="AL790" i="71"/>
  <c r="AP766" i="71"/>
  <c r="AO766" i="71"/>
  <c r="R542" i="71" l="1"/>
  <c r="M461" i="71"/>
  <c r="N326" i="71" l="1"/>
  <c r="N318" i="71"/>
  <c r="N312" i="71"/>
  <c r="D97" i="62" l="1"/>
  <c r="D98" i="62"/>
  <c r="F30" i="65" l="1"/>
  <c r="N33" i="93" l="1"/>
  <c r="O33" i="93"/>
  <c r="P33" i="93"/>
  <c r="Q33" i="93"/>
  <c r="R33" i="93"/>
  <c r="S33" i="93"/>
  <c r="AA32" i="93"/>
  <c r="Z32" i="93"/>
  <c r="Y32" i="93"/>
  <c r="X32" i="93"/>
  <c r="W32" i="93"/>
  <c r="V32" i="93"/>
  <c r="U32" i="93"/>
  <c r="T32" i="93"/>
  <c r="S32" i="93"/>
  <c r="R32" i="93"/>
  <c r="Q32" i="93"/>
  <c r="P32" i="93"/>
  <c r="AP840" i="71"/>
  <c r="AP839" i="71"/>
  <c r="AO840" i="71"/>
  <c r="AO839" i="71"/>
  <c r="AP830" i="71"/>
  <c r="AO791" i="71"/>
  <c r="AO790" i="71"/>
  <c r="G64" i="92"/>
  <c r="AM906" i="71" l="1"/>
  <c r="AM903" i="71"/>
  <c r="AM901" i="71"/>
  <c r="AM899" i="71"/>
  <c r="AM898" i="71"/>
  <c r="AM896" i="71"/>
  <c r="AM895" i="71"/>
  <c r="AM894" i="71"/>
  <c r="AM893" i="71"/>
  <c r="AM892" i="71"/>
  <c r="AM891" i="71"/>
  <c r="AD884" i="71"/>
  <c r="AD871" i="86" s="1"/>
  <c r="AD883" i="71"/>
  <c r="AD870" i="86" s="1"/>
  <c r="AD882" i="71"/>
  <c r="AD869" i="86" s="1"/>
  <c r="AD881" i="71"/>
  <c r="AD868" i="86" s="1"/>
  <c r="AD880" i="71"/>
  <c r="AD867" i="86" s="1"/>
  <c r="AD876" i="71"/>
  <c r="AD875" i="71"/>
  <c r="AD862" i="86" s="1"/>
  <c r="AD874" i="71"/>
  <c r="AD861" i="86" s="1"/>
  <c r="AD873" i="71"/>
  <c r="AD860" i="86" s="1"/>
  <c r="AD872" i="71"/>
  <c r="AD859" i="86" s="1"/>
  <c r="AD871" i="71"/>
  <c r="AP841" i="71"/>
  <c r="N841" i="71"/>
  <c r="AP807" i="71"/>
  <c r="AO807" i="71"/>
  <c r="AM807" i="71"/>
  <c r="AL807" i="71"/>
  <c r="AM793" i="71"/>
  <c r="AD858" i="86" l="1"/>
  <c r="AO891" i="71"/>
  <c r="AD863" i="86"/>
  <c r="AO897" i="71"/>
  <c r="AO876" i="71"/>
  <c r="AO904" i="71"/>
  <c r="AO905" i="71"/>
  <c r="AO895" i="71"/>
  <c r="AO899" i="71"/>
  <c r="AO896" i="71"/>
  <c r="AO900" i="71"/>
  <c r="AO893" i="71"/>
  <c r="AO894" i="71"/>
  <c r="AM880" i="71"/>
  <c r="AO841" i="71"/>
  <c r="AO871" i="71"/>
  <c r="AO874" i="71"/>
  <c r="AO875" i="71"/>
  <c r="AO873" i="71"/>
  <c r="AO883" i="71"/>
  <c r="AO881" i="71"/>
  <c r="AO884" i="71"/>
  <c r="AO872" i="71"/>
  <c r="AO882" i="71"/>
  <c r="AM885" i="71"/>
  <c r="AL871" i="71"/>
  <c r="AM874" i="71"/>
  <c r="AM902" i="71"/>
  <c r="AM875" i="71"/>
  <c r="AM871" i="71"/>
  <c r="AM873" i="71"/>
  <c r="AM876" i="71"/>
  <c r="AM905" i="71"/>
  <c r="AM872" i="71"/>
  <c r="AM881" i="71"/>
  <c r="AM882" i="71"/>
  <c r="AM883" i="71"/>
  <c r="AM884" i="71"/>
  <c r="AM900" i="71"/>
  <c r="AM904" i="71"/>
  <c r="X631" i="71" l="1"/>
  <c r="AC554" i="71"/>
  <c r="AM554" i="71" l="1"/>
  <c r="AC556" i="86"/>
  <c r="B67" i="95" l="1"/>
  <c r="B68" i="95"/>
  <c r="B69" i="95"/>
  <c r="B70" i="95"/>
  <c r="B71" i="95"/>
  <c r="B72" i="95"/>
  <c r="B66" i="95"/>
  <c r="B37" i="95"/>
  <c r="B38" i="95"/>
  <c r="B39" i="95"/>
  <c r="B40" i="95"/>
  <c r="B41" i="95"/>
  <c r="B42" i="95"/>
  <c r="B43" i="95"/>
  <c r="B44" i="95"/>
  <c r="B45" i="95"/>
  <c r="B46" i="95"/>
  <c r="B47" i="95"/>
  <c r="B48" i="95"/>
  <c r="B49" i="95"/>
  <c r="B50" i="95"/>
  <c r="B51" i="95"/>
  <c r="B52" i="95"/>
  <c r="B53" i="95"/>
  <c r="B54" i="95"/>
  <c r="B55" i="95"/>
  <c r="B56" i="95"/>
  <c r="B57" i="95"/>
  <c r="B58" i="95"/>
  <c r="B59" i="95"/>
  <c r="B60" i="95"/>
  <c r="B61" i="95"/>
  <c r="B62" i="95"/>
  <c r="B36" i="95"/>
  <c r="B7" i="95"/>
  <c r="B8" i="95"/>
  <c r="B9" i="95"/>
  <c r="B10" i="95"/>
  <c r="B11" i="95"/>
  <c r="B12" i="95"/>
  <c r="B13" i="95"/>
  <c r="B14" i="95"/>
  <c r="B15" i="95"/>
  <c r="B16" i="95"/>
  <c r="B17" i="95"/>
  <c r="B18" i="95"/>
  <c r="B19" i="95"/>
  <c r="B20" i="95"/>
  <c r="B21" i="95"/>
  <c r="B22" i="95"/>
  <c r="B23" i="95"/>
  <c r="B24" i="95"/>
  <c r="B25" i="95"/>
  <c r="B26" i="95"/>
  <c r="B27" i="95"/>
  <c r="B28" i="95"/>
  <c r="B29" i="95"/>
  <c r="B30" i="95"/>
  <c r="B31" i="95"/>
  <c r="B32" i="95"/>
  <c r="B6" i="95"/>
  <c r="B222" i="99"/>
  <c r="B223" i="99"/>
  <c r="B224" i="99"/>
  <c r="B225" i="99"/>
  <c r="B226" i="99"/>
  <c r="B227" i="99"/>
  <c r="B228" i="99"/>
  <c r="B229" i="99"/>
  <c r="B230" i="99"/>
  <c r="B231" i="99"/>
  <c r="B232" i="99"/>
  <c r="B233" i="99"/>
  <c r="B234" i="99"/>
  <c r="B235" i="99"/>
  <c r="B236" i="99"/>
  <c r="B237" i="99"/>
  <c r="B238" i="99"/>
  <c r="B239" i="99"/>
  <c r="B240" i="99"/>
  <c r="B241" i="99"/>
  <c r="B242" i="99"/>
  <c r="B243" i="99"/>
  <c r="B244" i="99"/>
  <c r="B245" i="99"/>
  <c r="B246" i="99"/>
  <c r="B247" i="99"/>
  <c r="B248" i="99"/>
  <c r="B221" i="99"/>
  <c r="B193" i="99"/>
  <c r="B194" i="99"/>
  <c r="B195" i="99"/>
  <c r="B196" i="99"/>
  <c r="B197" i="99"/>
  <c r="B198" i="99"/>
  <c r="B199" i="99"/>
  <c r="B200" i="99"/>
  <c r="B201" i="99"/>
  <c r="B202" i="99"/>
  <c r="B203" i="99"/>
  <c r="B204" i="99"/>
  <c r="B205" i="99"/>
  <c r="B206" i="99"/>
  <c r="B207" i="99"/>
  <c r="B208" i="99"/>
  <c r="B209" i="99"/>
  <c r="B210" i="99"/>
  <c r="B211" i="99"/>
  <c r="B212" i="99"/>
  <c r="B213" i="99"/>
  <c r="B214" i="99"/>
  <c r="B215" i="99"/>
  <c r="B216" i="99"/>
  <c r="B217" i="99"/>
  <c r="B218" i="99"/>
  <c r="B219" i="99"/>
  <c r="B192" i="99"/>
  <c r="B181" i="99"/>
  <c r="B182" i="99"/>
  <c r="B183" i="99"/>
  <c r="B184" i="99"/>
  <c r="B185" i="99"/>
  <c r="B186" i="99"/>
  <c r="B187" i="99"/>
  <c r="B188" i="99"/>
  <c r="B189" i="99"/>
  <c r="B190" i="99"/>
  <c r="B180" i="99"/>
  <c r="AP753" i="71" l="1"/>
  <c r="AP752" i="71"/>
  <c r="AO753" i="71"/>
  <c r="AO752" i="71"/>
  <c r="AP751" i="71"/>
  <c r="AO751" i="71"/>
  <c r="R13" i="65" l="1"/>
  <c r="R12" i="65"/>
  <c r="AG3" i="86" l="1"/>
  <c r="AF3" i="86"/>
  <c r="AE3" i="86"/>
  <c r="AD3" i="86"/>
  <c r="AC3" i="86"/>
  <c r="AB3" i="86"/>
  <c r="AA3" i="86"/>
  <c r="Z3" i="86"/>
  <c r="W3" i="86"/>
  <c r="V3" i="86"/>
  <c r="U3" i="86"/>
  <c r="T3" i="86"/>
  <c r="S3" i="86"/>
  <c r="R3" i="86"/>
  <c r="Q3" i="86"/>
  <c r="P3" i="86"/>
  <c r="O3" i="86"/>
  <c r="N3" i="86"/>
  <c r="X589" i="71" l="1"/>
  <c r="AM589" i="71" s="1"/>
  <c r="N589" i="71"/>
  <c r="AL589" i="71" s="1"/>
  <c r="X592" i="71"/>
  <c r="AM592" i="71" s="1"/>
  <c r="N592" i="71"/>
  <c r="X553" i="71"/>
  <c r="X555" i="86" s="1"/>
  <c r="S553" i="71"/>
  <c r="S555" i="86" s="1"/>
  <c r="N553" i="71"/>
  <c r="N555" i="86" s="1"/>
  <c r="I553" i="71"/>
  <c r="I555" i="86" s="1"/>
  <c r="P511" i="71"/>
  <c r="AO511" i="71" s="1"/>
  <c r="P514" i="71"/>
  <c r="P517" i="71"/>
  <c r="P520" i="71"/>
  <c r="AL592" i="71" l="1"/>
  <c r="AO592" i="71"/>
  <c r="AF3" i="71"/>
  <c r="AE3" i="71"/>
  <c r="AD3" i="71"/>
  <c r="AC3" i="71"/>
  <c r="AB3" i="71"/>
  <c r="AA3" i="71"/>
  <c r="Z3" i="71"/>
  <c r="Y3" i="71"/>
  <c r="K203" i="99" l="1"/>
  <c r="H66" i="103"/>
  <c r="G88" i="89"/>
  <c r="E88" i="89"/>
  <c r="F88" i="89"/>
  <c r="E77" i="101"/>
  <c r="H65" i="103"/>
  <c r="G65" i="103"/>
  <c r="H64" i="103"/>
  <c r="G64" i="103"/>
  <c r="H63" i="103"/>
  <c r="G63" i="103"/>
  <c r="H62" i="103"/>
  <c r="G62" i="103"/>
  <c r="H60" i="103"/>
  <c r="G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2"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K240" i="101"/>
  <c r="I240" i="101"/>
  <c r="K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I203"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E176" i="101"/>
  <c r="E175" i="101"/>
  <c r="E174" i="101"/>
  <c r="E173" i="101"/>
  <c r="E172" i="101"/>
  <c r="E171" i="101"/>
  <c r="E170" i="101"/>
  <c r="E169" i="101"/>
  <c r="E168" i="101"/>
  <c r="E167" i="101"/>
  <c r="E166" i="101"/>
  <c r="E165" i="101"/>
  <c r="E164" i="101"/>
  <c r="E163" i="101"/>
  <c r="E162" i="101"/>
  <c r="J158" i="101"/>
  <c r="J156" i="101"/>
  <c r="J154" i="101"/>
  <c r="J152" i="101"/>
  <c r="J150" i="101"/>
  <c r="J148" i="101"/>
  <c r="J146" i="101"/>
  <c r="J144" i="101"/>
  <c r="J142" i="101"/>
  <c r="J140" i="101"/>
  <c r="J138" i="101"/>
  <c r="J136" i="101"/>
  <c r="J134" i="101"/>
  <c r="J132" i="101"/>
  <c r="E158" i="101"/>
  <c r="E157" i="101"/>
  <c r="E156" i="101"/>
  <c r="E155" i="101"/>
  <c r="E154" i="101"/>
  <c r="E153" i="101"/>
  <c r="E152" i="101"/>
  <c r="E151" i="101"/>
  <c r="E150" i="101"/>
  <c r="E149" i="101"/>
  <c r="E148" i="101"/>
  <c r="E147" i="101"/>
  <c r="E146" i="101"/>
  <c r="E145" i="101"/>
  <c r="E144" i="101"/>
  <c r="E143" i="101"/>
  <c r="E142" i="101"/>
  <c r="E141" i="101"/>
  <c r="E140" i="101"/>
  <c r="E139" i="101"/>
  <c r="E138" i="101"/>
  <c r="E137" i="101"/>
  <c r="E136" i="101"/>
  <c r="E135" i="101"/>
  <c r="E134" i="101"/>
  <c r="E133" i="101"/>
  <c r="E132" i="101"/>
  <c r="E131" i="101"/>
  <c r="J127" i="101"/>
  <c r="J125" i="101"/>
  <c r="J123" i="101"/>
  <c r="J121" i="101"/>
  <c r="J119" i="101"/>
  <c r="J117" i="101"/>
  <c r="J115" i="101"/>
  <c r="J113" i="101"/>
  <c r="J111" i="101"/>
  <c r="J109" i="101"/>
  <c r="J107" i="101"/>
  <c r="J105" i="101"/>
  <c r="J103" i="101"/>
  <c r="J101" i="101"/>
  <c r="E127" i="101"/>
  <c r="E126" i="101"/>
  <c r="E125" i="101"/>
  <c r="E124" i="101"/>
  <c r="E123" i="101"/>
  <c r="E122" i="101"/>
  <c r="E121" i="101"/>
  <c r="E120" i="101"/>
  <c r="E119" i="101"/>
  <c r="E118" i="101"/>
  <c r="E117" i="101"/>
  <c r="E116" i="101"/>
  <c r="E115" i="101"/>
  <c r="E114" i="101"/>
  <c r="E113" i="101"/>
  <c r="E112" i="101"/>
  <c r="E111" i="101"/>
  <c r="E110" i="101"/>
  <c r="E109" i="101"/>
  <c r="E108" i="101"/>
  <c r="E107" i="101"/>
  <c r="E106" i="101"/>
  <c r="E105" i="101"/>
  <c r="E104" i="101"/>
  <c r="E103" i="101"/>
  <c r="E102" i="101"/>
  <c r="E101" i="101"/>
  <c r="E100" i="101"/>
  <c r="J96" i="101"/>
  <c r="J94" i="101"/>
  <c r="J92" i="101"/>
  <c r="J90" i="101"/>
  <c r="J88" i="101"/>
  <c r="J86" i="101"/>
  <c r="J84" i="101"/>
  <c r="J82" i="101"/>
  <c r="J80" i="101"/>
  <c r="J78" i="101"/>
  <c r="J76" i="101"/>
  <c r="J74" i="101"/>
  <c r="J72" i="101"/>
  <c r="J70" i="101"/>
  <c r="E96" i="101"/>
  <c r="E95" i="101"/>
  <c r="E94" i="101"/>
  <c r="E93" i="101"/>
  <c r="E92" i="101"/>
  <c r="E91" i="101"/>
  <c r="E90" i="101"/>
  <c r="E89" i="101"/>
  <c r="E88" i="101"/>
  <c r="E87" i="101"/>
  <c r="E86" i="101"/>
  <c r="E85" i="101"/>
  <c r="E84" i="101"/>
  <c r="E83" i="101"/>
  <c r="E82" i="101"/>
  <c r="E81" i="101"/>
  <c r="E80" i="101"/>
  <c r="E79" i="101"/>
  <c r="E76" i="101"/>
  <c r="E75" i="101"/>
  <c r="E74" i="101"/>
  <c r="E73" i="101"/>
  <c r="E72" i="101"/>
  <c r="E71" i="101"/>
  <c r="I71" i="101" s="1"/>
  <c r="E70" i="101"/>
  <c r="E69" i="101"/>
  <c r="J65" i="101"/>
  <c r="J63" i="101"/>
  <c r="J61" i="101"/>
  <c r="J59" i="101"/>
  <c r="J57" i="101"/>
  <c r="J55" i="101"/>
  <c r="J53" i="101"/>
  <c r="J51" i="101"/>
  <c r="J49" i="101"/>
  <c r="J47" i="101"/>
  <c r="J45" i="101"/>
  <c r="J43" i="101"/>
  <c r="J41" i="101"/>
  <c r="J39" i="101"/>
  <c r="E65" i="101"/>
  <c r="E64" i="101"/>
  <c r="E63" i="101"/>
  <c r="E62" i="101"/>
  <c r="E61" i="101"/>
  <c r="E60" i="101"/>
  <c r="E59" i="101"/>
  <c r="E58" i="101"/>
  <c r="E57" i="101"/>
  <c r="E56" i="101"/>
  <c r="E55" i="101"/>
  <c r="E54" i="101"/>
  <c r="E53" i="101"/>
  <c r="E52" i="101"/>
  <c r="E51" i="101"/>
  <c r="E50" i="101"/>
  <c r="E49" i="101"/>
  <c r="E48" i="101"/>
  <c r="E47" i="101"/>
  <c r="E46" i="101"/>
  <c r="E45" i="101"/>
  <c r="E44" i="101"/>
  <c r="E43" i="101"/>
  <c r="E42" i="101"/>
  <c r="E41" i="101"/>
  <c r="E40" i="101"/>
  <c r="E39" i="101"/>
  <c r="E38" i="101"/>
  <c r="J34" i="101"/>
  <c r="J32" i="101"/>
  <c r="J30" i="101"/>
  <c r="J28" i="101"/>
  <c r="J26" i="101"/>
  <c r="J24" i="101"/>
  <c r="J22" i="101"/>
  <c r="J20" i="101"/>
  <c r="J18" i="101"/>
  <c r="J16" i="101"/>
  <c r="J14" i="101"/>
  <c r="J12" i="101"/>
  <c r="J10" i="101"/>
  <c r="J8" i="101"/>
  <c r="E34" i="101"/>
  <c r="E33" i="101"/>
  <c r="E32" i="101"/>
  <c r="E31" i="101"/>
  <c r="E30" i="101"/>
  <c r="E29" i="101"/>
  <c r="I29" i="101" s="1"/>
  <c r="E28" i="101"/>
  <c r="E27" i="101"/>
  <c r="E26" i="101"/>
  <c r="E25" i="101"/>
  <c r="E24" i="101"/>
  <c r="E23" i="101"/>
  <c r="E22" i="101"/>
  <c r="E21" i="101"/>
  <c r="E20" i="101"/>
  <c r="E19" i="101"/>
  <c r="E18" i="101"/>
  <c r="E17" i="101"/>
  <c r="E16" i="101"/>
  <c r="E15" i="101"/>
  <c r="E14" i="101"/>
  <c r="E13" i="101"/>
  <c r="E12" i="101"/>
  <c r="E11" i="101"/>
  <c r="E10" i="101"/>
  <c r="I176" i="101"/>
  <c r="I168" i="101"/>
  <c r="K248" i="99"/>
  <c r="I248" i="99"/>
  <c r="K247" i="99"/>
  <c r="I247" i="99"/>
  <c r="K246" i="99"/>
  <c r="I246" i="99"/>
  <c r="K245" i="99"/>
  <c r="I245" i="99"/>
  <c r="K244" i="99"/>
  <c r="I244" i="99"/>
  <c r="K243" i="99"/>
  <c r="I243" i="99"/>
  <c r="K242" i="99"/>
  <c r="I242" i="99"/>
  <c r="K241" i="99"/>
  <c r="K240" i="99"/>
  <c r="I240" i="99"/>
  <c r="K239" i="99"/>
  <c r="K238" i="99"/>
  <c r="I238" i="99"/>
  <c r="K237" i="99"/>
  <c r="I237" i="99"/>
  <c r="K236" i="99"/>
  <c r="I236" i="99"/>
  <c r="K235" i="99"/>
  <c r="I235" i="99"/>
  <c r="K234" i="99"/>
  <c r="I234" i="99"/>
  <c r="K233" i="99"/>
  <c r="I233" i="99"/>
  <c r="K232" i="99"/>
  <c r="I232" i="99"/>
  <c r="K231" i="99"/>
  <c r="I231" i="99"/>
  <c r="K230" i="99"/>
  <c r="I230" i="99"/>
  <c r="K229" i="99"/>
  <c r="I229" i="99"/>
  <c r="K228" i="99"/>
  <c r="I228" i="99"/>
  <c r="K227" i="99"/>
  <c r="I227" i="99"/>
  <c r="K226" i="99"/>
  <c r="I226" i="99"/>
  <c r="K225" i="99"/>
  <c r="I225" i="99"/>
  <c r="K224" i="99"/>
  <c r="I224" i="99"/>
  <c r="K223" i="99"/>
  <c r="I223" i="99"/>
  <c r="K222" i="99"/>
  <c r="I222" i="99"/>
  <c r="K221" i="99"/>
  <c r="I221" i="99"/>
  <c r="K219" i="99"/>
  <c r="I219" i="99"/>
  <c r="K218" i="99"/>
  <c r="I218" i="99"/>
  <c r="K217" i="99"/>
  <c r="I217" i="99"/>
  <c r="K216" i="99"/>
  <c r="I216" i="99"/>
  <c r="K215" i="99"/>
  <c r="I215" i="99"/>
  <c r="K214" i="99"/>
  <c r="I214" i="99"/>
  <c r="K213" i="99"/>
  <c r="I213" i="99"/>
  <c r="K212" i="99"/>
  <c r="I212" i="99"/>
  <c r="K211" i="99"/>
  <c r="I211" i="99"/>
  <c r="K210" i="99"/>
  <c r="I210" i="99"/>
  <c r="K209" i="99"/>
  <c r="I209" i="99"/>
  <c r="K208" i="99"/>
  <c r="I208" i="99"/>
  <c r="K207" i="99"/>
  <c r="I207" i="99"/>
  <c r="K206" i="99"/>
  <c r="I206" i="99"/>
  <c r="K205" i="99"/>
  <c r="I205" i="99"/>
  <c r="K204" i="99"/>
  <c r="I204" i="99"/>
  <c r="I203" i="99"/>
  <c r="K201" i="99"/>
  <c r="I201" i="99"/>
  <c r="K200" i="99"/>
  <c r="I200" i="99"/>
  <c r="K199" i="99"/>
  <c r="I199" i="99"/>
  <c r="K198" i="99"/>
  <c r="I198" i="99"/>
  <c r="K197" i="99"/>
  <c r="I197" i="99"/>
  <c r="K196" i="99"/>
  <c r="I196" i="99"/>
  <c r="K195" i="99"/>
  <c r="I195" i="99"/>
  <c r="K194" i="99"/>
  <c r="I194" i="99"/>
  <c r="K193" i="99"/>
  <c r="I193" i="99"/>
  <c r="K192" i="99"/>
  <c r="I192" i="99"/>
  <c r="K190" i="99"/>
  <c r="I190" i="99"/>
  <c r="K189" i="99"/>
  <c r="I189" i="99"/>
  <c r="K188" i="99"/>
  <c r="I188" i="99"/>
  <c r="K187" i="99"/>
  <c r="I187" i="99"/>
  <c r="K186" i="99"/>
  <c r="I186" i="99"/>
  <c r="K185" i="99"/>
  <c r="I185" i="99"/>
  <c r="K184" i="99"/>
  <c r="I184" i="99"/>
  <c r="K183" i="99"/>
  <c r="I183" i="99"/>
  <c r="K182" i="99"/>
  <c r="I182" i="99"/>
  <c r="J177" i="99"/>
  <c r="J175" i="99"/>
  <c r="J173" i="99"/>
  <c r="J171" i="99"/>
  <c r="J169" i="99"/>
  <c r="J167" i="99"/>
  <c r="J165" i="99"/>
  <c r="J163" i="99"/>
  <c r="E177" i="99"/>
  <c r="E176" i="99"/>
  <c r="E175" i="99"/>
  <c r="E174" i="99"/>
  <c r="E173" i="99"/>
  <c r="E172" i="99"/>
  <c r="E171" i="99"/>
  <c r="E170" i="99"/>
  <c r="E169" i="99"/>
  <c r="E168" i="99"/>
  <c r="E167" i="99"/>
  <c r="E166" i="99"/>
  <c r="E165" i="99"/>
  <c r="E164" i="99"/>
  <c r="E163" i="99"/>
  <c r="E162" i="99"/>
  <c r="J158" i="99"/>
  <c r="J156" i="99"/>
  <c r="J154" i="99"/>
  <c r="J152" i="99"/>
  <c r="J150" i="99"/>
  <c r="J148" i="99"/>
  <c r="J146" i="99"/>
  <c r="J144" i="99"/>
  <c r="J142" i="99"/>
  <c r="J140" i="99"/>
  <c r="J138" i="99"/>
  <c r="J136" i="99"/>
  <c r="J134" i="99"/>
  <c r="J132" i="99"/>
  <c r="E158" i="99"/>
  <c r="E157" i="99"/>
  <c r="E156" i="99"/>
  <c r="E155" i="99"/>
  <c r="E154" i="99"/>
  <c r="E153" i="99"/>
  <c r="E152" i="99"/>
  <c r="E151" i="99"/>
  <c r="E150" i="99"/>
  <c r="E149" i="99"/>
  <c r="E148" i="99"/>
  <c r="E147" i="99"/>
  <c r="E146" i="99"/>
  <c r="E145" i="99"/>
  <c r="E144" i="99"/>
  <c r="E143" i="99"/>
  <c r="E142" i="99"/>
  <c r="E141" i="99"/>
  <c r="E140" i="99"/>
  <c r="E139" i="99"/>
  <c r="E138" i="99"/>
  <c r="E137" i="99"/>
  <c r="E136" i="99"/>
  <c r="E135" i="99"/>
  <c r="E134" i="99"/>
  <c r="E133" i="99"/>
  <c r="E132" i="99"/>
  <c r="E131" i="99"/>
  <c r="J127" i="99"/>
  <c r="J125" i="99"/>
  <c r="J123" i="99"/>
  <c r="J121" i="99"/>
  <c r="J119" i="99"/>
  <c r="J117" i="99"/>
  <c r="J115" i="99"/>
  <c r="J113" i="99"/>
  <c r="J111" i="99"/>
  <c r="J109" i="99"/>
  <c r="J107" i="99"/>
  <c r="J105" i="99"/>
  <c r="J103" i="99"/>
  <c r="J101" i="99"/>
  <c r="E127" i="99"/>
  <c r="E126" i="99"/>
  <c r="E125" i="99"/>
  <c r="E124" i="99"/>
  <c r="E123" i="99"/>
  <c r="E122" i="99"/>
  <c r="E121" i="99"/>
  <c r="E120" i="99"/>
  <c r="E119" i="99"/>
  <c r="E118" i="99"/>
  <c r="E117" i="99"/>
  <c r="E116" i="99"/>
  <c r="E115" i="99"/>
  <c r="E114" i="99"/>
  <c r="E113" i="99"/>
  <c r="E112" i="99"/>
  <c r="E111" i="99"/>
  <c r="E110" i="99"/>
  <c r="E109" i="99"/>
  <c r="E108" i="99"/>
  <c r="E107" i="99"/>
  <c r="E106" i="99"/>
  <c r="E105" i="99"/>
  <c r="E104" i="99"/>
  <c r="E103" i="99"/>
  <c r="E102" i="99"/>
  <c r="E101" i="99"/>
  <c r="E100" i="99"/>
  <c r="J96" i="99"/>
  <c r="J94" i="99"/>
  <c r="J92" i="99"/>
  <c r="J90" i="99"/>
  <c r="J88" i="99"/>
  <c r="J86" i="99"/>
  <c r="J84" i="99"/>
  <c r="J82" i="99"/>
  <c r="J80" i="99"/>
  <c r="J78" i="99"/>
  <c r="J76" i="99"/>
  <c r="J74" i="99"/>
  <c r="J72" i="99"/>
  <c r="J70" i="99"/>
  <c r="E96" i="99"/>
  <c r="E95" i="99"/>
  <c r="E94" i="99"/>
  <c r="E93" i="99"/>
  <c r="E92" i="99"/>
  <c r="E91" i="99"/>
  <c r="E90" i="99"/>
  <c r="E89" i="99"/>
  <c r="E88" i="99"/>
  <c r="E87" i="99"/>
  <c r="E86" i="99"/>
  <c r="E85" i="99"/>
  <c r="E84" i="99"/>
  <c r="E83" i="99"/>
  <c r="E82" i="99"/>
  <c r="E81" i="99"/>
  <c r="E80" i="99"/>
  <c r="E79" i="99"/>
  <c r="E76" i="99"/>
  <c r="E75" i="99"/>
  <c r="E74" i="99"/>
  <c r="E73" i="99"/>
  <c r="E72" i="99"/>
  <c r="E71" i="99"/>
  <c r="E70" i="99"/>
  <c r="E69" i="99"/>
  <c r="J65" i="99"/>
  <c r="J63" i="99"/>
  <c r="J61" i="99"/>
  <c r="J59" i="99"/>
  <c r="J57" i="99"/>
  <c r="J55" i="99"/>
  <c r="J53" i="99"/>
  <c r="J51" i="99"/>
  <c r="J49" i="99"/>
  <c r="J47" i="99"/>
  <c r="J45" i="99"/>
  <c r="J43" i="99"/>
  <c r="J41" i="99"/>
  <c r="J39" i="99"/>
  <c r="E65" i="99"/>
  <c r="E64" i="99"/>
  <c r="E63" i="99"/>
  <c r="E62" i="99"/>
  <c r="E61" i="99"/>
  <c r="E60" i="99"/>
  <c r="E59" i="99"/>
  <c r="E58" i="99"/>
  <c r="E57" i="99"/>
  <c r="E56" i="99"/>
  <c r="E55" i="99"/>
  <c r="E54" i="99"/>
  <c r="E53" i="99"/>
  <c r="E52" i="99"/>
  <c r="E51" i="99"/>
  <c r="E50" i="99"/>
  <c r="E49" i="99"/>
  <c r="E48" i="99"/>
  <c r="E47" i="99"/>
  <c r="E46" i="99"/>
  <c r="E45" i="99"/>
  <c r="E44" i="99"/>
  <c r="E43" i="99"/>
  <c r="E42" i="99"/>
  <c r="E41" i="99"/>
  <c r="E40" i="99"/>
  <c r="E39" i="99"/>
  <c r="E38" i="99"/>
  <c r="J34" i="99"/>
  <c r="J32" i="99"/>
  <c r="J30" i="99"/>
  <c r="J28" i="99"/>
  <c r="J26" i="99"/>
  <c r="J24" i="99"/>
  <c r="J22" i="99"/>
  <c r="J20" i="99"/>
  <c r="J18" i="99"/>
  <c r="J16" i="99"/>
  <c r="J14" i="99"/>
  <c r="J12" i="99"/>
  <c r="J10" i="99"/>
  <c r="J8" i="99"/>
  <c r="E34" i="99"/>
  <c r="E33" i="99"/>
  <c r="E32" i="99"/>
  <c r="E31" i="99"/>
  <c r="E30" i="99"/>
  <c r="E29" i="99"/>
  <c r="E28" i="99"/>
  <c r="E27" i="99"/>
  <c r="E26" i="99"/>
  <c r="E25" i="99"/>
  <c r="E24" i="99"/>
  <c r="E23" i="99"/>
  <c r="E22" i="99"/>
  <c r="E21" i="99"/>
  <c r="E20" i="99"/>
  <c r="E19" i="99"/>
  <c r="E18" i="99"/>
  <c r="E17" i="99"/>
  <c r="E16" i="99"/>
  <c r="E15" i="99"/>
  <c r="E14" i="99"/>
  <c r="E13" i="99"/>
  <c r="E12" i="99"/>
  <c r="E11" i="99"/>
  <c r="E10" i="99"/>
  <c r="I15" i="99" l="1"/>
  <c r="I23" i="99"/>
  <c r="I91" i="99"/>
  <c r="I104" i="99"/>
  <c r="I157" i="99"/>
  <c r="I19" i="99"/>
  <c r="I69" i="99"/>
  <c r="I137" i="99"/>
  <c r="I174" i="99"/>
  <c r="I91" i="101"/>
  <c r="I79" i="99"/>
  <c r="I13" i="99"/>
  <c r="I139" i="99"/>
  <c r="I75" i="101"/>
  <c r="I106" i="101"/>
  <c r="I114" i="101"/>
  <c r="I40" i="101"/>
  <c r="I48" i="101"/>
  <c r="I122" i="101"/>
  <c r="I31" i="101"/>
  <c r="I44" i="101"/>
  <c r="I73" i="101"/>
  <c r="I64" i="101"/>
  <c r="I69" i="101"/>
  <c r="I145" i="101"/>
  <c r="I147" i="99"/>
  <c r="I17" i="99"/>
  <c r="I81" i="99"/>
  <c r="I85" i="99"/>
  <c r="I89" i="99"/>
  <c r="I102" i="99"/>
  <c r="I106" i="99"/>
  <c r="I110" i="99"/>
  <c r="I114" i="99"/>
  <c r="I126" i="99"/>
  <c r="I135" i="99"/>
  <c r="I151" i="99"/>
  <c r="I155" i="99"/>
  <c r="I176" i="99"/>
  <c r="I95" i="101"/>
  <c r="I133" i="101"/>
  <c r="I137" i="101"/>
  <c r="I141" i="101"/>
  <c r="I149" i="101"/>
  <c r="I153" i="101"/>
  <c r="I157" i="101"/>
  <c r="I95" i="99"/>
  <c r="I100" i="99"/>
  <c r="I108" i="99"/>
  <c r="I112" i="99"/>
  <c r="I116" i="99"/>
  <c r="I133" i="99"/>
  <c r="I141" i="99"/>
  <c r="I145" i="99"/>
  <c r="I153" i="99"/>
  <c r="I170" i="99"/>
  <c r="I81" i="101"/>
  <c r="I85" i="101"/>
  <c r="I89" i="101"/>
  <c r="I102" i="101"/>
  <c r="I110" i="101"/>
  <c r="I126" i="101"/>
  <c r="I135" i="101"/>
  <c r="I139" i="101"/>
  <c r="I147" i="101"/>
  <c r="I151" i="101"/>
  <c r="I155" i="101"/>
  <c r="I164" i="101"/>
  <c r="I172" i="101"/>
  <c r="I120" i="99"/>
  <c r="I124" i="99"/>
  <c r="AO830" i="71"/>
  <c r="I143" i="99"/>
  <c r="I118" i="101"/>
  <c r="I93" i="99"/>
  <c r="I118" i="99"/>
  <c r="I33" i="101"/>
  <c r="K203" i="101"/>
  <c r="K202" i="99"/>
  <c r="G32" i="103"/>
  <c r="G61" i="103"/>
  <c r="H61" i="103"/>
  <c r="I172" i="99"/>
  <c r="I166" i="99"/>
  <c r="I164" i="99"/>
  <c r="I143" i="101"/>
  <c r="I131" i="99"/>
  <c r="I131" i="101"/>
  <c r="E78" i="101"/>
  <c r="I77" i="101" s="1"/>
  <c r="I93" i="101"/>
  <c r="E78" i="99"/>
  <c r="E7" i="91"/>
  <c r="I83" i="99"/>
  <c r="I87" i="99"/>
  <c r="I83" i="101"/>
  <c r="I87" i="101"/>
  <c r="E9" i="99"/>
  <c r="I9" i="99" s="1"/>
  <c r="I52" i="101"/>
  <c r="I60" i="101"/>
  <c r="E9" i="101"/>
  <c r="I9" i="101" s="1"/>
  <c r="E8" i="101"/>
  <c r="I56" i="101"/>
  <c r="E8" i="99"/>
  <c r="I58" i="99"/>
  <c r="I29" i="99"/>
  <c r="I33" i="99"/>
  <c r="I42" i="99"/>
  <c r="I21" i="101"/>
  <c r="I11" i="101"/>
  <c r="I15" i="101"/>
  <c r="I19" i="101"/>
  <c r="I23" i="101"/>
  <c r="I21" i="99"/>
  <c r="I25" i="99"/>
  <c r="I13" i="101"/>
  <c r="I17" i="101"/>
  <c r="I25" i="101"/>
  <c r="E77" i="99"/>
  <c r="I122" i="99"/>
  <c r="I168" i="99"/>
  <c r="I162" i="99"/>
  <c r="I149" i="99"/>
  <c r="I79" i="101"/>
  <c r="I50" i="99"/>
  <c r="I38" i="99"/>
  <c r="I46" i="99"/>
  <c r="I54" i="99"/>
  <c r="I62" i="99"/>
  <c r="I71" i="99"/>
  <c r="I75" i="99"/>
  <c r="I31" i="99"/>
  <c r="I40" i="99"/>
  <c r="I44" i="99"/>
  <c r="I48" i="99"/>
  <c r="I52" i="99"/>
  <c r="I56" i="99"/>
  <c r="I60" i="99"/>
  <c r="I64" i="99"/>
  <c r="I73" i="99"/>
  <c r="I27" i="99"/>
  <c r="I27" i="101"/>
  <c r="I11" i="99"/>
  <c r="I46" i="101"/>
  <c r="I54" i="101"/>
  <c r="I62" i="101"/>
  <c r="I100" i="101"/>
  <c r="I108" i="101"/>
  <c r="I116" i="101"/>
  <c r="I124" i="101"/>
  <c r="I162" i="101"/>
  <c r="I166" i="101"/>
  <c r="I170" i="101"/>
  <c r="I174" i="101"/>
  <c r="I38" i="101"/>
  <c r="I42" i="101"/>
  <c r="I50" i="101"/>
  <c r="I58" i="101"/>
  <c r="I104" i="101"/>
  <c r="I112" i="101"/>
  <c r="I120" i="101"/>
  <c r="E7" i="99" l="1"/>
  <c r="I7" i="99" s="1"/>
  <c r="E7" i="101"/>
  <c r="I7" i="101" s="1"/>
  <c r="AO906" i="71"/>
  <c r="AO885" i="71"/>
  <c r="K202" i="101"/>
  <c r="K181" i="99"/>
  <c r="D88" i="89"/>
  <c r="I77" i="99"/>
  <c r="I202" i="99"/>
  <c r="I202" i="101"/>
  <c r="AP745" i="71"/>
  <c r="AO745" i="71"/>
  <c r="AP740" i="71"/>
  <c r="AO740" i="71"/>
  <c r="AP739" i="71"/>
  <c r="AO739" i="71"/>
  <c r="AP718" i="71"/>
  <c r="AP717" i="71"/>
  <c r="AP716" i="71"/>
  <c r="AO718" i="71"/>
  <c r="AO717" i="71"/>
  <c r="AO716" i="71"/>
  <c r="AP656" i="71"/>
  <c r="AP654" i="71"/>
  <c r="AP652" i="71"/>
  <c r="G66" i="103" l="1"/>
  <c r="K180" i="101"/>
  <c r="K181" i="101"/>
  <c r="I181" i="99"/>
  <c r="I181" i="101"/>
  <c r="W29" i="96"/>
  <c r="E161" i="89" l="1"/>
  <c r="K180" i="99"/>
  <c r="I180" i="99"/>
  <c r="I180" i="101"/>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H72" i="95"/>
  <c r="G72" i="95"/>
  <c r="H71" i="95"/>
  <c r="G71" i="95"/>
  <c r="H70" i="95"/>
  <c r="G70" i="95"/>
  <c r="H69" i="95"/>
  <c r="G69" i="95"/>
  <c r="H68" i="95"/>
  <c r="G68" i="95"/>
  <c r="H67" i="95"/>
  <c r="G67" i="95"/>
  <c r="H66" i="95"/>
  <c r="G66" i="95"/>
  <c r="H62" i="95"/>
  <c r="G62" i="95"/>
  <c r="H61" i="95"/>
  <c r="G61" i="95"/>
  <c r="H60" i="95"/>
  <c r="G60" i="95"/>
  <c r="H59" i="95"/>
  <c r="G59" i="95"/>
  <c r="H58" i="95"/>
  <c r="G58" i="95"/>
  <c r="H57" i="95"/>
  <c r="G57" i="95"/>
  <c r="H56" i="95"/>
  <c r="G56" i="95"/>
  <c r="H55" i="95"/>
  <c r="G55" i="95"/>
  <c r="H54" i="95"/>
  <c r="G54" i="95"/>
  <c r="H53" i="95"/>
  <c r="G53" i="95"/>
  <c r="H52" i="95"/>
  <c r="G52" i="95"/>
  <c r="H51" i="95"/>
  <c r="G51" i="95"/>
  <c r="H50" i="95"/>
  <c r="G50" i="95"/>
  <c r="H49" i="95"/>
  <c r="G49" i="95"/>
  <c r="H48" i="95"/>
  <c r="G48" i="95"/>
  <c r="H47" i="95"/>
  <c r="G47" i="95"/>
  <c r="H46" i="95"/>
  <c r="G46" i="95"/>
  <c r="H45" i="95"/>
  <c r="G45" i="95"/>
  <c r="H44" i="95"/>
  <c r="G44" i="95"/>
  <c r="H43" i="95"/>
  <c r="G43" i="95"/>
  <c r="H42" i="95"/>
  <c r="G42" i="95"/>
  <c r="H41" i="95"/>
  <c r="G41" i="95"/>
  <c r="H40" i="95"/>
  <c r="G40" i="95"/>
  <c r="H39" i="95"/>
  <c r="G39" i="95"/>
  <c r="H38" i="95"/>
  <c r="G38" i="95"/>
  <c r="H37" i="95"/>
  <c r="G37" i="95"/>
  <c r="H36" i="95"/>
  <c r="G36" i="95"/>
  <c r="H32" i="95"/>
  <c r="G32" i="95"/>
  <c r="H31" i="95"/>
  <c r="G31" i="95"/>
  <c r="H30" i="95"/>
  <c r="G30" i="95"/>
  <c r="H29" i="95"/>
  <c r="G29" i="95"/>
  <c r="H28" i="95"/>
  <c r="G28" i="95"/>
  <c r="H27" i="95"/>
  <c r="G27" i="95"/>
  <c r="H26" i="95"/>
  <c r="G26" i="95"/>
  <c r="H25" i="95"/>
  <c r="G25" i="95"/>
  <c r="H24" i="95"/>
  <c r="G24" i="95"/>
  <c r="H23" i="95"/>
  <c r="G23" i="95"/>
  <c r="H22" i="95"/>
  <c r="G22" i="95"/>
  <c r="H21" i="95"/>
  <c r="G21" i="95"/>
  <c r="H20" i="95"/>
  <c r="G20" i="95"/>
  <c r="H19" i="95"/>
  <c r="G19" i="95"/>
  <c r="H18" i="95"/>
  <c r="G18" i="95"/>
  <c r="H17" i="95"/>
  <c r="G17" i="95"/>
  <c r="H16" i="95"/>
  <c r="G16" i="95"/>
  <c r="H15" i="95"/>
  <c r="G15" i="95"/>
  <c r="H14" i="95"/>
  <c r="G14" i="95"/>
  <c r="H13" i="95"/>
  <c r="G13" i="95"/>
  <c r="H12" i="95"/>
  <c r="G12" i="95"/>
  <c r="H11" i="95"/>
  <c r="G11" i="95"/>
  <c r="H10" i="95"/>
  <c r="G10" i="95"/>
  <c r="H9" i="95"/>
  <c r="G9" i="95"/>
  <c r="H8" i="95"/>
  <c r="G8" i="95"/>
  <c r="H7" i="95"/>
  <c r="G7" i="95"/>
  <c r="H6" i="95"/>
  <c r="G6" i="95"/>
  <c r="E156" i="91"/>
  <c r="E11" i="62" l="1"/>
  <c r="D11" i="62"/>
  <c r="U40" i="93"/>
  <c r="T40" i="93"/>
  <c r="S40" i="93"/>
  <c r="R40" i="93"/>
  <c r="P40" i="93"/>
  <c r="O40" i="93"/>
  <c r="M40" i="93"/>
  <c r="L40" i="93"/>
  <c r="J40" i="93"/>
  <c r="I40" i="93"/>
  <c r="H40" i="93"/>
  <c r="G40" i="93"/>
  <c r="E40" i="93"/>
  <c r="D40" i="93"/>
  <c r="B40" i="93"/>
  <c r="A40" i="93"/>
  <c r="AK37" i="93"/>
  <c r="AJ37" i="93"/>
  <c r="AI37" i="93"/>
  <c r="AH37" i="93"/>
  <c r="AG37" i="93"/>
  <c r="AF37" i="93"/>
  <c r="AE37" i="93"/>
  <c r="AD37" i="93"/>
  <c r="AC37" i="93"/>
  <c r="AB37" i="93"/>
  <c r="AA37" i="93"/>
  <c r="Z37" i="93"/>
  <c r="Y37" i="93"/>
  <c r="X37" i="93"/>
  <c r="W37" i="93"/>
  <c r="V37" i="93"/>
  <c r="U37" i="93"/>
  <c r="T37" i="93"/>
  <c r="S37" i="93"/>
  <c r="R37" i="93"/>
  <c r="Q37" i="93"/>
  <c r="P37" i="93"/>
  <c r="O37" i="93"/>
  <c r="N37" i="93"/>
  <c r="M37" i="93"/>
  <c r="L37" i="93"/>
  <c r="K37" i="93"/>
  <c r="J37" i="93"/>
  <c r="I37" i="93"/>
  <c r="H37" i="93"/>
  <c r="G37" i="93"/>
  <c r="F37" i="93"/>
  <c r="E37" i="93"/>
  <c r="D37" i="93"/>
  <c r="C37" i="93"/>
  <c r="B37" i="93"/>
  <c r="A37" i="93"/>
  <c r="AA35" i="93"/>
  <c r="Z35" i="93"/>
  <c r="Y35" i="93"/>
  <c r="X35" i="93"/>
  <c r="W35" i="93"/>
  <c r="V35" i="93"/>
  <c r="U35" i="93"/>
  <c r="T35" i="93"/>
  <c r="R35" i="93"/>
  <c r="Q35" i="93"/>
  <c r="M35" i="93"/>
  <c r="L35" i="93"/>
  <c r="K35" i="93"/>
  <c r="J35" i="93"/>
  <c r="I35" i="93"/>
  <c r="H35" i="93"/>
  <c r="G35" i="93"/>
  <c r="F35" i="93"/>
  <c r="D35" i="93"/>
  <c r="C35" i="93"/>
  <c r="B35" i="93"/>
  <c r="AK33" i="93"/>
  <c r="AJ33" i="93"/>
  <c r="AI33" i="93"/>
  <c r="AH33" i="93"/>
  <c r="AG33" i="93"/>
  <c r="AF33" i="93"/>
  <c r="AE33" i="93"/>
  <c r="AD33" i="93"/>
  <c r="AC33" i="93"/>
  <c r="AB33" i="93"/>
  <c r="AA33" i="93"/>
  <c r="Z33" i="93"/>
  <c r="Y33" i="93"/>
  <c r="X33" i="93"/>
  <c r="W33" i="93"/>
  <c r="V33" i="93"/>
  <c r="U33" i="93"/>
  <c r="T33" i="93"/>
  <c r="AK30" i="93"/>
  <c r="AJ30" i="93"/>
  <c r="AI30" i="93"/>
  <c r="AH30" i="93"/>
  <c r="AG30" i="93"/>
  <c r="AF30" i="93"/>
  <c r="AE30" i="93"/>
  <c r="AD30" i="93"/>
  <c r="AC30" i="93"/>
  <c r="AB30" i="93"/>
  <c r="AA30" i="93"/>
  <c r="Z30" i="93"/>
  <c r="Y30" i="93"/>
  <c r="X30" i="93"/>
  <c r="W30" i="93"/>
  <c r="V30" i="93"/>
  <c r="U30" i="93"/>
  <c r="T30" i="93"/>
  <c r="S30" i="93"/>
  <c r="R30" i="93"/>
  <c r="Q30" i="93"/>
  <c r="P30" i="93"/>
  <c r="O30" i="93"/>
  <c r="N30" i="93"/>
  <c r="M30" i="93"/>
  <c r="L30" i="93"/>
  <c r="K30" i="93"/>
  <c r="J30" i="93"/>
  <c r="I30" i="93"/>
  <c r="H30" i="93"/>
  <c r="G30" i="93"/>
  <c r="E30" i="93"/>
  <c r="D30" i="93"/>
  <c r="C30" i="93"/>
  <c r="B30" i="93"/>
  <c r="A30" i="93"/>
  <c r="AK28" i="93"/>
  <c r="AJ28" i="93"/>
  <c r="AI28" i="93"/>
  <c r="AH28" i="93"/>
  <c r="AG28" i="93"/>
  <c r="AF28" i="93"/>
  <c r="AE28" i="93"/>
  <c r="AD28" i="93"/>
  <c r="AB28" i="93"/>
  <c r="AA28" i="93"/>
  <c r="Z28" i="93"/>
  <c r="Y28" i="93"/>
  <c r="X28" i="93"/>
  <c r="W28" i="93"/>
  <c r="V28" i="93"/>
  <c r="U28" i="93"/>
  <c r="T28" i="93"/>
  <c r="S28" i="93"/>
  <c r="R28" i="93"/>
  <c r="Q28" i="93"/>
  <c r="P28" i="93"/>
  <c r="O28" i="93"/>
  <c r="N28" i="93"/>
  <c r="M28" i="93"/>
  <c r="L28" i="93"/>
  <c r="K28" i="93"/>
  <c r="J28" i="93"/>
  <c r="I28" i="93"/>
  <c r="H28" i="93"/>
  <c r="G28" i="93"/>
  <c r="F28" i="93"/>
  <c r="E28" i="93"/>
  <c r="D28" i="93"/>
  <c r="C28" i="93"/>
  <c r="B28" i="93"/>
  <c r="A28" i="93"/>
  <c r="AK25" i="93"/>
  <c r="AJ25" i="93"/>
  <c r="AI25" i="93"/>
  <c r="AH25" i="93"/>
  <c r="AG25" i="93"/>
  <c r="AF25" i="93"/>
  <c r="AE25" i="93"/>
  <c r="AD25" i="93"/>
  <c r="AC25" i="93"/>
  <c r="AB25" i="93"/>
  <c r="AA25" i="93"/>
  <c r="Z25" i="93"/>
  <c r="Y25" i="93"/>
  <c r="X25" i="93"/>
  <c r="W25" i="93"/>
  <c r="V25" i="93"/>
  <c r="U25" i="93"/>
  <c r="T25" i="93"/>
  <c r="S25" i="93"/>
  <c r="R25" i="93"/>
  <c r="Q25" i="93"/>
  <c r="P25" i="93"/>
  <c r="O25" i="93"/>
  <c r="N25" i="93"/>
  <c r="M25" i="93"/>
  <c r="L25" i="93"/>
  <c r="K25" i="93"/>
  <c r="J25" i="93"/>
  <c r="I25" i="93"/>
  <c r="H25" i="93"/>
  <c r="G25" i="93"/>
  <c r="AK23" i="93"/>
  <c r="AJ23" i="93"/>
  <c r="AI23" i="93"/>
  <c r="AH23" i="93"/>
  <c r="AG23" i="93"/>
  <c r="AF23" i="93"/>
  <c r="AE23" i="93"/>
  <c r="AD23" i="93"/>
  <c r="AC23" i="93"/>
  <c r="AB23" i="93"/>
  <c r="AA23" i="93"/>
  <c r="Z23" i="93"/>
  <c r="Y23" i="93"/>
  <c r="X23" i="93"/>
  <c r="W23" i="93"/>
  <c r="V23" i="93"/>
  <c r="U23" i="93"/>
  <c r="T23" i="93"/>
  <c r="S23" i="93"/>
  <c r="R23" i="93"/>
  <c r="Q23" i="93"/>
  <c r="P23" i="93"/>
  <c r="O23" i="93"/>
  <c r="N23" i="93"/>
  <c r="M23" i="93"/>
  <c r="L23" i="93"/>
  <c r="K23" i="93"/>
  <c r="J23" i="93"/>
  <c r="I23" i="93"/>
  <c r="H23" i="93"/>
  <c r="G23" i="93"/>
  <c r="F23" i="93"/>
  <c r="E23" i="93"/>
  <c r="D23" i="93"/>
  <c r="C23" i="93"/>
  <c r="B23" i="93"/>
  <c r="A23" i="93"/>
  <c r="AK22" i="93"/>
  <c r="AJ22" i="93"/>
  <c r="AI22" i="93"/>
  <c r="AH22" i="93"/>
  <c r="AG22" i="93"/>
  <c r="AF22" i="93"/>
  <c r="AE22" i="93"/>
  <c r="AD22" i="93"/>
  <c r="AC22" i="93"/>
  <c r="AB22" i="93"/>
  <c r="AA22" i="93"/>
  <c r="Z22" i="93"/>
  <c r="Y22" i="93"/>
  <c r="X22" i="93"/>
  <c r="W22" i="93"/>
  <c r="V22" i="93"/>
  <c r="U22" i="93"/>
  <c r="T22" i="93"/>
  <c r="S22" i="93"/>
  <c r="R22" i="93"/>
  <c r="Q22" i="93"/>
  <c r="P22" i="93"/>
  <c r="O22" i="93"/>
  <c r="N22" i="93"/>
  <c r="M22" i="93"/>
  <c r="L22" i="93"/>
  <c r="K22" i="93"/>
  <c r="J22" i="93"/>
  <c r="I22" i="93"/>
  <c r="H22" i="93"/>
  <c r="G22" i="93"/>
  <c r="F22" i="93"/>
  <c r="E22" i="93"/>
  <c r="D22" i="93"/>
  <c r="C22" i="93"/>
  <c r="B22" i="93"/>
  <c r="A22" i="93"/>
  <c r="Z18" i="93"/>
  <c r="N18" i="93"/>
  <c r="B18" i="93"/>
  <c r="L15" i="93"/>
  <c r="G15" i="93"/>
  <c r="E15" i="93"/>
  <c r="D15" i="93"/>
  <c r="B15" i="93"/>
  <c r="A15" i="93"/>
  <c r="L14" i="93"/>
  <c r="L13" i="93"/>
  <c r="H13" i="93"/>
  <c r="G13" i="93"/>
  <c r="F13" i="93"/>
  <c r="E13" i="93"/>
  <c r="D13" i="93"/>
  <c r="C13" i="93"/>
  <c r="B13" i="93"/>
  <c r="A13" i="93"/>
  <c r="L12" i="93"/>
  <c r="J11" i="93"/>
  <c r="I11" i="93"/>
  <c r="H11" i="93"/>
  <c r="G11" i="93"/>
  <c r="F11" i="93"/>
  <c r="E11" i="93"/>
  <c r="D11" i="93"/>
  <c r="C11" i="93"/>
  <c r="B11" i="93"/>
  <c r="A11" i="93"/>
  <c r="D32" i="62" l="1"/>
  <c r="AP643" i="71"/>
  <c r="AO643" i="71"/>
  <c r="AP641" i="71"/>
  <c r="AO641" i="71"/>
  <c r="AP592" i="71"/>
  <c r="AP589" i="71"/>
  <c r="AO589" i="71"/>
  <c r="AP520" i="71"/>
  <c r="AO520" i="71"/>
  <c r="AP517" i="71"/>
  <c r="AO517" i="71"/>
  <c r="AP514" i="71"/>
  <c r="AO514" i="71"/>
  <c r="AP511" i="71"/>
  <c r="AP498" i="71"/>
  <c r="AO498" i="71"/>
  <c r="AP497" i="71"/>
  <c r="AP500" i="71" s="1"/>
  <c r="AO497" i="71"/>
  <c r="AO500" i="71" s="1"/>
  <c r="AP499" i="71"/>
  <c r="AO499" i="71"/>
  <c r="D37" i="62" l="1"/>
  <c r="D41" i="62" s="1"/>
  <c r="H35" i="92"/>
  <c r="L72" i="89"/>
  <c r="M72" i="89"/>
  <c r="N72" i="89"/>
  <c r="G7" i="92"/>
  <c r="G6" i="92"/>
  <c r="J70" i="91" l="1"/>
  <c r="E30" i="91"/>
  <c r="E101" i="91"/>
  <c r="E95" i="91"/>
  <c r="H66" i="92"/>
  <c r="H65" i="92"/>
  <c r="G65" i="92"/>
  <c r="H64" i="92"/>
  <c r="H63" i="92"/>
  <c r="G63" i="92"/>
  <c r="H62" i="92"/>
  <c r="G62" i="92"/>
  <c r="H60" i="92"/>
  <c r="H59" i="92"/>
  <c r="G59" i="92"/>
  <c r="H58" i="92"/>
  <c r="G58" i="92"/>
  <c r="H57" i="92"/>
  <c r="G57" i="92"/>
  <c r="H56" i="92"/>
  <c r="G56" i="92"/>
  <c r="H55" i="92"/>
  <c r="G55" i="92"/>
  <c r="H54" i="92"/>
  <c r="G54" i="92"/>
  <c r="H53" i="92"/>
  <c r="G53" i="92"/>
  <c r="H52" i="92"/>
  <c r="G52" i="92"/>
  <c r="H51" i="92"/>
  <c r="G51" i="92"/>
  <c r="H50" i="92"/>
  <c r="G50" i="92"/>
  <c r="H49" i="92"/>
  <c r="G49" i="92"/>
  <c r="H48" i="92"/>
  <c r="G48" i="92"/>
  <c r="H47" i="92"/>
  <c r="G47" i="92"/>
  <c r="H46" i="92"/>
  <c r="G46" i="92"/>
  <c r="H45" i="92"/>
  <c r="G45" i="92"/>
  <c r="H44" i="92"/>
  <c r="G44" i="92"/>
  <c r="H43" i="92"/>
  <c r="G43" i="92"/>
  <c r="H42" i="92"/>
  <c r="G42" i="92"/>
  <c r="H41" i="92"/>
  <c r="G41" i="92"/>
  <c r="H40" i="92"/>
  <c r="G40" i="92"/>
  <c r="H39" i="92"/>
  <c r="G39" i="92"/>
  <c r="H38" i="92"/>
  <c r="G38" i="92"/>
  <c r="H37" i="92"/>
  <c r="G37" i="92"/>
  <c r="H36" i="92"/>
  <c r="G36" i="92"/>
  <c r="G35" i="92"/>
  <c r="H34" i="92"/>
  <c r="G34" i="92"/>
  <c r="H33" i="92"/>
  <c r="G33" i="92"/>
  <c r="H32" i="92"/>
  <c r="G32" i="92"/>
  <c r="H31" i="92"/>
  <c r="G31" i="92"/>
  <c r="H30" i="92"/>
  <c r="G30" i="92"/>
  <c r="H29" i="92"/>
  <c r="G29" i="92"/>
  <c r="H28" i="92"/>
  <c r="G28" i="92"/>
  <c r="H27" i="92"/>
  <c r="G27" i="92"/>
  <c r="H26" i="92"/>
  <c r="G26" i="92"/>
  <c r="H25" i="92"/>
  <c r="G25" i="92"/>
  <c r="H24" i="92"/>
  <c r="G24" i="92"/>
  <c r="H23" i="92"/>
  <c r="G23" i="92"/>
  <c r="H22" i="92"/>
  <c r="G22" i="92"/>
  <c r="H21" i="92"/>
  <c r="G21" i="92"/>
  <c r="H20" i="92"/>
  <c r="G20" i="92"/>
  <c r="H19" i="92"/>
  <c r="G19" i="92"/>
  <c r="H18" i="92"/>
  <c r="G18" i="92"/>
  <c r="H17" i="92"/>
  <c r="G17" i="92"/>
  <c r="H16" i="92"/>
  <c r="G16" i="92"/>
  <c r="H15" i="92"/>
  <c r="G15" i="92"/>
  <c r="H14" i="92"/>
  <c r="G14" i="92"/>
  <c r="H13" i="92"/>
  <c r="G13" i="92"/>
  <c r="H12" i="92"/>
  <c r="G12" i="92"/>
  <c r="H11" i="92"/>
  <c r="G11" i="92"/>
  <c r="H10" i="92"/>
  <c r="G10" i="92"/>
  <c r="H9" i="92"/>
  <c r="G9" i="92"/>
  <c r="H8" i="92"/>
  <c r="G8" i="92"/>
  <c r="H7" i="92"/>
  <c r="H6" i="92"/>
  <c r="E38" i="91"/>
  <c r="K248" i="91"/>
  <c r="I248" i="91"/>
  <c r="K247" i="91"/>
  <c r="I247" i="91"/>
  <c r="K246" i="91"/>
  <c r="I246" i="91"/>
  <c r="K245" i="91"/>
  <c r="I245" i="91"/>
  <c r="K244" i="91"/>
  <c r="I244" i="91"/>
  <c r="K243" i="91"/>
  <c r="I243" i="91"/>
  <c r="K242" i="91"/>
  <c r="I242" i="91"/>
  <c r="K241" i="91"/>
  <c r="K240" i="91"/>
  <c r="I240" i="91"/>
  <c r="K239" i="91"/>
  <c r="K238" i="91"/>
  <c r="I238" i="91"/>
  <c r="K237" i="91"/>
  <c r="I237" i="91"/>
  <c r="K236" i="91"/>
  <c r="I236" i="91"/>
  <c r="K235" i="91"/>
  <c r="I235" i="91"/>
  <c r="K234" i="91"/>
  <c r="I234" i="91"/>
  <c r="K233" i="91"/>
  <c r="I233" i="91"/>
  <c r="K232" i="91"/>
  <c r="I232" i="91"/>
  <c r="K231" i="91"/>
  <c r="I231" i="91"/>
  <c r="K230" i="91"/>
  <c r="I230" i="91"/>
  <c r="K229" i="91"/>
  <c r="K228" i="91"/>
  <c r="I228" i="91"/>
  <c r="K227" i="91"/>
  <c r="K226" i="91"/>
  <c r="I226" i="91"/>
  <c r="K225" i="91"/>
  <c r="I225" i="91"/>
  <c r="K224" i="91"/>
  <c r="I224" i="91"/>
  <c r="K223" i="91"/>
  <c r="I223" i="91"/>
  <c r="K222" i="91"/>
  <c r="I222" i="91"/>
  <c r="K221" i="91"/>
  <c r="I221" i="91"/>
  <c r="K219" i="91"/>
  <c r="I219" i="91"/>
  <c r="K218" i="91"/>
  <c r="I218" i="91"/>
  <c r="K217" i="91"/>
  <c r="I217" i="91"/>
  <c r="K216" i="91"/>
  <c r="I216" i="91"/>
  <c r="K215" i="91"/>
  <c r="I215" i="91"/>
  <c r="K214" i="91"/>
  <c r="I214" i="91"/>
  <c r="K213" i="91"/>
  <c r="I213" i="91"/>
  <c r="K212" i="91"/>
  <c r="I212" i="91"/>
  <c r="K211" i="91"/>
  <c r="I211" i="91"/>
  <c r="K210" i="91"/>
  <c r="I210" i="91"/>
  <c r="K209" i="91"/>
  <c r="I209" i="91"/>
  <c r="K208" i="91"/>
  <c r="I208" i="91"/>
  <c r="K207" i="91"/>
  <c r="I207" i="91"/>
  <c r="K206" i="91"/>
  <c r="I206" i="91"/>
  <c r="K205" i="91"/>
  <c r="I205" i="91"/>
  <c r="K204" i="91"/>
  <c r="I204" i="91"/>
  <c r="K203" i="91"/>
  <c r="I203" i="91"/>
  <c r="K202" i="91"/>
  <c r="I202" i="91"/>
  <c r="K201" i="91"/>
  <c r="I201" i="91"/>
  <c r="K200" i="91"/>
  <c r="I200" i="91"/>
  <c r="K199" i="91"/>
  <c r="I199" i="91"/>
  <c r="K198" i="91"/>
  <c r="I198" i="91"/>
  <c r="K197" i="91"/>
  <c r="I197" i="91"/>
  <c r="K196" i="91"/>
  <c r="I196" i="91"/>
  <c r="K195" i="91"/>
  <c r="I195" i="91"/>
  <c r="K194" i="91"/>
  <c r="I194" i="91"/>
  <c r="K193" i="91"/>
  <c r="I193" i="91"/>
  <c r="K192" i="91"/>
  <c r="I192" i="91"/>
  <c r="K190" i="91"/>
  <c r="I190" i="91"/>
  <c r="K189" i="91"/>
  <c r="I189" i="91"/>
  <c r="K188" i="91"/>
  <c r="I188" i="91"/>
  <c r="K187" i="91"/>
  <c r="I187" i="91"/>
  <c r="K186" i="91"/>
  <c r="I186" i="91"/>
  <c r="K185" i="91"/>
  <c r="I185" i="91"/>
  <c r="K184" i="91"/>
  <c r="I184" i="91"/>
  <c r="K183" i="91"/>
  <c r="I183" i="91"/>
  <c r="K182" i="91"/>
  <c r="I182" i="91"/>
  <c r="K181" i="91"/>
  <c r="I181" i="91"/>
  <c r="K180" i="91"/>
  <c r="I180" i="91"/>
  <c r="J177" i="91"/>
  <c r="J175" i="91"/>
  <c r="J173" i="91"/>
  <c r="J171" i="91"/>
  <c r="J169" i="91"/>
  <c r="J167" i="91"/>
  <c r="J165" i="91"/>
  <c r="E177" i="91"/>
  <c r="E176" i="91"/>
  <c r="E175" i="91"/>
  <c r="E174" i="91"/>
  <c r="E173" i="91"/>
  <c r="E172" i="91"/>
  <c r="E171" i="91"/>
  <c r="E170" i="91"/>
  <c r="E169" i="91"/>
  <c r="E168" i="91"/>
  <c r="E167" i="91"/>
  <c r="E166" i="91"/>
  <c r="E165" i="91"/>
  <c r="E164" i="91"/>
  <c r="J163" i="91"/>
  <c r="J158" i="91"/>
  <c r="J156" i="91"/>
  <c r="J154" i="91"/>
  <c r="J152" i="91"/>
  <c r="J150" i="91"/>
  <c r="J148" i="91"/>
  <c r="J146" i="91"/>
  <c r="J144" i="91"/>
  <c r="J142" i="91"/>
  <c r="J140" i="91"/>
  <c r="J138" i="91"/>
  <c r="J136" i="91"/>
  <c r="J134" i="91"/>
  <c r="J132" i="91"/>
  <c r="E163" i="91"/>
  <c r="E162" i="91"/>
  <c r="E158" i="91"/>
  <c r="E157" i="91"/>
  <c r="E155" i="91"/>
  <c r="E154" i="91"/>
  <c r="E153" i="91"/>
  <c r="E152" i="91"/>
  <c r="E151" i="91"/>
  <c r="E150" i="91"/>
  <c r="E149" i="91"/>
  <c r="E148" i="91"/>
  <c r="E147" i="91"/>
  <c r="E146" i="91"/>
  <c r="E145" i="91"/>
  <c r="E144" i="91"/>
  <c r="E143" i="91"/>
  <c r="E142" i="91"/>
  <c r="E141" i="91"/>
  <c r="E140" i="91"/>
  <c r="E139" i="91"/>
  <c r="E138" i="91"/>
  <c r="E137" i="91"/>
  <c r="E136" i="91"/>
  <c r="E135" i="91"/>
  <c r="E134" i="91"/>
  <c r="E133" i="91"/>
  <c r="E132" i="91"/>
  <c r="I131" i="91" s="1"/>
  <c r="J127" i="91"/>
  <c r="J123" i="91"/>
  <c r="J121" i="91"/>
  <c r="J119" i="91"/>
  <c r="J117" i="91"/>
  <c r="J115" i="91"/>
  <c r="J113" i="91"/>
  <c r="J111" i="91"/>
  <c r="J109" i="91"/>
  <c r="J107" i="91"/>
  <c r="J105" i="91"/>
  <c r="J103" i="91"/>
  <c r="J101" i="91"/>
  <c r="J96" i="91"/>
  <c r="E127" i="91"/>
  <c r="E126" i="91"/>
  <c r="E125" i="91"/>
  <c r="E123" i="91"/>
  <c r="E122" i="91"/>
  <c r="E121" i="91"/>
  <c r="E120" i="91"/>
  <c r="E119" i="91"/>
  <c r="E118" i="91"/>
  <c r="I118" i="91" s="1"/>
  <c r="E117" i="91"/>
  <c r="E116" i="91"/>
  <c r="E115" i="91"/>
  <c r="E114" i="91"/>
  <c r="E113" i="91"/>
  <c r="E112" i="91"/>
  <c r="E111" i="91"/>
  <c r="E110" i="91"/>
  <c r="E109" i="91"/>
  <c r="E108" i="91"/>
  <c r="E107" i="91"/>
  <c r="E106" i="91"/>
  <c r="E105" i="91"/>
  <c r="E104" i="91"/>
  <c r="E103" i="91"/>
  <c r="E102" i="91"/>
  <c r="E100" i="91"/>
  <c r="E96" i="91"/>
  <c r="J94" i="91"/>
  <c r="J92" i="91"/>
  <c r="J90" i="91"/>
  <c r="J88" i="91"/>
  <c r="J86" i="91"/>
  <c r="J84" i="91"/>
  <c r="J82" i="91"/>
  <c r="J80" i="91"/>
  <c r="J78" i="91"/>
  <c r="J76" i="91"/>
  <c r="J74" i="91"/>
  <c r="J72" i="91"/>
  <c r="J65" i="91"/>
  <c r="E94" i="91"/>
  <c r="E93" i="91"/>
  <c r="E92" i="91"/>
  <c r="E91" i="91"/>
  <c r="E90" i="91"/>
  <c r="E89" i="91"/>
  <c r="E88" i="91"/>
  <c r="E87" i="91"/>
  <c r="E86" i="91"/>
  <c r="E85" i="91"/>
  <c r="E84" i="91"/>
  <c r="E83" i="91"/>
  <c r="E82" i="91"/>
  <c r="E81" i="91"/>
  <c r="E80" i="91"/>
  <c r="E79" i="91"/>
  <c r="E78" i="91"/>
  <c r="E77" i="91"/>
  <c r="E76" i="91"/>
  <c r="E75" i="91"/>
  <c r="E74" i="91"/>
  <c r="E73" i="91"/>
  <c r="E72" i="91"/>
  <c r="E71" i="91"/>
  <c r="E70" i="91"/>
  <c r="E69" i="91"/>
  <c r="E65" i="91"/>
  <c r="E64" i="91"/>
  <c r="J63" i="91"/>
  <c r="J61" i="91"/>
  <c r="J59" i="91"/>
  <c r="J57" i="91"/>
  <c r="J55" i="91"/>
  <c r="J53" i="91"/>
  <c r="J51" i="91"/>
  <c r="J49" i="91"/>
  <c r="J47" i="91"/>
  <c r="J45" i="91"/>
  <c r="J43" i="91"/>
  <c r="J41" i="91"/>
  <c r="J39" i="91"/>
  <c r="J34" i="91"/>
  <c r="E63" i="91"/>
  <c r="E62" i="91"/>
  <c r="E61" i="91"/>
  <c r="E60" i="91"/>
  <c r="E59" i="91"/>
  <c r="E58" i="91"/>
  <c r="E57" i="91"/>
  <c r="E56" i="91"/>
  <c r="E55" i="91"/>
  <c r="E54" i="91"/>
  <c r="E53" i="91"/>
  <c r="E52" i="91"/>
  <c r="E51" i="91"/>
  <c r="E50" i="91"/>
  <c r="E49" i="91"/>
  <c r="E48" i="91"/>
  <c r="E47" i="91"/>
  <c r="E46" i="91"/>
  <c r="E45" i="91"/>
  <c r="E44" i="91"/>
  <c r="E43" i="91"/>
  <c r="E42" i="91"/>
  <c r="E41" i="91"/>
  <c r="E40" i="91"/>
  <c r="E39" i="91"/>
  <c r="E34" i="91"/>
  <c r="E33" i="91"/>
  <c r="J32" i="91"/>
  <c r="J30" i="91"/>
  <c r="J28" i="91"/>
  <c r="J26" i="91"/>
  <c r="J24" i="91"/>
  <c r="J22" i="91"/>
  <c r="J20" i="91"/>
  <c r="J18" i="91"/>
  <c r="J16" i="91"/>
  <c r="J14" i="91"/>
  <c r="J12" i="91"/>
  <c r="E32" i="91"/>
  <c r="E31" i="91"/>
  <c r="E29" i="91"/>
  <c r="E28" i="91"/>
  <c r="E27" i="91"/>
  <c r="E26" i="91"/>
  <c r="E25" i="91"/>
  <c r="E24" i="91"/>
  <c r="E23" i="91"/>
  <c r="E22" i="91"/>
  <c r="E21" i="91"/>
  <c r="E20" i="91"/>
  <c r="E19" i="91"/>
  <c r="E18" i="91"/>
  <c r="E17" i="91"/>
  <c r="E16" i="91"/>
  <c r="E15" i="91"/>
  <c r="E14" i="91"/>
  <c r="E13" i="91"/>
  <c r="E12" i="91"/>
  <c r="E11" i="91"/>
  <c r="E10" i="91"/>
  <c r="E9" i="91"/>
  <c r="J8" i="91"/>
  <c r="E8" i="91"/>
  <c r="G66" i="92" l="1"/>
  <c r="G61" i="92"/>
  <c r="H61" i="92"/>
  <c r="G60" i="92"/>
  <c r="I73" i="91"/>
  <c r="I81" i="91"/>
  <c r="I89" i="91"/>
  <c r="I7" i="91"/>
  <c r="I9" i="91"/>
  <c r="I170" i="91"/>
  <c r="I11" i="91"/>
  <c r="I15" i="91"/>
  <c r="I19" i="91"/>
  <c r="I23" i="91"/>
  <c r="I27" i="91"/>
  <c r="I31" i="91"/>
  <c r="I38" i="91"/>
  <c r="I42" i="91"/>
  <c r="I46" i="91"/>
  <c r="I50" i="91"/>
  <c r="I54" i="91"/>
  <c r="I58" i="91"/>
  <c r="I62" i="91"/>
  <c r="I64" i="91"/>
  <c r="I71" i="91"/>
  <c r="I75" i="91"/>
  <c r="I79" i="91"/>
  <c r="I83" i="91"/>
  <c r="I87" i="91"/>
  <c r="I91" i="91"/>
  <c r="I100" i="91"/>
  <c r="I104" i="91"/>
  <c r="I108" i="91"/>
  <c r="I112" i="91"/>
  <c r="I116" i="91"/>
  <c r="I120" i="91"/>
  <c r="I164" i="91"/>
  <c r="I168" i="91"/>
  <c r="I172" i="91"/>
  <c r="I176" i="91"/>
  <c r="I135" i="91"/>
  <c r="I139" i="91"/>
  <c r="I143" i="91"/>
  <c r="I147" i="91"/>
  <c r="I151" i="91"/>
  <c r="I155" i="91"/>
  <c r="I162" i="91"/>
  <c r="I133" i="91"/>
  <c r="I137" i="91"/>
  <c r="I141" i="91"/>
  <c r="I145" i="91"/>
  <c r="I149" i="91"/>
  <c r="I153" i="91"/>
  <c r="I157" i="91"/>
  <c r="I13" i="91"/>
  <c r="I17" i="91"/>
  <c r="I21" i="91"/>
  <c r="I25" i="91"/>
  <c r="I29" i="91"/>
  <c r="I33" i="91"/>
  <c r="I40" i="91"/>
  <c r="I44" i="91"/>
  <c r="I48" i="91"/>
  <c r="I52" i="91"/>
  <c r="I56" i="91"/>
  <c r="I60" i="91"/>
  <c r="I69" i="91"/>
  <c r="I77" i="91"/>
  <c r="I85" i="91"/>
  <c r="I93" i="91"/>
  <c r="I95" i="91"/>
  <c r="I102" i="91"/>
  <c r="I106" i="91"/>
  <c r="I110" i="91"/>
  <c r="I114" i="91"/>
  <c r="I122" i="91"/>
  <c r="I126" i="91"/>
  <c r="I166" i="91"/>
  <c r="I174" i="91"/>
  <c r="J10" i="66"/>
  <c r="E10" i="66"/>
  <c r="E9" i="66"/>
  <c r="J8" i="66"/>
  <c r="E8" i="66"/>
  <c r="E7" i="66"/>
  <c r="X3" i="89"/>
  <c r="W3" i="89"/>
  <c r="V3" i="89"/>
  <c r="U3" i="89"/>
  <c r="T3" i="89"/>
  <c r="S3" i="89"/>
  <c r="R3" i="89"/>
  <c r="Q3" i="89"/>
  <c r="Y7" i="89" l="1"/>
  <c r="Y19" i="89"/>
  <c r="H9" i="66"/>
  <c r="H7" i="66"/>
  <c r="Y10" i="89"/>
  <c r="Y14" i="89"/>
  <c r="Y16" i="89"/>
  <c r="Y11" i="89"/>
  <c r="Y17" i="89"/>
  <c r="Y18" i="89"/>
  <c r="Y8" i="89"/>
  <c r="Y25" i="89"/>
  <c r="Y5" i="89"/>
  <c r="Y9" i="89"/>
  <c r="Y12" i="89"/>
  <c r="Y20" i="89"/>
  <c r="Y6" i="89"/>
  <c r="Y13" i="89"/>
  <c r="Y15" i="89"/>
  <c r="Y22" i="89"/>
  <c r="Y26" i="89"/>
  <c r="Y23" i="89"/>
  <c r="Y27" i="89"/>
  <c r="Y24" i="89"/>
  <c r="Y28" i="89"/>
  <c r="AK33" i="65" l="1"/>
  <c r="AJ33" i="65"/>
  <c r="AI33" i="65"/>
  <c r="AH33" i="65"/>
  <c r="AG33" i="65"/>
  <c r="AF33" i="65"/>
  <c r="AE33" i="65"/>
  <c r="AD33" i="65"/>
  <c r="AC33" i="65"/>
  <c r="AB33" i="65"/>
  <c r="AA33" i="65"/>
  <c r="Z33" i="65"/>
  <c r="Y33" i="65"/>
  <c r="X33" i="65"/>
  <c r="W33" i="65"/>
  <c r="V33" i="65"/>
  <c r="U33" i="65"/>
  <c r="T33" i="65"/>
  <c r="S33" i="65"/>
  <c r="R33" i="65"/>
  <c r="Q33" i="65"/>
  <c r="P33" i="65"/>
  <c r="O33" i="65"/>
  <c r="N33" i="65"/>
  <c r="M33" i="65"/>
  <c r="L33" i="65"/>
  <c r="K33" i="65"/>
  <c r="J33" i="65"/>
  <c r="I33" i="65"/>
  <c r="H33" i="65"/>
  <c r="G33" i="65"/>
  <c r="F33" i="65"/>
  <c r="E33" i="65"/>
  <c r="D33" i="65"/>
  <c r="C33" i="65"/>
  <c r="B33" i="65"/>
  <c r="A33" i="65"/>
  <c r="AK32" i="65"/>
  <c r="AJ32" i="65"/>
  <c r="AI32" i="65"/>
  <c r="AH32" i="65"/>
  <c r="AG32" i="65"/>
  <c r="AF32" i="65"/>
  <c r="AE32" i="65"/>
  <c r="AD32" i="65"/>
  <c r="AC32" i="65"/>
  <c r="AB32" i="65"/>
  <c r="AA32" i="65"/>
  <c r="Z32" i="65"/>
  <c r="Y32" i="65"/>
  <c r="X32" i="65"/>
  <c r="W32" i="65"/>
  <c r="V32" i="65"/>
  <c r="U32" i="65"/>
  <c r="T32" i="65"/>
  <c r="S32" i="65"/>
  <c r="R32" i="65"/>
  <c r="Q32" i="65"/>
  <c r="P32" i="65"/>
  <c r="O32" i="65"/>
  <c r="N32" i="65"/>
  <c r="M32" i="65"/>
  <c r="L32" i="65"/>
  <c r="K32" i="65"/>
  <c r="J32" i="65"/>
  <c r="I32" i="65"/>
  <c r="H32" i="65"/>
  <c r="G32" i="65"/>
  <c r="F32" i="65"/>
  <c r="E32" i="65"/>
  <c r="D32" i="65"/>
  <c r="C32" i="65"/>
  <c r="B32" i="65"/>
  <c r="A32" i="65"/>
  <c r="U40" i="65"/>
  <c r="T40" i="65"/>
  <c r="S40" i="65"/>
  <c r="R40" i="65"/>
  <c r="W18" i="65"/>
  <c r="K18" i="65"/>
  <c r="B18" i="65"/>
  <c r="P40" i="65" l="1"/>
  <c r="O40" i="65"/>
  <c r="M40" i="65"/>
  <c r="L40" i="65"/>
  <c r="N23" i="65"/>
  <c r="L15" i="65"/>
  <c r="L14" i="65"/>
  <c r="L13" i="65"/>
  <c r="E67" i="62" l="1"/>
  <c r="E93" i="88" l="1"/>
  <c r="D95" i="88"/>
  <c r="E95" i="88"/>
  <c r="E62" i="88"/>
  <c r="E63" i="88"/>
  <c r="E64" i="88"/>
  <c r="E65" i="88"/>
  <c r="E66" i="88"/>
  <c r="E67" i="88"/>
  <c r="E68" i="88"/>
  <c r="E69" i="88"/>
  <c r="E70" i="88"/>
  <c r="E71" i="88"/>
  <c r="E73" i="88"/>
  <c r="E74" i="88"/>
  <c r="E75" i="88"/>
  <c r="E76" i="88"/>
  <c r="E77" i="88"/>
  <c r="E78" i="88"/>
  <c r="E79" i="88"/>
  <c r="E80" i="88"/>
  <c r="E81" i="88"/>
  <c r="E82" i="88"/>
  <c r="E83" i="88"/>
  <c r="E84" i="88"/>
  <c r="E85" i="88"/>
  <c r="E86" i="88"/>
  <c r="E87" i="88"/>
  <c r="E88" i="88"/>
  <c r="E89" i="88"/>
  <c r="E61" i="88"/>
  <c r="E39" i="88"/>
  <c r="E40" i="88"/>
  <c r="E41" i="88"/>
  <c r="E42" i="88"/>
  <c r="E43" i="88"/>
  <c r="E44" i="88"/>
  <c r="E45" i="88"/>
  <c r="E46" i="88"/>
  <c r="E47" i="88"/>
  <c r="E48" i="88"/>
  <c r="E49" i="88"/>
  <c r="E50" i="88"/>
  <c r="E51" i="88"/>
  <c r="E52" i="88"/>
  <c r="E53" i="88"/>
  <c r="E54" i="88"/>
  <c r="E55" i="88"/>
  <c r="E56" i="88"/>
  <c r="E57" i="88"/>
  <c r="E58" i="88"/>
  <c r="E59" i="88"/>
  <c r="E38" i="88"/>
  <c r="E27" i="88"/>
  <c r="E29" i="88"/>
  <c r="E30" i="88"/>
  <c r="E31" i="88"/>
  <c r="E32" i="88"/>
  <c r="E34" i="88"/>
  <c r="E35" i="88"/>
  <c r="E36" i="88"/>
  <c r="E8" i="88"/>
  <c r="D94" i="88"/>
  <c r="D62" i="88"/>
  <c r="D63" i="88"/>
  <c r="D64" i="88"/>
  <c r="D65" i="88"/>
  <c r="D66" i="88"/>
  <c r="D67" i="88"/>
  <c r="D68" i="88"/>
  <c r="D69" i="88"/>
  <c r="D70" i="88"/>
  <c r="D71" i="88"/>
  <c r="D73" i="88"/>
  <c r="D74" i="88"/>
  <c r="D75" i="88"/>
  <c r="D76" i="88"/>
  <c r="D77" i="88"/>
  <c r="D78" i="88"/>
  <c r="D79" i="88"/>
  <c r="D80" i="88"/>
  <c r="D81" i="88"/>
  <c r="D82" i="88"/>
  <c r="D83" i="88"/>
  <c r="D84" i="88"/>
  <c r="D85" i="88"/>
  <c r="D86" i="88"/>
  <c r="D87" i="88"/>
  <c r="D88" i="88"/>
  <c r="D89" i="88"/>
  <c r="D61" i="88"/>
  <c r="D39" i="88"/>
  <c r="D40" i="88"/>
  <c r="D41" i="88"/>
  <c r="D42" i="88"/>
  <c r="D43" i="88"/>
  <c r="D44" i="88"/>
  <c r="D45" i="88"/>
  <c r="D46" i="88"/>
  <c r="D47" i="88"/>
  <c r="D48" i="88"/>
  <c r="D49" i="88"/>
  <c r="D50" i="88"/>
  <c r="D51" i="88"/>
  <c r="D52" i="88"/>
  <c r="D53" i="88"/>
  <c r="D54" i="88"/>
  <c r="D55" i="88"/>
  <c r="D56" i="88"/>
  <c r="D57" i="88"/>
  <c r="D58" i="88"/>
  <c r="D59" i="88"/>
  <c r="D38" i="88"/>
  <c r="D36" i="88"/>
  <c r="D29" i="88"/>
  <c r="D30" i="88"/>
  <c r="D31" i="88"/>
  <c r="D32" i="88"/>
  <c r="D34" i="88"/>
  <c r="D35" i="88"/>
  <c r="D10" i="88"/>
  <c r="D11" i="88"/>
  <c r="D12" i="88"/>
  <c r="D13" i="88"/>
  <c r="D14" i="88"/>
  <c r="D15" i="88"/>
  <c r="D16" i="88"/>
  <c r="D17" i="88"/>
  <c r="D18" i="88"/>
  <c r="D19" i="88"/>
  <c r="D20" i="88"/>
  <c r="D21" i="88"/>
  <c r="D22" i="88"/>
  <c r="D24" i="88"/>
  <c r="D25" i="88"/>
  <c r="D26" i="88"/>
  <c r="D27" i="88"/>
  <c r="D8" i="88"/>
  <c r="D64" i="62"/>
  <c r="D23" i="88"/>
  <c r="D60" i="88" l="1"/>
  <c r="A40" i="65"/>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AK23" i="65"/>
  <c r="AJ23" i="65"/>
  <c r="AI23" i="65"/>
  <c r="AH23" i="65"/>
  <c r="AG23" i="65"/>
  <c r="AF23" i="65"/>
  <c r="AE23" i="65"/>
  <c r="AD23" i="65"/>
  <c r="AC23" i="65"/>
  <c r="AB23" i="65"/>
  <c r="AA23" i="65"/>
  <c r="Z23" i="65"/>
  <c r="Y23" i="65"/>
  <c r="X23" i="65"/>
  <c r="W23" i="65"/>
  <c r="V23" i="65"/>
  <c r="U23" i="65"/>
  <c r="T23" i="65"/>
  <c r="S23" i="65"/>
  <c r="R23" i="65"/>
  <c r="Q23" i="65"/>
  <c r="P23" i="65"/>
  <c r="O23" i="65"/>
  <c r="M23" i="65"/>
  <c r="L23" i="65"/>
  <c r="K23" i="65"/>
  <c r="J23" i="65"/>
  <c r="I23" i="65"/>
  <c r="H23" i="65"/>
  <c r="G23" i="65"/>
  <c r="F23" i="65"/>
  <c r="E23" i="65"/>
  <c r="D23" i="65"/>
  <c r="C23" i="65"/>
  <c r="B23" i="65"/>
  <c r="A23" i="65"/>
  <c r="AK22" i="65"/>
  <c r="AJ22" i="65"/>
  <c r="AI22" i="65"/>
  <c r="AH22" i="65"/>
  <c r="D20" i="61" l="1"/>
  <c r="D63" i="61"/>
  <c r="E63" i="61"/>
  <c r="E62" i="61"/>
  <c r="D62" i="61"/>
  <c r="E56" i="61"/>
  <c r="D56" i="61"/>
  <c r="D37" i="61"/>
  <c r="E37" i="61"/>
  <c r="E54" i="61" s="1"/>
  <c r="E20" i="61"/>
  <c r="E16" i="61"/>
  <c r="D16" i="61"/>
  <c r="E12" i="61"/>
  <c r="D12" i="61"/>
  <c r="E11" i="61"/>
  <c r="D11" i="61"/>
  <c r="G70" i="60"/>
  <c r="F70" i="60"/>
  <c r="E70" i="60"/>
  <c r="D70" i="60"/>
  <c r="G64" i="60"/>
  <c r="E64" i="60"/>
  <c r="E55" i="60"/>
  <c r="G55" i="60"/>
  <c r="E47" i="60"/>
  <c r="G47" i="60"/>
  <c r="G40" i="60"/>
  <c r="E40" i="60"/>
  <c r="D40" i="60"/>
  <c r="G30" i="60"/>
  <c r="E30" i="60"/>
  <c r="G20" i="60"/>
  <c r="E20" i="60"/>
  <c r="D20" i="60"/>
  <c r="G12" i="60"/>
  <c r="E12" i="60"/>
  <c r="D12" i="60"/>
  <c r="E19" i="61" l="1"/>
  <c r="E34" i="61" s="1"/>
  <c r="E11" i="60"/>
  <c r="D66" i="61"/>
  <c r="E66" i="61"/>
  <c r="D19" i="61"/>
  <c r="D34" i="61" s="1"/>
  <c r="D54" i="61"/>
  <c r="E39" i="60"/>
  <c r="E10" i="60" s="1"/>
  <c r="E75" i="60" s="1"/>
  <c r="G11" i="60"/>
  <c r="F12" i="60"/>
  <c r="F20" i="60"/>
  <c r="F30" i="60"/>
  <c r="F40" i="60"/>
  <c r="G39" i="60"/>
  <c r="F47" i="60"/>
  <c r="F55" i="60"/>
  <c r="F64" i="60"/>
  <c r="D47" i="60"/>
  <c r="D55" i="60"/>
  <c r="D30" i="60"/>
  <c r="D11" i="60" s="1"/>
  <c r="D64" i="60"/>
  <c r="G10" i="60" l="1"/>
  <c r="G75" i="60" s="1"/>
  <c r="D67" i="61"/>
  <c r="E67" i="61"/>
  <c r="E59" i="61"/>
  <c r="E69" i="61" s="1"/>
  <c r="F39" i="60"/>
  <c r="D39" i="60"/>
  <c r="D10" i="60" s="1"/>
  <c r="D75" i="60" s="1"/>
  <c r="F11" i="60"/>
  <c r="D59" i="61" l="1"/>
  <c r="D69" i="61" s="1"/>
  <c r="F10" i="60"/>
  <c r="F75" i="60" s="1"/>
  <c r="P3" i="71" l="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G620" i="86" l="1"/>
  <c r="AF620" i="86"/>
  <c r="AE620" i="86"/>
  <c r="AD620" i="86"/>
  <c r="AC620" i="86"/>
  <c r="AB620" i="86"/>
  <c r="AA620" i="86"/>
  <c r="Z620" i="86"/>
  <c r="Y620" i="86"/>
  <c r="X620" i="86"/>
  <c r="W620" i="86"/>
  <c r="V620" i="86"/>
  <c r="U620" i="86"/>
  <c r="T620" i="86"/>
  <c r="S620" i="86"/>
  <c r="R620" i="86"/>
  <c r="Q620" i="86"/>
  <c r="P620" i="86"/>
  <c r="O620" i="86"/>
  <c r="N620" i="86"/>
  <c r="AC351" i="86"/>
  <c r="Z351" i="86"/>
  <c r="W351" i="86"/>
  <c r="T351" i="86"/>
  <c r="Q351" i="86"/>
  <c r="N351" i="86"/>
  <c r="K351" i="86"/>
  <c r="H351" i="86"/>
  <c r="AC345" i="86"/>
  <c r="Z345" i="86"/>
  <c r="W345" i="86"/>
  <c r="T345" i="86"/>
  <c r="Q345" i="86"/>
  <c r="N345" i="86"/>
  <c r="K345" i="86"/>
  <c r="H345" i="86"/>
  <c r="AC326" i="86"/>
  <c r="Z326" i="86"/>
  <c r="W326" i="86"/>
  <c r="T326" i="86"/>
  <c r="Q326" i="86"/>
  <c r="N326" i="86"/>
  <c r="K326" i="86"/>
  <c r="H326" i="86"/>
  <c r="AC320" i="86"/>
  <c r="Z320" i="86"/>
  <c r="W320" i="86"/>
  <c r="T320" i="86"/>
  <c r="Q320" i="86"/>
  <c r="N320" i="86"/>
  <c r="K320" i="86"/>
  <c r="H320" i="86"/>
  <c r="AB282" i="86"/>
  <c r="Y282" i="86"/>
  <c r="V282" i="86"/>
  <c r="S282" i="86"/>
  <c r="P282" i="86"/>
  <c r="M282" i="86"/>
  <c r="J282" i="86"/>
  <c r="AB276" i="86"/>
  <c r="Y276" i="86"/>
  <c r="V276" i="86"/>
  <c r="S276" i="86"/>
  <c r="P276" i="86"/>
  <c r="M276" i="86"/>
  <c r="J276" i="86"/>
  <c r="AB257" i="86"/>
  <c r="Y257" i="86"/>
  <c r="V257" i="86"/>
  <c r="S257" i="86"/>
  <c r="P257" i="86"/>
  <c r="M257" i="86"/>
  <c r="J257" i="86"/>
  <c r="AB251" i="86"/>
  <c r="Y251" i="86"/>
  <c r="V251" i="86"/>
  <c r="S251" i="86"/>
  <c r="P251" i="86"/>
  <c r="M251" i="86"/>
  <c r="J251" i="86"/>
  <c r="AM349" i="71"/>
  <c r="AP349" i="71"/>
  <c r="AO349" i="71"/>
  <c r="AN349" i="71"/>
  <c r="AL349" i="71"/>
  <c r="AK349" i="71"/>
  <c r="AJ349" i="71"/>
  <c r="AI349" i="71"/>
  <c r="AM343" i="71"/>
  <c r="AP343" i="71"/>
  <c r="AO343" i="71"/>
  <c r="AN343" i="71"/>
  <c r="AL343" i="71"/>
  <c r="AK343" i="71"/>
  <c r="AJ343" i="71"/>
  <c r="AI343" i="71"/>
  <c r="AQ348" i="71"/>
  <c r="AQ342" i="71"/>
  <c r="AM324" i="71"/>
  <c r="AC324" i="71"/>
  <c r="AP324" i="71" s="1"/>
  <c r="Z324" i="71"/>
  <c r="AO324" i="71" s="1"/>
  <c r="W324" i="71"/>
  <c r="AN324" i="71" s="1"/>
  <c r="T324" i="71"/>
  <c r="Q324" i="71"/>
  <c r="AL324" i="71" s="1"/>
  <c r="N324" i="71"/>
  <c r="BE318" i="71" s="1"/>
  <c r="K324" i="71"/>
  <c r="AJ324" i="71" s="1"/>
  <c r="H324" i="71"/>
  <c r="AI324" i="71" s="1"/>
  <c r="AM318" i="71"/>
  <c r="AC318" i="71"/>
  <c r="Z318" i="71"/>
  <c r="W318" i="71"/>
  <c r="T318" i="71"/>
  <c r="Q318" i="71"/>
  <c r="K318" i="71"/>
  <c r="H318" i="71"/>
  <c r="AF323" i="71"/>
  <c r="AF326" i="86" s="1"/>
  <c r="AF317" i="71"/>
  <c r="AQ317" i="71" s="1"/>
  <c r="AO285" i="71"/>
  <c r="AW256" i="71"/>
  <c r="AM285" i="71"/>
  <c r="AU256" i="71"/>
  <c r="AK285" i="71"/>
  <c r="AJ285" i="71"/>
  <c r="AI285" i="71"/>
  <c r="AO279" i="71"/>
  <c r="AN279" i="71"/>
  <c r="AM279" i="71"/>
  <c r="AL279" i="71"/>
  <c r="AK279" i="71"/>
  <c r="AJ279" i="71"/>
  <c r="AI279" i="71"/>
  <c r="AE282" i="86"/>
  <c r="AP278" i="71"/>
  <c r="AB260" i="71"/>
  <c r="AO260" i="71" s="1"/>
  <c r="Y260" i="71"/>
  <c r="AN260" i="71" s="1"/>
  <c r="V260" i="71"/>
  <c r="AM260" i="71" s="1"/>
  <c r="S260" i="71"/>
  <c r="AL260" i="71" s="1"/>
  <c r="P260" i="71"/>
  <c r="AK260" i="71" s="1"/>
  <c r="M260" i="71"/>
  <c r="AJ260" i="71" s="1"/>
  <c r="J260" i="71"/>
  <c r="AI260" i="71" s="1"/>
  <c r="AB254" i="71"/>
  <c r="Y254" i="71"/>
  <c r="V254" i="71"/>
  <c r="V252" i="86" s="1"/>
  <c r="S254" i="71"/>
  <c r="S252" i="86" s="1"/>
  <c r="P254" i="71"/>
  <c r="M254" i="71"/>
  <c r="J254" i="71"/>
  <c r="J252" i="86" s="1"/>
  <c r="AE259" i="71"/>
  <c r="AP259" i="71" s="1"/>
  <c r="AE253" i="71"/>
  <c r="AP253" i="71" s="1"/>
  <c r="AE250" i="71"/>
  <c r="AP250" i="71" s="1"/>
  <c r="AE251" i="71"/>
  <c r="AP251" i="71" s="1"/>
  <c r="AE252" i="71"/>
  <c r="AP252" i="71" s="1"/>
  <c r="AE256" i="71"/>
  <c r="AP256" i="71" s="1"/>
  <c r="AE257" i="71"/>
  <c r="AP257" i="71" s="1"/>
  <c r="AE258" i="71"/>
  <c r="AP258" i="71" s="1"/>
  <c r="AP275" i="71"/>
  <c r="AP276" i="71"/>
  <c r="AP277" i="71"/>
  <c r="AP281" i="71"/>
  <c r="AP282" i="71"/>
  <c r="AP283" i="71"/>
  <c r="AK324" i="71" l="1"/>
  <c r="AW250" i="71"/>
  <c r="BG318" i="71"/>
  <c r="AQ323" i="71"/>
  <c r="AF351" i="86"/>
  <c r="AE260" i="71"/>
  <c r="AE258" i="86" s="1"/>
  <c r="BD318" i="71"/>
  <c r="BH318" i="71"/>
  <c r="AN318" i="71"/>
  <c r="V258" i="86"/>
  <c r="AF345" i="86"/>
  <c r="J258" i="86"/>
  <c r="AF320" i="86"/>
  <c r="AN254" i="71"/>
  <c r="BF254" i="71"/>
  <c r="AP318" i="71"/>
  <c r="BJ318" i="71"/>
  <c r="AO254" i="71"/>
  <c r="BG254" i="71"/>
  <c r="AP284" i="71"/>
  <c r="Y252" i="86"/>
  <c r="Y258" i="86"/>
  <c r="AI254" i="71"/>
  <c r="BA254" i="71"/>
  <c r="AM254" i="71"/>
  <c r="BE254" i="71"/>
  <c r="AK318" i="71"/>
  <c r="AO318" i="71"/>
  <c r="BI318" i="71"/>
  <c r="AE251" i="86"/>
  <c r="AE257" i="86"/>
  <c r="S258" i="86"/>
  <c r="AE276" i="86"/>
  <c r="AJ254" i="71"/>
  <c r="BB254" i="71"/>
  <c r="AL318" i="71"/>
  <c r="BF318" i="71"/>
  <c r="AK254" i="71"/>
  <c r="BC254" i="71"/>
  <c r="AP279" i="71"/>
  <c r="AP285" i="71"/>
  <c r="AI318" i="71"/>
  <c r="BC318" i="71"/>
  <c r="M252" i="86"/>
  <c r="M258" i="86"/>
  <c r="AL254" i="71"/>
  <c r="BD254" i="71"/>
  <c r="AE254" i="71"/>
  <c r="AJ318" i="71"/>
  <c r="P252" i="86"/>
  <c r="AB252" i="86"/>
  <c r="P258" i="86"/>
  <c r="AB258" i="86"/>
  <c r="AN285" i="71"/>
  <c r="AL285" i="71"/>
  <c r="AX250" i="71"/>
  <c r="AT250" i="71"/>
  <c r="AV256" i="71"/>
  <c r="AS250" i="71"/>
  <c r="AR256" i="71"/>
  <c r="AS256" i="71"/>
  <c r="AV250" i="71"/>
  <c r="AR250" i="71"/>
  <c r="AX256" i="71"/>
  <c r="AT256" i="71"/>
  <c r="AP260" i="71" l="1"/>
  <c r="AP254" i="71"/>
  <c r="BH254" i="71"/>
  <c r="AE252" i="86"/>
  <c r="AY250" i="71"/>
  <c r="AY256" i="71"/>
  <c r="V3" i="71" l="1"/>
  <c r="U3" i="71"/>
  <c r="T3" i="71"/>
  <c r="S3" i="71"/>
  <c r="R3" i="71"/>
  <c r="Q3" i="71"/>
  <c r="O3" i="71"/>
  <c r="N3" i="71"/>
  <c r="M3" i="71"/>
  <c r="AG645" i="86" l="1"/>
  <c r="AF645" i="86"/>
  <c r="AE645" i="86"/>
  <c r="AD645" i="86"/>
  <c r="AC645" i="86"/>
  <c r="AB645" i="86"/>
  <c r="AA645" i="86"/>
  <c r="Z645" i="86"/>
  <c r="Y645" i="86"/>
  <c r="X645" i="86"/>
  <c r="W645" i="86"/>
  <c r="V645" i="86"/>
  <c r="U645" i="86"/>
  <c r="T645" i="86"/>
  <c r="S645" i="86"/>
  <c r="R645" i="86"/>
  <c r="Q645" i="86"/>
  <c r="P645" i="86"/>
  <c r="O645" i="86"/>
  <c r="N645" i="86"/>
  <c r="M645" i="86"/>
  <c r="L645" i="86"/>
  <c r="K645" i="86"/>
  <c r="Q878" i="86" l="1"/>
  <c r="P878" i="86"/>
  <c r="O878" i="86"/>
  <c r="Q858" i="86"/>
  <c r="P858" i="86"/>
  <c r="O858" i="86"/>
  <c r="Q846" i="86"/>
  <c r="P846" i="86"/>
  <c r="O846" i="86"/>
  <c r="N846" i="86"/>
  <c r="Y845" i="86"/>
  <c r="X845" i="86"/>
  <c r="W845" i="86"/>
  <c r="V845" i="86"/>
  <c r="U845" i="86"/>
  <c r="T845" i="86"/>
  <c r="S845" i="86"/>
  <c r="Q845" i="86"/>
  <c r="P845" i="86"/>
  <c r="O845" i="86"/>
  <c r="N845" i="86"/>
  <c r="L845" i="86"/>
  <c r="K845" i="86"/>
  <c r="J845" i="86"/>
  <c r="I845" i="86"/>
  <c r="H845" i="86"/>
  <c r="G845" i="86"/>
  <c r="F845" i="86"/>
  <c r="E845" i="86"/>
  <c r="AG792" i="86"/>
  <c r="AF792" i="86"/>
  <c r="AE792" i="86"/>
  <c r="AD792" i="86"/>
  <c r="AC792" i="86"/>
  <c r="AB792" i="86"/>
  <c r="AA792" i="86"/>
  <c r="Z792" i="86"/>
  <c r="Y792" i="86"/>
  <c r="X792" i="86"/>
  <c r="W792" i="86"/>
  <c r="V792" i="86"/>
  <c r="U792" i="86"/>
  <c r="T792" i="86"/>
  <c r="S792" i="86"/>
  <c r="R792" i="86"/>
  <c r="Q792" i="86"/>
  <c r="P792" i="86"/>
  <c r="O792" i="86"/>
  <c r="N792" i="86"/>
  <c r="AG791" i="86"/>
  <c r="AF791" i="86"/>
  <c r="AE791" i="86"/>
  <c r="AD791" i="86"/>
  <c r="AC791" i="86"/>
  <c r="AB791" i="86"/>
  <c r="AA791" i="86"/>
  <c r="Z791" i="86"/>
  <c r="Y791" i="86"/>
  <c r="X791" i="86"/>
  <c r="W791" i="86"/>
  <c r="V791" i="86"/>
  <c r="U791" i="86"/>
  <c r="T791" i="86"/>
  <c r="S791" i="86"/>
  <c r="R791" i="86"/>
  <c r="Q791" i="86"/>
  <c r="P791" i="86"/>
  <c r="O791" i="86"/>
  <c r="N791" i="86"/>
  <c r="AG790" i="86"/>
  <c r="AF790" i="86"/>
  <c r="AE790" i="86"/>
  <c r="AD790" i="86"/>
  <c r="AC790" i="86"/>
  <c r="AB790" i="86"/>
  <c r="AA790" i="86"/>
  <c r="Z790" i="86"/>
  <c r="Y790" i="86"/>
  <c r="X790" i="86"/>
  <c r="W790" i="86"/>
  <c r="V790" i="86"/>
  <c r="U790" i="86"/>
  <c r="T790" i="86"/>
  <c r="S790" i="86"/>
  <c r="R790" i="86"/>
  <c r="Q790" i="86"/>
  <c r="P790" i="86"/>
  <c r="O790" i="86"/>
  <c r="N790" i="86"/>
  <c r="AG789" i="86"/>
  <c r="AF789" i="86"/>
  <c r="AE789" i="86"/>
  <c r="AD789" i="86"/>
  <c r="AC789" i="86"/>
  <c r="AB789" i="86"/>
  <c r="AA789" i="86"/>
  <c r="Z789" i="86"/>
  <c r="Y789" i="86"/>
  <c r="X789" i="86"/>
  <c r="W789" i="86"/>
  <c r="V789" i="86"/>
  <c r="U789" i="86"/>
  <c r="T789" i="86"/>
  <c r="S789" i="86"/>
  <c r="R789" i="86"/>
  <c r="Q789" i="86"/>
  <c r="P789" i="86"/>
  <c r="O789" i="86"/>
  <c r="N789" i="86"/>
  <c r="AG788" i="86"/>
  <c r="AF788" i="86"/>
  <c r="AE788" i="86"/>
  <c r="AD788" i="86"/>
  <c r="AC788" i="86"/>
  <c r="AB788" i="86"/>
  <c r="AA788" i="86"/>
  <c r="Z788" i="86"/>
  <c r="Y788" i="86"/>
  <c r="X788" i="86"/>
  <c r="W788" i="86"/>
  <c r="V788" i="86"/>
  <c r="U788" i="86"/>
  <c r="T788" i="86"/>
  <c r="S788" i="86"/>
  <c r="R788" i="86"/>
  <c r="Q788" i="86"/>
  <c r="P788" i="86"/>
  <c r="O788" i="86"/>
  <c r="N788" i="86"/>
  <c r="AG787" i="86"/>
  <c r="AF787" i="86"/>
  <c r="AE787" i="86"/>
  <c r="AD787" i="86"/>
  <c r="AC787" i="86"/>
  <c r="AB787" i="86"/>
  <c r="AA787" i="86"/>
  <c r="Z787" i="86"/>
  <c r="Y787" i="86"/>
  <c r="X787" i="86"/>
  <c r="W787" i="86"/>
  <c r="V787" i="86"/>
  <c r="U787" i="86"/>
  <c r="T787" i="86"/>
  <c r="S787" i="86"/>
  <c r="R787" i="86"/>
  <c r="Q787" i="86"/>
  <c r="P787" i="86"/>
  <c r="O787" i="86"/>
  <c r="N787" i="86"/>
  <c r="M784" i="86"/>
  <c r="L784" i="86"/>
  <c r="K784" i="86"/>
  <c r="J784" i="86"/>
  <c r="I784" i="86"/>
  <c r="H784" i="86"/>
  <c r="G784" i="86"/>
  <c r="F784" i="86"/>
  <c r="E784" i="86"/>
  <c r="M779" i="86"/>
  <c r="L779" i="86"/>
  <c r="K779" i="86"/>
  <c r="J779" i="86"/>
  <c r="I779" i="86"/>
  <c r="H779" i="86"/>
  <c r="G779" i="86"/>
  <c r="F779" i="86"/>
  <c r="E779" i="86"/>
  <c r="M778" i="86"/>
  <c r="L778" i="86"/>
  <c r="K778" i="86"/>
  <c r="J778" i="86"/>
  <c r="I778" i="86"/>
  <c r="H778" i="86"/>
  <c r="G778" i="86"/>
  <c r="F778" i="86"/>
  <c r="E778" i="86"/>
  <c r="M777" i="86"/>
  <c r="L777" i="86"/>
  <c r="K777" i="86"/>
  <c r="J777" i="86"/>
  <c r="I777" i="86"/>
  <c r="H777" i="86"/>
  <c r="G777" i="86"/>
  <c r="F777" i="86"/>
  <c r="E777" i="86"/>
  <c r="M764" i="86"/>
  <c r="L764" i="86"/>
  <c r="K764" i="86"/>
  <c r="J764" i="86"/>
  <c r="I764" i="86"/>
  <c r="H764" i="86"/>
  <c r="G764" i="86"/>
  <c r="F764" i="86"/>
  <c r="E764" i="86"/>
  <c r="M763" i="86"/>
  <c r="L763" i="86"/>
  <c r="K763" i="86"/>
  <c r="J763" i="86"/>
  <c r="I763" i="86"/>
  <c r="H763" i="86"/>
  <c r="G763" i="86"/>
  <c r="F763" i="86"/>
  <c r="E763" i="86"/>
  <c r="AG773" i="86"/>
  <c r="AF773" i="86"/>
  <c r="AE773" i="86"/>
  <c r="AD773" i="86"/>
  <c r="AC773" i="86"/>
  <c r="AB773" i="86"/>
  <c r="AA773" i="86"/>
  <c r="Z773" i="86"/>
  <c r="Y773" i="86"/>
  <c r="X773" i="86"/>
  <c r="W773" i="86"/>
  <c r="V773" i="86"/>
  <c r="U773" i="86"/>
  <c r="T773" i="86"/>
  <c r="S773" i="86"/>
  <c r="R773" i="86"/>
  <c r="Q773" i="86"/>
  <c r="P773" i="86"/>
  <c r="O773" i="86"/>
  <c r="N773" i="86"/>
  <c r="AG764" i="86"/>
  <c r="AF764" i="86"/>
  <c r="AE764" i="86"/>
  <c r="AD764" i="86"/>
  <c r="AC764" i="86"/>
  <c r="AB764" i="86"/>
  <c r="AA764" i="86"/>
  <c r="Z764" i="86"/>
  <c r="Y764" i="86"/>
  <c r="X764" i="86"/>
  <c r="W764" i="86"/>
  <c r="V764" i="86"/>
  <c r="U764" i="86"/>
  <c r="T764" i="86"/>
  <c r="S764" i="86"/>
  <c r="R764" i="86"/>
  <c r="Q764" i="86"/>
  <c r="P764" i="86"/>
  <c r="O764" i="86"/>
  <c r="N764" i="86"/>
  <c r="AG763" i="86"/>
  <c r="AF763" i="86"/>
  <c r="AE763" i="86"/>
  <c r="AD763" i="86"/>
  <c r="AC763" i="86"/>
  <c r="AB763" i="86"/>
  <c r="AA763" i="86"/>
  <c r="Z763" i="86"/>
  <c r="Y763" i="86"/>
  <c r="W763" i="86"/>
  <c r="V763" i="86"/>
  <c r="U763" i="86"/>
  <c r="T763" i="86"/>
  <c r="S763" i="86"/>
  <c r="R763" i="86"/>
  <c r="Q763" i="86"/>
  <c r="P763" i="86"/>
  <c r="O763" i="86"/>
  <c r="N763" i="86"/>
  <c r="AG762" i="86"/>
  <c r="AF762" i="86"/>
  <c r="AE762" i="86"/>
  <c r="AD762" i="86"/>
  <c r="AC762" i="86"/>
  <c r="AB762" i="86"/>
  <c r="AA762" i="86"/>
  <c r="Z762" i="86"/>
  <c r="Y762" i="86"/>
  <c r="X762" i="86"/>
  <c r="W762" i="86"/>
  <c r="V762" i="86"/>
  <c r="U762" i="86"/>
  <c r="T762" i="86"/>
  <c r="S762" i="86"/>
  <c r="R762" i="86"/>
  <c r="Q762" i="86"/>
  <c r="P762" i="86"/>
  <c r="O762" i="86"/>
  <c r="N762" i="86"/>
  <c r="AG761" i="86"/>
  <c r="AF761" i="86"/>
  <c r="AE761" i="86"/>
  <c r="AD761" i="86"/>
  <c r="AC761" i="86"/>
  <c r="AB761" i="86"/>
  <c r="AA761" i="86"/>
  <c r="Z761" i="86"/>
  <c r="Y761" i="86"/>
  <c r="X761" i="86"/>
  <c r="W761" i="86"/>
  <c r="V761" i="86"/>
  <c r="U761" i="86"/>
  <c r="T761" i="86"/>
  <c r="S761" i="86"/>
  <c r="R761" i="86"/>
  <c r="Q761" i="86"/>
  <c r="P761" i="86"/>
  <c r="O761" i="86"/>
  <c r="N761" i="86"/>
  <c r="AG760" i="86"/>
  <c r="AF760" i="86"/>
  <c r="AE760" i="86"/>
  <c r="AD760" i="86"/>
  <c r="AC760" i="86"/>
  <c r="AB760" i="86"/>
  <c r="AA760" i="86"/>
  <c r="Z760" i="86"/>
  <c r="Y760" i="86"/>
  <c r="X760" i="86"/>
  <c r="W760" i="86"/>
  <c r="V760" i="86"/>
  <c r="U760" i="86"/>
  <c r="T760" i="86"/>
  <c r="S760" i="86"/>
  <c r="R760" i="86"/>
  <c r="Q760" i="86"/>
  <c r="P760" i="86"/>
  <c r="O760" i="86"/>
  <c r="N760" i="86"/>
  <c r="AG759" i="86"/>
  <c r="AF759" i="86"/>
  <c r="AE759" i="86"/>
  <c r="AD759" i="86"/>
  <c r="AC759" i="86"/>
  <c r="AB759" i="86"/>
  <c r="AA759" i="86"/>
  <c r="Z759" i="86"/>
  <c r="Y759" i="86"/>
  <c r="X759" i="86"/>
  <c r="W759" i="86"/>
  <c r="V759" i="86"/>
  <c r="U759" i="86"/>
  <c r="T759" i="86"/>
  <c r="S759" i="86"/>
  <c r="R759" i="86"/>
  <c r="Q759" i="86"/>
  <c r="P759" i="86"/>
  <c r="O759" i="86"/>
  <c r="N759" i="86"/>
  <c r="AG758" i="86"/>
  <c r="AF758" i="86"/>
  <c r="AE758" i="86"/>
  <c r="AD758" i="86"/>
  <c r="AC758" i="86"/>
  <c r="AB758" i="86"/>
  <c r="AA758" i="86"/>
  <c r="Z758" i="86"/>
  <c r="Y758" i="86"/>
  <c r="X758" i="86"/>
  <c r="W758" i="86"/>
  <c r="V758" i="86"/>
  <c r="U758" i="86"/>
  <c r="T758" i="86"/>
  <c r="S758" i="86"/>
  <c r="R758" i="86"/>
  <c r="Q758" i="86"/>
  <c r="P758" i="86"/>
  <c r="O758" i="86"/>
  <c r="N758" i="86"/>
  <c r="AG757" i="86"/>
  <c r="AF757" i="86"/>
  <c r="AE757" i="86"/>
  <c r="AD757" i="86"/>
  <c r="AC757" i="86"/>
  <c r="AB757" i="86"/>
  <c r="AA757" i="86"/>
  <c r="Z757" i="86"/>
  <c r="Y757" i="86"/>
  <c r="X757" i="86"/>
  <c r="W757" i="86"/>
  <c r="V757" i="86"/>
  <c r="U757" i="86"/>
  <c r="T757" i="86"/>
  <c r="S757" i="86"/>
  <c r="R757" i="86"/>
  <c r="Q757" i="86"/>
  <c r="P757" i="86"/>
  <c r="O757" i="86"/>
  <c r="N757" i="86"/>
  <c r="AG756" i="86"/>
  <c r="AF756" i="86"/>
  <c r="AE756" i="86"/>
  <c r="AD756" i="86"/>
  <c r="AC756" i="86"/>
  <c r="AB756" i="86"/>
  <c r="AA756" i="86"/>
  <c r="Z756" i="86"/>
  <c r="Y756" i="86"/>
  <c r="X756" i="86"/>
  <c r="W756" i="86"/>
  <c r="V756" i="86"/>
  <c r="U756" i="86"/>
  <c r="T756" i="86"/>
  <c r="S756" i="86"/>
  <c r="R756" i="86"/>
  <c r="Q756" i="86"/>
  <c r="P756" i="86"/>
  <c r="O756" i="86"/>
  <c r="N756" i="86"/>
  <c r="M734" i="86"/>
  <c r="L734" i="86"/>
  <c r="K734" i="86"/>
  <c r="J734" i="86"/>
  <c r="I734" i="86"/>
  <c r="H734" i="86"/>
  <c r="G734" i="86"/>
  <c r="F734" i="86"/>
  <c r="E734" i="86"/>
  <c r="M733" i="86"/>
  <c r="L733" i="86"/>
  <c r="K733" i="86"/>
  <c r="J733" i="86"/>
  <c r="I733" i="86"/>
  <c r="H733" i="86"/>
  <c r="G733" i="86"/>
  <c r="F733" i="86"/>
  <c r="E733" i="86"/>
  <c r="M728" i="86"/>
  <c r="L728" i="86"/>
  <c r="K728" i="86"/>
  <c r="J728" i="86"/>
  <c r="I728" i="86"/>
  <c r="H728" i="86"/>
  <c r="G728" i="86"/>
  <c r="F728" i="86"/>
  <c r="E728" i="86"/>
  <c r="M727" i="86"/>
  <c r="L727" i="86"/>
  <c r="K727" i="86"/>
  <c r="J727" i="86"/>
  <c r="I727" i="86"/>
  <c r="H727" i="86"/>
  <c r="G727" i="86"/>
  <c r="F727" i="86"/>
  <c r="E727" i="86"/>
  <c r="M724" i="86"/>
  <c r="L724" i="86"/>
  <c r="K724" i="86"/>
  <c r="J724" i="86"/>
  <c r="I724" i="86"/>
  <c r="H724" i="86"/>
  <c r="G724" i="86"/>
  <c r="F724" i="86"/>
  <c r="E724" i="86"/>
  <c r="AG733" i="86"/>
  <c r="AF733" i="86"/>
  <c r="AE733" i="86"/>
  <c r="AD733" i="86"/>
  <c r="AC733" i="86"/>
  <c r="AB733" i="86"/>
  <c r="AA733" i="86"/>
  <c r="Z733" i="86"/>
  <c r="Y733" i="86"/>
  <c r="X733" i="86"/>
  <c r="W733" i="86"/>
  <c r="V733" i="86"/>
  <c r="U733" i="86"/>
  <c r="T733" i="86"/>
  <c r="S733" i="86"/>
  <c r="R733" i="86"/>
  <c r="Q733" i="86"/>
  <c r="P733" i="86"/>
  <c r="O733" i="86"/>
  <c r="N733" i="86"/>
  <c r="AG732" i="86"/>
  <c r="AF732" i="86"/>
  <c r="AE732" i="86"/>
  <c r="AD732" i="86"/>
  <c r="AC732" i="86"/>
  <c r="AB732" i="86"/>
  <c r="AA732" i="86"/>
  <c r="Z732" i="86"/>
  <c r="Y732" i="86"/>
  <c r="X732" i="86"/>
  <c r="W732" i="86"/>
  <c r="V732" i="86"/>
  <c r="U732" i="86"/>
  <c r="T732" i="86"/>
  <c r="S732" i="86"/>
  <c r="R732" i="86"/>
  <c r="Q732" i="86"/>
  <c r="P732" i="86"/>
  <c r="O732" i="86"/>
  <c r="N732" i="86"/>
  <c r="AG731" i="86"/>
  <c r="AF731" i="86"/>
  <c r="AE731" i="86"/>
  <c r="AD731" i="86"/>
  <c r="AC731" i="86"/>
  <c r="AB731" i="86"/>
  <c r="AA731" i="86"/>
  <c r="Z731" i="86"/>
  <c r="Y731" i="86"/>
  <c r="X731" i="86"/>
  <c r="W731" i="86"/>
  <c r="V731" i="86"/>
  <c r="U731" i="86"/>
  <c r="T731" i="86"/>
  <c r="S731" i="86"/>
  <c r="R731" i="86"/>
  <c r="Q731" i="86"/>
  <c r="P731" i="86"/>
  <c r="O731" i="86"/>
  <c r="N731" i="86"/>
  <c r="AG730" i="86"/>
  <c r="AF730" i="86"/>
  <c r="AE730" i="86"/>
  <c r="AD730" i="86"/>
  <c r="AC730" i="86"/>
  <c r="AB730" i="86"/>
  <c r="AA730" i="86"/>
  <c r="Z730" i="86"/>
  <c r="Y730" i="86"/>
  <c r="X730" i="86"/>
  <c r="W730" i="86"/>
  <c r="V730" i="86"/>
  <c r="U730" i="86"/>
  <c r="T730" i="86"/>
  <c r="S730" i="86"/>
  <c r="R730" i="86"/>
  <c r="Q730" i="86"/>
  <c r="P730" i="86"/>
  <c r="O730" i="86"/>
  <c r="N730" i="86"/>
  <c r="AG729" i="86"/>
  <c r="AF729" i="86"/>
  <c r="AE729" i="86"/>
  <c r="AD729" i="86"/>
  <c r="AC729" i="86"/>
  <c r="AB729" i="86"/>
  <c r="AA729" i="86"/>
  <c r="Z729" i="86"/>
  <c r="Y729" i="86"/>
  <c r="X729" i="86"/>
  <c r="W729" i="86"/>
  <c r="V729" i="86"/>
  <c r="U729" i="86"/>
  <c r="T729" i="86"/>
  <c r="S729" i="86"/>
  <c r="R729" i="86"/>
  <c r="Q729" i="86"/>
  <c r="P729" i="86"/>
  <c r="O729" i="86"/>
  <c r="N729" i="86"/>
  <c r="AG728" i="86"/>
  <c r="AF728" i="86"/>
  <c r="AE728" i="86"/>
  <c r="AD728" i="86"/>
  <c r="AC728" i="86"/>
  <c r="AB728" i="86"/>
  <c r="AA728" i="86"/>
  <c r="Z728" i="86"/>
  <c r="Y728" i="86"/>
  <c r="X728" i="86"/>
  <c r="W728" i="86"/>
  <c r="V728" i="86"/>
  <c r="U728" i="86"/>
  <c r="T728" i="86"/>
  <c r="S728" i="86"/>
  <c r="R728" i="86"/>
  <c r="Q728" i="86"/>
  <c r="P728" i="86"/>
  <c r="O728" i="86"/>
  <c r="N728" i="86"/>
  <c r="AG727" i="86"/>
  <c r="AF727" i="86"/>
  <c r="AE727" i="86"/>
  <c r="AD727" i="86"/>
  <c r="AC727" i="86"/>
  <c r="AB727" i="86"/>
  <c r="AA727" i="86"/>
  <c r="Z727" i="86"/>
  <c r="Y727" i="86"/>
  <c r="X727" i="86"/>
  <c r="W727" i="86"/>
  <c r="V727" i="86"/>
  <c r="U727" i="86"/>
  <c r="T727" i="86"/>
  <c r="S727" i="86"/>
  <c r="R727" i="86"/>
  <c r="Q727" i="86"/>
  <c r="P727" i="86"/>
  <c r="O727" i="86"/>
  <c r="N727" i="86"/>
  <c r="AG726" i="86"/>
  <c r="AF726" i="86"/>
  <c r="AE726" i="86"/>
  <c r="AD726" i="86"/>
  <c r="AC726" i="86"/>
  <c r="AB726" i="86"/>
  <c r="AA726" i="86"/>
  <c r="Z726" i="86"/>
  <c r="Y726" i="86"/>
  <c r="X726" i="86"/>
  <c r="W726" i="86"/>
  <c r="V726" i="86"/>
  <c r="U726" i="86"/>
  <c r="T726" i="86"/>
  <c r="S726" i="86"/>
  <c r="R726" i="86"/>
  <c r="Q726" i="86"/>
  <c r="P726" i="86"/>
  <c r="O726" i="86"/>
  <c r="N726" i="86"/>
  <c r="AG724" i="86"/>
  <c r="AF724" i="86"/>
  <c r="AE724" i="86"/>
  <c r="AD724" i="86"/>
  <c r="AC724" i="86"/>
  <c r="AB724" i="86"/>
  <c r="AA724" i="86"/>
  <c r="Z724" i="86"/>
  <c r="Y724" i="86"/>
  <c r="X724" i="86"/>
  <c r="W724" i="86"/>
  <c r="V724" i="86"/>
  <c r="U724" i="86"/>
  <c r="T724" i="86"/>
  <c r="S724" i="86"/>
  <c r="R724" i="86"/>
  <c r="Q724" i="86"/>
  <c r="P724" i="86"/>
  <c r="O724" i="86"/>
  <c r="N724" i="86"/>
  <c r="AG723" i="86"/>
  <c r="AF723" i="86"/>
  <c r="AE723" i="86"/>
  <c r="AD723" i="86"/>
  <c r="AC723" i="86"/>
  <c r="AB723" i="86"/>
  <c r="AA723" i="86"/>
  <c r="Z723" i="86"/>
  <c r="Y723" i="86"/>
  <c r="X723" i="86"/>
  <c r="W723" i="86"/>
  <c r="V723" i="86"/>
  <c r="U723" i="86"/>
  <c r="T723" i="86"/>
  <c r="S723" i="86"/>
  <c r="R723" i="86"/>
  <c r="Q723" i="86"/>
  <c r="P723" i="86"/>
  <c r="O723" i="86"/>
  <c r="N723" i="86"/>
  <c r="AG747" i="86"/>
  <c r="AF747" i="86"/>
  <c r="AE747" i="86"/>
  <c r="AD747" i="86"/>
  <c r="AC747" i="86"/>
  <c r="AB747" i="86"/>
  <c r="AA747" i="86"/>
  <c r="Z747" i="86"/>
  <c r="Y747" i="86"/>
  <c r="W747" i="86"/>
  <c r="V747" i="86"/>
  <c r="U747" i="86"/>
  <c r="T747" i="86"/>
  <c r="S747" i="86"/>
  <c r="R747" i="86"/>
  <c r="Q747" i="86"/>
  <c r="P747" i="86"/>
  <c r="O747" i="86"/>
  <c r="AG746" i="86"/>
  <c r="AF746" i="86"/>
  <c r="AE746" i="86"/>
  <c r="AD746" i="86"/>
  <c r="AC746" i="86"/>
  <c r="AB746" i="86"/>
  <c r="AA746" i="86"/>
  <c r="Z746" i="86"/>
  <c r="Y746" i="86"/>
  <c r="X746" i="86"/>
  <c r="W746" i="86"/>
  <c r="V746" i="86"/>
  <c r="U746" i="86"/>
  <c r="T746" i="86"/>
  <c r="S746" i="86"/>
  <c r="R746" i="86"/>
  <c r="Q746" i="86"/>
  <c r="P746" i="86"/>
  <c r="O746" i="86"/>
  <c r="N746" i="86"/>
  <c r="AG745" i="86"/>
  <c r="AF745" i="86"/>
  <c r="AE745" i="86"/>
  <c r="AD745" i="86"/>
  <c r="AC745" i="86"/>
  <c r="AB745" i="86"/>
  <c r="AA745" i="86"/>
  <c r="Z745" i="86"/>
  <c r="Y745" i="86"/>
  <c r="X745" i="86"/>
  <c r="W745" i="86"/>
  <c r="V745" i="86"/>
  <c r="U745" i="86"/>
  <c r="T745" i="86"/>
  <c r="S745" i="86"/>
  <c r="R745" i="86"/>
  <c r="Q745" i="86"/>
  <c r="P745" i="86"/>
  <c r="O745" i="86"/>
  <c r="N745" i="86"/>
  <c r="AG744" i="86"/>
  <c r="AF744" i="86"/>
  <c r="AE744" i="86"/>
  <c r="AD744" i="86"/>
  <c r="AC744" i="86"/>
  <c r="AB744" i="86"/>
  <c r="AA744" i="86"/>
  <c r="Z744" i="86"/>
  <c r="Y744" i="86"/>
  <c r="X744" i="86"/>
  <c r="W744" i="86"/>
  <c r="V744" i="86"/>
  <c r="U744" i="86"/>
  <c r="T744" i="86"/>
  <c r="S744" i="86"/>
  <c r="R744" i="86"/>
  <c r="Q744" i="86"/>
  <c r="P744" i="86"/>
  <c r="O744" i="86"/>
  <c r="N744" i="86"/>
  <c r="AG743" i="86"/>
  <c r="AF743" i="86"/>
  <c r="AE743" i="86"/>
  <c r="AD743" i="86"/>
  <c r="AC743" i="86"/>
  <c r="AB743" i="86"/>
  <c r="AA743" i="86"/>
  <c r="Z743" i="86"/>
  <c r="Y743" i="86"/>
  <c r="X743" i="86"/>
  <c r="W743" i="86"/>
  <c r="V743" i="86"/>
  <c r="U743" i="86"/>
  <c r="T743" i="86"/>
  <c r="S743" i="86"/>
  <c r="R743" i="86"/>
  <c r="Q743" i="86"/>
  <c r="P743" i="86"/>
  <c r="O743" i="86"/>
  <c r="N743" i="86"/>
  <c r="AG742" i="86"/>
  <c r="AF742" i="86"/>
  <c r="AE742" i="86"/>
  <c r="AD742" i="86"/>
  <c r="AC742" i="86"/>
  <c r="AB742" i="86"/>
  <c r="AA742" i="86"/>
  <c r="Z742" i="86"/>
  <c r="Y742" i="86"/>
  <c r="X742" i="86"/>
  <c r="W742" i="86"/>
  <c r="V742" i="86"/>
  <c r="U742" i="86"/>
  <c r="T742" i="86"/>
  <c r="S742" i="86"/>
  <c r="R742" i="86"/>
  <c r="Q742" i="86"/>
  <c r="P742" i="86"/>
  <c r="O742" i="86"/>
  <c r="N742" i="86"/>
  <c r="AG741" i="86"/>
  <c r="AF741" i="86"/>
  <c r="AE741" i="86"/>
  <c r="AD741" i="86"/>
  <c r="AC741" i="86"/>
  <c r="AB741" i="86"/>
  <c r="AA741" i="86"/>
  <c r="Z741" i="86"/>
  <c r="Y741" i="86"/>
  <c r="X741" i="86"/>
  <c r="W741" i="86"/>
  <c r="V741" i="86"/>
  <c r="U741" i="86"/>
  <c r="T741" i="86"/>
  <c r="S741" i="86"/>
  <c r="R741" i="86"/>
  <c r="Q741" i="86"/>
  <c r="P741" i="86"/>
  <c r="O741" i="86"/>
  <c r="N741" i="86"/>
  <c r="AG713" i="86"/>
  <c r="AF713" i="86"/>
  <c r="AE713" i="86"/>
  <c r="AC713" i="86"/>
  <c r="AB713" i="86"/>
  <c r="AA713" i="86"/>
  <c r="Y713" i="86"/>
  <c r="X713" i="86"/>
  <c r="W713" i="86"/>
  <c r="V713" i="86"/>
  <c r="U713" i="86"/>
  <c r="T713" i="86"/>
  <c r="S713" i="86"/>
  <c r="R713" i="86"/>
  <c r="Q713" i="86"/>
  <c r="P713" i="86"/>
  <c r="O713" i="86"/>
  <c r="N713" i="86"/>
  <c r="AG712" i="86"/>
  <c r="AF712" i="86"/>
  <c r="AE712" i="86"/>
  <c r="AD712" i="86"/>
  <c r="AC712" i="86"/>
  <c r="AB712" i="86"/>
  <c r="AA712" i="86"/>
  <c r="Z712" i="86"/>
  <c r="Y712" i="86"/>
  <c r="X712" i="86"/>
  <c r="W712" i="86"/>
  <c r="V712" i="86"/>
  <c r="U712" i="86"/>
  <c r="T712" i="86"/>
  <c r="S712" i="86"/>
  <c r="R712" i="86"/>
  <c r="Q712" i="86"/>
  <c r="P712" i="86"/>
  <c r="O712" i="86"/>
  <c r="N712" i="86"/>
  <c r="AG711" i="86"/>
  <c r="AF711" i="86"/>
  <c r="AE711" i="86"/>
  <c r="AD711" i="86"/>
  <c r="AC711" i="86"/>
  <c r="AB711" i="86"/>
  <c r="AA711" i="86"/>
  <c r="Z711" i="86"/>
  <c r="Y711" i="86"/>
  <c r="X711" i="86"/>
  <c r="W711" i="86"/>
  <c r="V711" i="86"/>
  <c r="U711" i="86"/>
  <c r="T711" i="86"/>
  <c r="S711" i="86"/>
  <c r="R711" i="86"/>
  <c r="Q711" i="86"/>
  <c r="P711" i="86"/>
  <c r="O711" i="86"/>
  <c r="N711" i="86"/>
  <c r="AG710" i="86"/>
  <c r="AF710" i="86"/>
  <c r="AE710" i="86"/>
  <c r="AD710" i="86"/>
  <c r="AC710" i="86"/>
  <c r="AB710" i="86"/>
  <c r="AA710" i="86"/>
  <c r="Z710" i="86"/>
  <c r="Y710" i="86"/>
  <c r="X710" i="86"/>
  <c r="W710" i="86"/>
  <c r="V710" i="86"/>
  <c r="U710" i="86"/>
  <c r="T710" i="86"/>
  <c r="S710" i="86"/>
  <c r="R710" i="86"/>
  <c r="Q710" i="86"/>
  <c r="P710" i="86"/>
  <c r="O710" i="86"/>
  <c r="N710" i="86"/>
  <c r="AG709" i="86"/>
  <c r="AF709" i="86"/>
  <c r="AE709" i="86"/>
  <c r="AD709" i="86"/>
  <c r="AC709" i="86"/>
  <c r="AB709" i="86"/>
  <c r="AA709" i="86"/>
  <c r="Z709" i="86"/>
  <c r="Y709" i="86"/>
  <c r="X709" i="86"/>
  <c r="W709" i="86"/>
  <c r="V709" i="86"/>
  <c r="U709" i="86"/>
  <c r="T709" i="86"/>
  <c r="S709" i="86"/>
  <c r="R709" i="86"/>
  <c r="Q709" i="86"/>
  <c r="P709" i="86"/>
  <c r="O709" i="86"/>
  <c r="N709" i="86"/>
  <c r="AG708" i="86"/>
  <c r="AF708" i="86"/>
  <c r="AE708" i="86"/>
  <c r="AC708" i="86"/>
  <c r="AB708" i="86"/>
  <c r="AA708" i="86"/>
  <c r="Y708" i="86"/>
  <c r="X708" i="86"/>
  <c r="W708" i="86"/>
  <c r="U708" i="86"/>
  <c r="T708" i="86"/>
  <c r="S708" i="86"/>
  <c r="Q708" i="86"/>
  <c r="P708" i="86"/>
  <c r="O708" i="86"/>
  <c r="AG707" i="86"/>
  <c r="AF707" i="86"/>
  <c r="AE707" i="86"/>
  <c r="AD707" i="86"/>
  <c r="AC707" i="86"/>
  <c r="AB707" i="86"/>
  <c r="AA707" i="86"/>
  <c r="Z707" i="86"/>
  <c r="Y707" i="86"/>
  <c r="X707" i="86"/>
  <c r="W707" i="86"/>
  <c r="V707" i="86"/>
  <c r="U707" i="86"/>
  <c r="T707" i="86"/>
  <c r="S707" i="86"/>
  <c r="R707" i="86"/>
  <c r="Q707" i="86"/>
  <c r="P707" i="86"/>
  <c r="O707" i="86"/>
  <c r="N707" i="86"/>
  <c r="AG706" i="86"/>
  <c r="AF706" i="86"/>
  <c r="AE706" i="86"/>
  <c r="AD706" i="86"/>
  <c r="AC706" i="86"/>
  <c r="AB706" i="86"/>
  <c r="AA706" i="86"/>
  <c r="Z706" i="86"/>
  <c r="Y706" i="86"/>
  <c r="X706" i="86"/>
  <c r="W706" i="86"/>
  <c r="V706" i="86"/>
  <c r="U706" i="86"/>
  <c r="T706" i="86"/>
  <c r="S706" i="86"/>
  <c r="R706" i="86"/>
  <c r="Q706" i="86"/>
  <c r="P706" i="86"/>
  <c r="O706" i="86"/>
  <c r="N706" i="86"/>
  <c r="AG705" i="86"/>
  <c r="AF705" i="86"/>
  <c r="AE705" i="86"/>
  <c r="AD705" i="86"/>
  <c r="AC705" i="86"/>
  <c r="AB705" i="86"/>
  <c r="AA705" i="86"/>
  <c r="Z705" i="86"/>
  <c r="Y705" i="86"/>
  <c r="X705" i="86"/>
  <c r="W705" i="86"/>
  <c r="V705" i="86"/>
  <c r="U705" i="86"/>
  <c r="T705" i="86"/>
  <c r="S705" i="86"/>
  <c r="R705" i="86"/>
  <c r="Q705" i="86"/>
  <c r="P705" i="86"/>
  <c r="O705" i="86"/>
  <c r="N705" i="86"/>
  <c r="AG697" i="86"/>
  <c r="AF697" i="86"/>
  <c r="AE697" i="86"/>
  <c r="AC697" i="86"/>
  <c r="AB697" i="86"/>
  <c r="AA697" i="86"/>
  <c r="Y697" i="86"/>
  <c r="X697" i="86"/>
  <c r="W697" i="86"/>
  <c r="U697" i="86"/>
  <c r="T697" i="86"/>
  <c r="S697" i="86"/>
  <c r="Q697" i="86"/>
  <c r="P697" i="86"/>
  <c r="O697" i="86"/>
  <c r="M697" i="86"/>
  <c r="L697" i="86"/>
  <c r="K697" i="86"/>
  <c r="AG696" i="86"/>
  <c r="AF696" i="86"/>
  <c r="AE696" i="86"/>
  <c r="AC696" i="86"/>
  <c r="AB696" i="86"/>
  <c r="AA696" i="86"/>
  <c r="Y696" i="86"/>
  <c r="X696" i="86"/>
  <c r="W696" i="86"/>
  <c r="V696" i="86"/>
  <c r="U696" i="86"/>
  <c r="T696" i="86"/>
  <c r="S696" i="86"/>
  <c r="R696" i="86"/>
  <c r="Q696" i="86"/>
  <c r="P696" i="86"/>
  <c r="O696" i="86"/>
  <c r="N696" i="86"/>
  <c r="M696" i="86"/>
  <c r="L696" i="86"/>
  <c r="K696" i="86"/>
  <c r="I696" i="86"/>
  <c r="H696" i="86"/>
  <c r="G696" i="86"/>
  <c r="F696" i="86"/>
  <c r="E696" i="86"/>
  <c r="AG695" i="86"/>
  <c r="AF695" i="86"/>
  <c r="AE695" i="86"/>
  <c r="AD695" i="86"/>
  <c r="AC695" i="86"/>
  <c r="AB695" i="86"/>
  <c r="AA695" i="86"/>
  <c r="Z695" i="86"/>
  <c r="Y695" i="86"/>
  <c r="X695" i="86"/>
  <c r="W695" i="86"/>
  <c r="V695" i="86"/>
  <c r="U695" i="86"/>
  <c r="T695" i="86"/>
  <c r="S695" i="86"/>
  <c r="R695" i="86"/>
  <c r="Q695" i="86"/>
  <c r="P695" i="86"/>
  <c r="O695" i="86"/>
  <c r="N695" i="86"/>
  <c r="M695" i="86"/>
  <c r="L695" i="86"/>
  <c r="K695" i="86"/>
  <c r="J695" i="86"/>
  <c r="I695" i="86"/>
  <c r="H695" i="86"/>
  <c r="G695" i="86"/>
  <c r="F695" i="86"/>
  <c r="E695" i="86"/>
  <c r="AG659" i="86"/>
  <c r="AF659" i="86"/>
  <c r="AE659" i="86"/>
  <c r="AD659" i="86"/>
  <c r="AC659" i="86"/>
  <c r="AB659" i="86"/>
  <c r="AA659" i="86"/>
  <c r="Z659" i="86"/>
  <c r="Y659" i="86"/>
  <c r="X659" i="86"/>
  <c r="AG658" i="86"/>
  <c r="AF658" i="86"/>
  <c r="AE658" i="86"/>
  <c r="AD658" i="86"/>
  <c r="AC658" i="86"/>
  <c r="AB658" i="86"/>
  <c r="AA658" i="86"/>
  <c r="Z658" i="86"/>
  <c r="Y658" i="86"/>
  <c r="X658" i="86"/>
  <c r="W658" i="86"/>
  <c r="V658" i="86"/>
  <c r="U658" i="86"/>
  <c r="T658" i="86"/>
  <c r="S658" i="86"/>
  <c r="R658" i="86"/>
  <c r="Q658" i="86"/>
  <c r="P658" i="86"/>
  <c r="O658" i="86"/>
  <c r="N658" i="86"/>
  <c r="AG656" i="86"/>
  <c r="AF656" i="86"/>
  <c r="AE656" i="86"/>
  <c r="AD656" i="86"/>
  <c r="AC656" i="86"/>
  <c r="AB656" i="86"/>
  <c r="AA656" i="86"/>
  <c r="Z656" i="86"/>
  <c r="Y656" i="86"/>
  <c r="X656" i="86"/>
  <c r="W656" i="86"/>
  <c r="V656" i="86"/>
  <c r="U656" i="86"/>
  <c r="T656" i="86"/>
  <c r="S656" i="86"/>
  <c r="R656" i="86"/>
  <c r="Q656" i="86"/>
  <c r="P656" i="86"/>
  <c r="O656" i="86"/>
  <c r="N656" i="86"/>
  <c r="AG654" i="86"/>
  <c r="AF654" i="86"/>
  <c r="AE654" i="86"/>
  <c r="AD654" i="86"/>
  <c r="AC654" i="86"/>
  <c r="AB654" i="86"/>
  <c r="AA654" i="86"/>
  <c r="Z654" i="86"/>
  <c r="Y654" i="86"/>
  <c r="X654" i="86"/>
  <c r="W654" i="86"/>
  <c r="V654" i="86"/>
  <c r="U654" i="86"/>
  <c r="T654" i="86"/>
  <c r="S654" i="86"/>
  <c r="R654" i="86"/>
  <c r="Q654" i="86"/>
  <c r="P654" i="86"/>
  <c r="O654" i="86"/>
  <c r="N654" i="86"/>
  <c r="AG652" i="86"/>
  <c r="AF652" i="86"/>
  <c r="AE652" i="86"/>
  <c r="AD652" i="86"/>
  <c r="AC652" i="86"/>
  <c r="AB652" i="86"/>
  <c r="AA652" i="86"/>
  <c r="Z652" i="86"/>
  <c r="Y652" i="86"/>
  <c r="X652" i="86"/>
  <c r="W652" i="86"/>
  <c r="V652" i="86"/>
  <c r="U652" i="86"/>
  <c r="T652" i="86"/>
  <c r="S652" i="86"/>
  <c r="R652" i="86"/>
  <c r="Q652" i="86"/>
  <c r="P652" i="86"/>
  <c r="O652" i="86"/>
  <c r="N652" i="86"/>
  <c r="AG634" i="86"/>
  <c r="AF634" i="86"/>
  <c r="AE634" i="86"/>
  <c r="AD634" i="86"/>
  <c r="AC634" i="86"/>
  <c r="AB634" i="86"/>
  <c r="AA634" i="86"/>
  <c r="Z634" i="86"/>
  <c r="Y634" i="86"/>
  <c r="W634" i="86"/>
  <c r="V634" i="86"/>
  <c r="U634" i="86"/>
  <c r="T634" i="86"/>
  <c r="S634" i="86"/>
  <c r="R634" i="86"/>
  <c r="Q634" i="86"/>
  <c r="P634" i="86"/>
  <c r="O634" i="86"/>
  <c r="AG633" i="86"/>
  <c r="AF633" i="86"/>
  <c r="AE633" i="86"/>
  <c r="AD633" i="86"/>
  <c r="AC633" i="86"/>
  <c r="AB633" i="86"/>
  <c r="AA633" i="86"/>
  <c r="Z633" i="86"/>
  <c r="Y633" i="86"/>
  <c r="X633" i="86"/>
  <c r="W633" i="86"/>
  <c r="V633" i="86"/>
  <c r="U633" i="86"/>
  <c r="T633" i="86"/>
  <c r="S633" i="86"/>
  <c r="R633" i="86"/>
  <c r="Q633" i="86"/>
  <c r="P633" i="86"/>
  <c r="O633" i="86"/>
  <c r="N633" i="86"/>
  <c r="AG632" i="86"/>
  <c r="AF632" i="86"/>
  <c r="AE632" i="86"/>
  <c r="AD632" i="86"/>
  <c r="AC632" i="86"/>
  <c r="AB632" i="86"/>
  <c r="AA632" i="86"/>
  <c r="Z632" i="86"/>
  <c r="Y632" i="86"/>
  <c r="W632" i="86"/>
  <c r="V632" i="86"/>
  <c r="U632" i="86"/>
  <c r="T632" i="86"/>
  <c r="S632" i="86"/>
  <c r="R632" i="86"/>
  <c r="Q632" i="86"/>
  <c r="P632" i="86"/>
  <c r="O632" i="86"/>
  <c r="AG629" i="86"/>
  <c r="AF629" i="86"/>
  <c r="AE629" i="86"/>
  <c r="AD629" i="86"/>
  <c r="AC629" i="86"/>
  <c r="AB629" i="86"/>
  <c r="AA629" i="86"/>
  <c r="Z629" i="86"/>
  <c r="Y629" i="86"/>
  <c r="X629" i="86"/>
  <c r="W629" i="86"/>
  <c r="V629" i="86"/>
  <c r="U629" i="86"/>
  <c r="T629" i="86"/>
  <c r="S629" i="86"/>
  <c r="R629" i="86"/>
  <c r="Q629" i="86"/>
  <c r="P629" i="86"/>
  <c r="O629" i="86"/>
  <c r="N629" i="86"/>
  <c r="AG628" i="86"/>
  <c r="AF628" i="86"/>
  <c r="AE628" i="86"/>
  <c r="AD628" i="86"/>
  <c r="AC628" i="86"/>
  <c r="AB628" i="86"/>
  <c r="AA628" i="86"/>
  <c r="Z628" i="86"/>
  <c r="Y628" i="86"/>
  <c r="X628" i="86"/>
  <c r="W628" i="86"/>
  <c r="V628" i="86"/>
  <c r="U628" i="86"/>
  <c r="T628" i="86"/>
  <c r="S628" i="86"/>
  <c r="R628" i="86"/>
  <c r="Q628" i="86"/>
  <c r="P628" i="86"/>
  <c r="O628" i="86"/>
  <c r="N628" i="86"/>
  <c r="AG621" i="86"/>
  <c r="AF621" i="86"/>
  <c r="AE621" i="86"/>
  <c r="AD621" i="86"/>
  <c r="AC621" i="86"/>
  <c r="AB621" i="86"/>
  <c r="AA621" i="86"/>
  <c r="Z621" i="86"/>
  <c r="Y621" i="86"/>
  <c r="X621" i="86"/>
  <c r="W621" i="86"/>
  <c r="V621" i="86"/>
  <c r="U621" i="86"/>
  <c r="T621" i="86"/>
  <c r="S621" i="86"/>
  <c r="R621" i="86"/>
  <c r="Q621" i="86"/>
  <c r="P621" i="86"/>
  <c r="O621" i="86"/>
  <c r="N621" i="86"/>
  <c r="AG619" i="86"/>
  <c r="AF619" i="86"/>
  <c r="AE619" i="86"/>
  <c r="AD619" i="86"/>
  <c r="AC619" i="86"/>
  <c r="AB619" i="86"/>
  <c r="AA619" i="86"/>
  <c r="Z619" i="86"/>
  <c r="Y619" i="86"/>
  <c r="X619" i="86"/>
  <c r="W619" i="86"/>
  <c r="V619" i="86"/>
  <c r="U619" i="86"/>
  <c r="T619" i="86"/>
  <c r="S619" i="86"/>
  <c r="R619" i="86"/>
  <c r="Q619" i="86"/>
  <c r="P619" i="86"/>
  <c r="O619" i="86"/>
  <c r="N619" i="86"/>
  <c r="AG618" i="86"/>
  <c r="AF618" i="86"/>
  <c r="AE618" i="86"/>
  <c r="AD618" i="86"/>
  <c r="AC618" i="86"/>
  <c r="AB618" i="86"/>
  <c r="AA618" i="86"/>
  <c r="Z618" i="86"/>
  <c r="Y618" i="86"/>
  <c r="X618" i="86"/>
  <c r="W618" i="86"/>
  <c r="V618" i="86"/>
  <c r="U618" i="86"/>
  <c r="T618" i="86"/>
  <c r="S618" i="86"/>
  <c r="R618" i="86"/>
  <c r="Q618" i="86"/>
  <c r="P618" i="86"/>
  <c r="O618" i="86"/>
  <c r="N618" i="86"/>
  <c r="AG617" i="86"/>
  <c r="AF617" i="86"/>
  <c r="AE617" i="86"/>
  <c r="AD617" i="86"/>
  <c r="AC617" i="86"/>
  <c r="AB617" i="86"/>
  <c r="AA617" i="86"/>
  <c r="Z617" i="86"/>
  <c r="Y617" i="86"/>
  <c r="X617" i="86"/>
  <c r="W617" i="86"/>
  <c r="V617" i="86"/>
  <c r="U617" i="86"/>
  <c r="T617" i="86"/>
  <c r="S617" i="86"/>
  <c r="R617" i="86"/>
  <c r="Q617" i="86"/>
  <c r="P617" i="86"/>
  <c r="O617" i="86"/>
  <c r="N617" i="86"/>
  <c r="AG616" i="86"/>
  <c r="AF616" i="86"/>
  <c r="AE616" i="86"/>
  <c r="AD616" i="86"/>
  <c r="AC616" i="86"/>
  <c r="AB616" i="86"/>
  <c r="AA616" i="86"/>
  <c r="Z616" i="86"/>
  <c r="Y616" i="86"/>
  <c r="X616" i="86"/>
  <c r="W616" i="86"/>
  <c r="V616" i="86"/>
  <c r="U616" i="86"/>
  <c r="T616" i="86"/>
  <c r="S616" i="86"/>
  <c r="R616" i="86"/>
  <c r="Q616" i="86"/>
  <c r="P616" i="86"/>
  <c r="O616" i="86"/>
  <c r="N616" i="86"/>
  <c r="AG615" i="86"/>
  <c r="AF615" i="86"/>
  <c r="AE615" i="86"/>
  <c r="AD615" i="86"/>
  <c r="AC615" i="86"/>
  <c r="AB615" i="86"/>
  <c r="AA615" i="86"/>
  <c r="Z615" i="86"/>
  <c r="Y615" i="86"/>
  <c r="X615" i="86"/>
  <c r="W615" i="86"/>
  <c r="V615" i="86"/>
  <c r="U615" i="86"/>
  <c r="T615" i="86"/>
  <c r="S615" i="86"/>
  <c r="R615" i="86"/>
  <c r="Q615" i="86"/>
  <c r="P615" i="86"/>
  <c r="O615" i="86"/>
  <c r="N615" i="86"/>
  <c r="AG614" i="86"/>
  <c r="AF614" i="86"/>
  <c r="AE614" i="86"/>
  <c r="AD614" i="86"/>
  <c r="AC614" i="86"/>
  <c r="AB614" i="86"/>
  <c r="AA614" i="86"/>
  <c r="Z614" i="86"/>
  <c r="Y614" i="86"/>
  <c r="X614" i="86"/>
  <c r="W614" i="86"/>
  <c r="V614" i="86"/>
  <c r="U614" i="86"/>
  <c r="T614" i="86"/>
  <c r="S614" i="86"/>
  <c r="R614" i="86"/>
  <c r="Q614" i="86"/>
  <c r="P614" i="86"/>
  <c r="O614" i="86"/>
  <c r="N614" i="86"/>
  <c r="AG613" i="86"/>
  <c r="AF613" i="86"/>
  <c r="AE613" i="86"/>
  <c r="AD613" i="86"/>
  <c r="AC613" i="86"/>
  <c r="AB613" i="86"/>
  <c r="AA613" i="86"/>
  <c r="Z613" i="86"/>
  <c r="Y613" i="86"/>
  <c r="X613" i="86"/>
  <c r="W613" i="86"/>
  <c r="V613" i="86"/>
  <c r="U613" i="86"/>
  <c r="T613" i="86"/>
  <c r="S613" i="86"/>
  <c r="R613" i="86"/>
  <c r="Q613" i="86"/>
  <c r="P613" i="86"/>
  <c r="O613" i="86"/>
  <c r="N613" i="86"/>
  <c r="AG612" i="86"/>
  <c r="AF612" i="86"/>
  <c r="AE612" i="86"/>
  <c r="AD612" i="86"/>
  <c r="AC612" i="86"/>
  <c r="AB612" i="86"/>
  <c r="AA612" i="86"/>
  <c r="Z612" i="86"/>
  <c r="Y612" i="86"/>
  <c r="X612" i="86"/>
  <c r="W612" i="86"/>
  <c r="V612" i="86"/>
  <c r="U612" i="86"/>
  <c r="T612" i="86"/>
  <c r="S612" i="86"/>
  <c r="R612" i="86"/>
  <c r="Q612" i="86"/>
  <c r="P612" i="86"/>
  <c r="O612" i="86"/>
  <c r="N612" i="86"/>
  <c r="AG611" i="86"/>
  <c r="AF611" i="86"/>
  <c r="AE611" i="86"/>
  <c r="AD611" i="86"/>
  <c r="AC611" i="86"/>
  <c r="AB611" i="86"/>
  <c r="AA611" i="86"/>
  <c r="Z611" i="86"/>
  <c r="Y611" i="86"/>
  <c r="X611" i="86"/>
  <c r="W611" i="86"/>
  <c r="V611" i="86"/>
  <c r="U611" i="86"/>
  <c r="T611" i="86"/>
  <c r="S611" i="86"/>
  <c r="R611" i="86"/>
  <c r="Q611" i="86"/>
  <c r="P611" i="86"/>
  <c r="O611" i="86"/>
  <c r="N611" i="86"/>
  <c r="AG610" i="86"/>
  <c r="AF610" i="86"/>
  <c r="AE610" i="86"/>
  <c r="AD610" i="86"/>
  <c r="AC610" i="86"/>
  <c r="AB610" i="86"/>
  <c r="AA610" i="86"/>
  <c r="Z610" i="86"/>
  <c r="Y610" i="86"/>
  <c r="X610" i="86"/>
  <c r="W610" i="86"/>
  <c r="V610" i="86"/>
  <c r="U610" i="86"/>
  <c r="T610" i="86"/>
  <c r="S610" i="86"/>
  <c r="R610" i="86"/>
  <c r="Q610" i="86"/>
  <c r="P610" i="86"/>
  <c r="O610" i="86"/>
  <c r="N610" i="86"/>
  <c r="AG609" i="86"/>
  <c r="AF609" i="86"/>
  <c r="AE609" i="86"/>
  <c r="AD609" i="86"/>
  <c r="AC609" i="86"/>
  <c r="AB609" i="86"/>
  <c r="AA609" i="86"/>
  <c r="Z609" i="86"/>
  <c r="Y609" i="86"/>
  <c r="X609" i="86"/>
  <c r="W609" i="86"/>
  <c r="V609" i="86"/>
  <c r="U609" i="86"/>
  <c r="T609" i="86"/>
  <c r="S609" i="86"/>
  <c r="R609" i="86"/>
  <c r="Q609" i="86"/>
  <c r="P609" i="86"/>
  <c r="O609" i="86"/>
  <c r="N609" i="86"/>
  <c r="AG608" i="86"/>
  <c r="AF608" i="86"/>
  <c r="AE608" i="86"/>
  <c r="AD608" i="86"/>
  <c r="AC608" i="86"/>
  <c r="AB608" i="86"/>
  <c r="AA608" i="86"/>
  <c r="Z608" i="86"/>
  <c r="Y608" i="86"/>
  <c r="X608" i="86"/>
  <c r="W608" i="86"/>
  <c r="V608" i="86"/>
  <c r="U608" i="86"/>
  <c r="T608" i="86"/>
  <c r="S608" i="86"/>
  <c r="R608" i="86"/>
  <c r="Q608" i="86"/>
  <c r="P608" i="86"/>
  <c r="O608" i="86"/>
  <c r="N608" i="86"/>
  <c r="AG607" i="86"/>
  <c r="AF607" i="86"/>
  <c r="AE607" i="86"/>
  <c r="AD607" i="86"/>
  <c r="AC607" i="86"/>
  <c r="AB607" i="86"/>
  <c r="AA607" i="86"/>
  <c r="Z607" i="86"/>
  <c r="Y607" i="86"/>
  <c r="X607" i="86"/>
  <c r="W607" i="86"/>
  <c r="V607" i="86"/>
  <c r="U607" i="86"/>
  <c r="T607" i="86"/>
  <c r="S607" i="86"/>
  <c r="R607" i="86"/>
  <c r="Q607" i="86"/>
  <c r="P607" i="86"/>
  <c r="O607" i="86"/>
  <c r="N607" i="86"/>
  <c r="AG606" i="86"/>
  <c r="AF606" i="86"/>
  <c r="AE606" i="86"/>
  <c r="AD606" i="86"/>
  <c r="AC606" i="86"/>
  <c r="AB606" i="86"/>
  <c r="AA606" i="86"/>
  <c r="Z606" i="86"/>
  <c r="Y606" i="86"/>
  <c r="X606" i="86"/>
  <c r="W606" i="86"/>
  <c r="V606" i="86"/>
  <c r="U606" i="86"/>
  <c r="T606" i="86"/>
  <c r="S606" i="86"/>
  <c r="R606" i="86"/>
  <c r="Q606" i="86"/>
  <c r="P606" i="86"/>
  <c r="O606" i="86"/>
  <c r="N606" i="86"/>
  <c r="AG605" i="86"/>
  <c r="AF605" i="86"/>
  <c r="AE605" i="86"/>
  <c r="AD605" i="86"/>
  <c r="AC605" i="86"/>
  <c r="AB605" i="86"/>
  <c r="AA605" i="86"/>
  <c r="Z605" i="86"/>
  <c r="Y605" i="86"/>
  <c r="X605" i="86"/>
  <c r="W605" i="86"/>
  <c r="V605" i="86"/>
  <c r="U605" i="86"/>
  <c r="T605" i="86"/>
  <c r="S605" i="86"/>
  <c r="R605" i="86"/>
  <c r="Q605" i="86"/>
  <c r="P605" i="86"/>
  <c r="O605" i="86"/>
  <c r="N605" i="86"/>
  <c r="AG604" i="86"/>
  <c r="AF604" i="86"/>
  <c r="AE604" i="86"/>
  <c r="AD604" i="86"/>
  <c r="AC604" i="86"/>
  <c r="AB604" i="86"/>
  <c r="AA604" i="86"/>
  <c r="Z604" i="86"/>
  <c r="Y604" i="86"/>
  <c r="X604" i="86"/>
  <c r="W604" i="86"/>
  <c r="V604" i="86"/>
  <c r="U604" i="86"/>
  <c r="T604" i="86"/>
  <c r="S604" i="86"/>
  <c r="R604" i="86"/>
  <c r="Q604" i="86"/>
  <c r="P604" i="86"/>
  <c r="O604" i="86"/>
  <c r="N604" i="86"/>
  <c r="AG596" i="86"/>
  <c r="AF596" i="86"/>
  <c r="AE596" i="86"/>
  <c r="AD596" i="86"/>
  <c r="AC596" i="86"/>
  <c r="AB596" i="86"/>
  <c r="AA596" i="86"/>
  <c r="Z596" i="86"/>
  <c r="Y596" i="86"/>
  <c r="X596" i="86"/>
  <c r="W596" i="86"/>
  <c r="V596" i="86"/>
  <c r="U596" i="86"/>
  <c r="T596" i="86"/>
  <c r="S596" i="86"/>
  <c r="R596" i="86"/>
  <c r="Q596" i="86"/>
  <c r="P596" i="86"/>
  <c r="O596" i="86"/>
  <c r="N596" i="86"/>
  <c r="AG595" i="86"/>
  <c r="AF595" i="86"/>
  <c r="AE595" i="86"/>
  <c r="AD595" i="86"/>
  <c r="AC595" i="86"/>
  <c r="AB595" i="86"/>
  <c r="AA595" i="86"/>
  <c r="Z595" i="86"/>
  <c r="Y595" i="86"/>
  <c r="X595" i="86"/>
  <c r="W595" i="86"/>
  <c r="V595" i="86"/>
  <c r="U595" i="86"/>
  <c r="T595" i="86"/>
  <c r="S595" i="86"/>
  <c r="R595" i="86"/>
  <c r="Q595" i="86"/>
  <c r="P595" i="86"/>
  <c r="O595" i="86"/>
  <c r="N595" i="86"/>
  <c r="AG594" i="86"/>
  <c r="AF594" i="86"/>
  <c r="AE594" i="86"/>
  <c r="AD594" i="86"/>
  <c r="AC594" i="86"/>
  <c r="AB594" i="86"/>
  <c r="AA594" i="86"/>
  <c r="Z594" i="86"/>
  <c r="Y594" i="86"/>
  <c r="W594" i="86"/>
  <c r="V594" i="86"/>
  <c r="U594" i="86"/>
  <c r="T594" i="86"/>
  <c r="S594" i="86"/>
  <c r="R594" i="86"/>
  <c r="Q594" i="86"/>
  <c r="P594" i="86"/>
  <c r="O594" i="86"/>
  <c r="AG593" i="86"/>
  <c r="AF593" i="86"/>
  <c r="AE593" i="86"/>
  <c r="AD593" i="86"/>
  <c r="AC593" i="86"/>
  <c r="AB593" i="86"/>
  <c r="AA593" i="86"/>
  <c r="Z593" i="86"/>
  <c r="Y593" i="86"/>
  <c r="X593" i="86"/>
  <c r="W593" i="86"/>
  <c r="V593" i="86"/>
  <c r="U593" i="86"/>
  <c r="T593" i="86"/>
  <c r="S593" i="86"/>
  <c r="R593" i="86"/>
  <c r="Q593" i="86"/>
  <c r="P593" i="86"/>
  <c r="O593" i="86"/>
  <c r="N593" i="86"/>
  <c r="AG592" i="86"/>
  <c r="AF592" i="86"/>
  <c r="AE592" i="86"/>
  <c r="AD592" i="86"/>
  <c r="AC592" i="86"/>
  <c r="AB592" i="86"/>
  <c r="AA592" i="86"/>
  <c r="Z592" i="86"/>
  <c r="Y592" i="86"/>
  <c r="X592" i="86"/>
  <c r="W592" i="86"/>
  <c r="V592" i="86"/>
  <c r="U592" i="86"/>
  <c r="T592" i="86"/>
  <c r="S592" i="86"/>
  <c r="R592" i="86"/>
  <c r="Q592" i="86"/>
  <c r="P592" i="86"/>
  <c r="O592" i="86"/>
  <c r="N592" i="86"/>
  <c r="AG591" i="86"/>
  <c r="AF591" i="86"/>
  <c r="AE591" i="86"/>
  <c r="AD591" i="86"/>
  <c r="AC591" i="86"/>
  <c r="AB591" i="86"/>
  <c r="AA591" i="86"/>
  <c r="Z591" i="86"/>
  <c r="Y591" i="86"/>
  <c r="W591" i="86"/>
  <c r="V591" i="86"/>
  <c r="U591" i="86"/>
  <c r="T591" i="86"/>
  <c r="S591" i="86"/>
  <c r="R591" i="86"/>
  <c r="Q591" i="86"/>
  <c r="P591" i="86"/>
  <c r="O591" i="86"/>
  <c r="AG570" i="86"/>
  <c r="AF570" i="86"/>
  <c r="AE570" i="86"/>
  <c r="AD570" i="86"/>
  <c r="W570" i="86"/>
  <c r="V570" i="86"/>
  <c r="U570" i="86"/>
  <c r="T570" i="86"/>
  <c r="S570" i="86"/>
  <c r="R570" i="86"/>
  <c r="Q570" i="86"/>
  <c r="P570" i="86"/>
  <c r="O570" i="86"/>
  <c r="N570" i="86"/>
  <c r="M570" i="86"/>
  <c r="L570" i="86"/>
  <c r="K570" i="86"/>
  <c r="J570" i="86"/>
  <c r="I570" i="86"/>
  <c r="AG569" i="86"/>
  <c r="AF569" i="86"/>
  <c r="AE569" i="86"/>
  <c r="AD569" i="86"/>
  <c r="W569" i="86"/>
  <c r="V569" i="86"/>
  <c r="U569" i="86"/>
  <c r="T569" i="86"/>
  <c r="S569" i="86"/>
  <c r="R569" i="86"/>
  <c r="Q569" i="86"/>
  <c r="P569" i="86"/>
  <c r="O569" i="86"/>
  <c r="N569" i="86"/>
  <c r="M569" i="86"/>
  <c r="L569" i="86"/>
  <c r="K569" i="86"/>
  <c r="J569" i="86"/>
  <c r="I569" i="86"/>
  <c r="AG568" i="86"/>
  <c r="AF568" i="86"/>
  <c r="AE568" i="86"/>
  <c r="AD568" i="86"/>
  <c r="AB568" i="86"/>
  <c r="AA568" i="86"/>
  <c r="Z568" i="86"/>
  <c r="Y568" i="86"/>
  <c r="X568" i="86"/>
  <c r="W568" i="86"/>
  <c r="V568" i="86"/>
  <c r="U568" i="86"/>
  <c r="T568" i="86"/>
  <c r="S568" i="86"/>
  <c r="R568" i="86"/>
  <c r="Q568" i="86"/>
  <c r="P568" i="86"/>
  <c r="O568" i="86"/>
  <c r="N568" i="86"/>
  <c r="M568" i="86"/>
  <c r="L568" i="86"/>
  <c r="K568" i="86"/>
  <c r="J568" i="86"/>
  <c r="I568" i="86"/>
  <c r="AG566" i="86"/>
  <c r="AF566" i="86"/>
  <c r="AE566" i="86"/>
  <c r="AD566" i="86"/>
  <c r="AB566" i="86"/>
  <c r="AA566" i="86"/>
  <c r="Z566" i="86"/>
  <c r="Y566" i="86"/>
  <c r="X566" i="86"/>
  <c r="W566" i="86"/>
  <c r="V566" i="86"/>
  <c r="U566" i="86"/>
  <c r="T566" i="86"/>
  <c r="S566" i="86"/>
  <c r="R566" i="86"/>
  <c r="Q566" i="86"/>
  <c r="P566" i="86"/>
  <c r="O566" i="86"/>
  <c r="N566" i="86"/>
  <c r="M566" i="86"/>
  <c r="L566" i="86"/>
  <c r="K566" i="86"/>
  <c r="J566" i="86"/>
  <c r="I566" i="86"/>
  <c r="H560" i="86"/>
  <c r="G560" i="86"/>
  <c r="F560" i="86"/>
  <c r="E560" i="86"/>
  <c r="H559" i="86"/>
  <c r="G559" i="86"/>
  <c r="F559" i="86"/>
  <c r="E559" i="86"/>
  <c r="H558" i="86"/>
  <c r="G558" i="86"/>
  <c r="F558" i="86"/>
  <c r="E558" i="86"/>
  <c r="AG559" i="86"/>
  <c r="AF559" i="86"/>
  <c r="AE559" i="86"/>
  <c r="AD559" i="86"/>
  <c r="W559" i="86"/>
  <c r="V559" i="86"/>
  <c r="U559" i="86"/>
  <c r="T559" i="86"/>
  <c r="S559" i="86"/>
  <c r="R559" i="86"/>
  <c r="Q559" i="86"/>
  <c r="P559" i="86"/>
  <c r="O559" i="86"/>
  <c r="N559" i="86"/>
  <c r="M559" i="86"/>
  <c r="L559" i="86"/>
  <c r="K559" i="86"/>
  <c r="J559" i="86"/>
  <c r="I559" i="86"/>
  <c r="AG558" i="86"/>
  <c r="AF558" i="86"/>
  <c r="AE558" i="86"/>
  <c r="AD558" i="86"/>
  <c r="W558" i="86"/>
  <c r="V558" i="86"/>
  <c r="U558" i="86"/>
  <c r="T558" i="86"/>
  <c r="S558" i="86"/>
  <c r="R558" i="86"/>
  <c r="Q558" i="86"/>
  <c r="P558" i="86"/>
  <c r="O558" i="86"/>
  <c r="N558" i="86"/>
  <c r="M558" i="86"/>
  <c r="L558" i="86"/>
  <c r="K558" i="86"/>
  <c r="J558" i="86"/>
  <c r="I558" i="86"/>
  <c r="AG557" i="86"/>
  <c r="AF557" i="86"/>
  <c r="AE557" i="86"/>
  <c r="AD557" i="86"/>
  <c r="AB557" i="86"/>
  <c r="AA557" i="86"/>
  <c r="Z557" i="86"/>
  <c r="Y557" i="86"/>
  <c r="X557" i="86"/>
  <c r="W557" i="86"/>
  <c r="V557" i="86"/>
  <c r="U557" i="86"/>
  <c r="T557" i="86"/>
  <c r="S557" i="86"/>
  <c r="R557" i="86"/>
  <c r="Q557" i="86"/>
  <c r="P557" i="86"/>
  <c r="O557" i="86"/>
  <c r="N557" i="86"/>
  <c r="M557" i="86"/>
  <c r="L557" i="86"/>
  <c r="K557" i="86"/>
  <c r="J557" i="86"/>
  <c r="I557" i="86"/>
  <c r="AG543" i="86"/>
  <c r="AF543" i="86"/>
  <c r="AE543" i="86"/>
  <c r="AD543" i="86"/>
  <c r="AC543" i="86"/>
  <c r="AB543" i="86"/>
  <c r="AA543" i="86"/>
  <c r="Z543" i="86"/>
  <c r="Y543" i="86"/>
  <c r="X543" i="86"/>
  <c r="W543" i="86"/>
  <c r="V543" i="86"/>
  <c r="U543" i="86"/>
  <c r="T543" i="86"/>
  <c r="S543" i="86"/>
  <c r="AG540" i="86"/>
  <c r="AF540" i="86"/>
  <c r="AE540" i="86"/>
  <c r="AD540" i="86"/>
  <c r="AC540" i="86"/>
  <c r="AB540" i="86"/>
  <c r="AA540" i="86"/>
  <c r="Z540" i="86"/>
  <c r="Y540" i="86"/>
  <c r="X540" i="86"/>
  <c r="W540" i="86"/>
  <c r="V540" i="86"/>
  <c r="U540" i="86"/>
  <c r="T540" i="86"/>
  <c r="S540" i="86"/>
  <c r="R540" i="86"/>
  <c r="AG533" i="86"/>
  <c r="AF533" i="86"/>
  <c r="AE533" i="86"/>
  <c r="AD533" i="86"/>
  <c r="AC533" i="86"/>
  <c r="AB533" i="86"/>
  <c r="AA533" i="86"/>
  <c r="Z533" i="86"/>
  <c r="Y533" i="86"/>
  <c r="X533" i="86"/>
  <c r="W533" i="86"/>
  <c r="V533" i="86"/>
  <c r="U533" i="86"/>
  <c r="T533" i="86"/>
  <c r="S533" i="86"/>
  <c r="R533" i="86"/>
  <c r="X518" i="86"/>
  <c r="W518" i="86"/>
  <c r="V518" i="86"/>
  <c r="U518" i="86"/>
  <c r="T518" i="86"/>
  <c r="S518" i="86"/>
  <c r="R518" i="86"/>
  <c r="Q518" i="86"/>
  <c r="P518" i="86"/>
  <c r="X517" i="86"/>
  <c r="W517" i="86"/>
  <c r="V517" i="86"/>
  <c r="U517" i="86"/>
  <c r="T517" i="86"/>
  <c r="S517" i="86"/>
  <c r="R517" i="86"/>
  <c r="Q517" i="86"/>
  <c r="P517" i="86"/>
  <c r="O517" i="86"/>
  <c r="N517" i="86"/>
  <c r="M517" i="86"/>
  <c r="L517" i="86"/>
  <c r="K517" i="86"/>
  <c r="J517" i="86"/>
  <c r="I517" i="86"/>
  <c r="H517" i="86"/>
  <c r="G517" i="86"/>
  <c r="F517" i="86"/>
  <c r="E517" i="86"/>
  <c r="X501" i="86"/>
  <c r="N501" i="86"/>
  <c r="X500" i="86"/>
  <c r="N500" i="86"/>
  <c r="X492" i="86"/>
  <c r="N492" i="86"/>
  <c r="X491" i="86"/>
  <c r="N491" i="86"/>
  <c r="X490" i="86"/>
  <c r="N490" i="86"/>
  <c r="M462" i="86"/>
  <c r="M461" i="86"/>
  <c r="M457" i="86"/>
  <c r="T456" i="86"/>
  <c r="M456" i="86"/>
  <c r="AA430" i="86"/>
  <c r="V430" i="86"/>
  <c r="Q430" i="86"/>
  <c r="AA425" i="86"/>
  <c r="X425" i="86"/>
  <c r="L425" i="86"/>
  <c r="I425" i="86"/>
  <c r="T413" i="86"/>
  <c r="T412" i="86"/>
  <c r="AF394" i="86"/>
  <c r="AA394" i="86"/>
  <c r="V394" i="86"/>
  <c r="Q394" i="86"/>
  <c r="L394" i="86"/>
  <c r="AF393" i="86"/>
  <c r="AF392" i="86"/>
  <c r="AF391" i="86"/>
  <c r="AF390" i="86"/>
  <c r="AF389" i="86"/>
  <c r="AF388" i="86"/>
  <c r="AF387" i="86"/>
  <c r="V387" i="86"/>
  <c r="S387" i="86"/>
  <c r="L387" i="86"/>
  <c r="I387" i="86"/>
  <c r="AE360" i="86"/>
  <c r="AB360" i="86"/>
  <c r="Y360" i="86"/>
  <c r="V360" i="86"/>
  <c r="S360" i="86"/>
  <c r="AE359" i="86"/>
  <c r="AB359" i="86"/>
  <c r="Y359" i="86"/>
  <c r="V359" i="86"/>
  <c r="S359" i="86"/>
  <c r="AC350" i="86"/>
  <c r="Z350" i="86"/>
  <c r="W350" i="86"/>
  <c r="T350" i="86"/>
  <c r="Q350" i="86"/>
  <c r="N350" i="86"/>
  <c r="K350" i="86"/>
  <c r="H350" i="86"/>
  <c r="AC349" i="86"/>
  <c r="Z349" i="86"/>
  <c r="W349" i="86"/>
  <c r="T349" i="86"/>
  <c r="Q349" i="86"/>
  <c r="N349" i="86"/>
  <c r="K349" i="86"/>
  <c r="H349" i="86"/>
  <c r="AC348" i="86"/>
  <c r="Z348" i="86"/>
  <c r="W348" i="86"/>
  <c r="T348" i="86"/>
  <c r="Q348" i="86"/>
  <c r="N348" i="86"/>
  <c r="K348" i="86"/>
  <c r="H348" i="86"/>
  <c r="AC344" i="86"/>
  <c r="Z344" i="86"/>
  <c r="W344" i="86"/>
  <c r="T344" i="86"/>
  <c r="Q344" i="86"/>
  <c r="N344" i="86"/>
  <c r="K344" i="86"/>
  <c r="H344" i="86"/>
  <c r="AC343" i="86"/>
  <c r="Z343" i="86"/>
  <c r="W343" i="86"/>
  <c r="T343" i="86"/>
  <c r="Q343" i="86"/>
  <c r="N343" i="86"/>
  <c r="K343" i="86"/>
  <c r="H343" i="86"/>
  <c r="AC342" i="86"/>
  <c r="Z342" i="86"/>
  <c r="W342" i="86"/>
  <c r="T342" i="86"/>
  <c r="Q342" i="86"/>
  <c r="N342" i="86"/>
  <c r="K342" i="86"/>
  <c r="H342" i="86"/>
  <c r="AC339" i="86"/>
  <c r="Z339" i="86"/>
  <c r="W339" i="86"/>
  <c r="T339" i="86"/>
  <c r="Q339" i="86"/>
  <c r="N339" i="86"/>
  <c r="K339" i="86"/>
  <c r="H339" i="86"/>
  <c r="AC338" i="86"/>
  <c r="Z338" i="86"/>
  <c r="W338" i="86"/>
  <c r="T338" i="86"/>
  <c r="Q338" i="86"/>
  <c r="N338" i="86"/>
  <c r="K338" i="86"/>
  <c r="H338" i="86"/>
  <c r="AC337" i="86"/>
  <c r="Z337" i="86"/>
  <c r="W337" i="86"/>
  <c r="T337" i="86"/>
  <c r="Q337" i="86"/>
  <c r="N337" i="86"/>
  <c r="K337" i="86"/>
  <c r="H337" i="86"/>
  <c r="AC336" i="86"/>
  <c r="Z336" i="86"/>
  <c r="W336" i="86"/>
  <c r="T336" i="86"/>
  <c r="Q336" i="86"/>
  <c r="N336" i="86"/>
  <c r="K336" i="86"/>
  <c r="H336" i="86"/>
  <c r="AC325" i="86"/>
  <c r="Z325" i="86"/>
  <c r="W325" i="86"/>
  <c r="T325" i="86"/>
  <c r="Q325" i="86"/>
  <c r="N325" i="86"/>
  <c r="K325" i="86"/>
  <c r="H325" i="86"/>
  <c r="AC324" i="86"/>
  <c r="Z324" i="86"/>
  <c r="W324" i="86"/>
  <c r="T324" i="86"/>
  <c r="Q324" i="86"/>
  <c r="N324" i="86"/>
  <c r="K324" i="86"/>
  <c r="H324" i="86"/>
  <c r="AC323" i="86"/>
  <c r="Z323" i="86"/>
  <c r="W323" i="86"/>
  <c r="T323" i="86"/>
  <c r="Q323" i="86"/>
  <c r="N323" i="86"/>
  <c r="K323" i="86"/>
  <c r="H323" i="86"/>
  <c r="AC319" i="86"/>
  <c r="Z319" i="86"/>
  <c r="W319" i="86"/>
  <c r="T319" i="86"/>
  <c r="Q319" i="86"/>
  <c r="N319" i="86"/>
  <c r="K319" i="86"/>
  <c r="H319" i="86"/>
  <c r="AC318" i="86"/>
  <c r="Z318" i="86"/>
  <c r="W318" i="86"/>
  <c r="T318" i="86"/>
  <c r="Q318" i="86"/>
  <c r="N318" i="86"/>
  <c r="K318" i="86"/>
  <c r="H318" i="86"/>
  <c r="AC317" i="86"/>
  <c r="Z317" i="86"/>
  <c r="W317" i="86"/>
  <c r="T317" i="86"/>
  <c r="Q317" i="86"/>
  <c r="N317" i="86"/>
  <c r="K317" i="86"/>
  <c r="H317" i="86"/>
  <c r="AC314" i="86"/>
  <c r="Z314" i="86"/>
  <c r="W314" i="86"/>
  <c r="T314" i="86"/>
  <c r="Q314" i="86"/>
  <c r="N314" i="86"/>
  <c r="K314" i="86"/>
  <c r="H314" i="86"/>
  <c r="AC313" i="86"/>
  <c r="Z313" i="86"/>
  <c r="W313" i="86"/>
  <c r="T313" i="86"/>
  <c r="Q313" i="86"/>
  <c r="N313" i="86"/>
  <c r="K313" i="86"/>
  <c r="H313" i="86"/>
  <c r="AC312" i="86"/>
  <c r="Z312" i="86"/>
  <c r="W312" i="86"/>
  <c r="T312" i="86"/>
  <c r="Q312" i="86"/>
  <c r="N312" i="86"/>
  <c r="K312" i="86"/>
  <c r="H312" i="86"/>
  <c r="AC311" i="86"/>
  <c r="Z311" i="86"/>
  <c r="W311" i="86"/>
  <c r="T311" i="86"/>
  <c r="Q311" i="86"/>
  <c r="N311" i="86"/>
  <c r="K311" i="86"/>
  <c r="H311" i="86"/>
  <c r="AE293" i="86"/>
  <c r="AB293" i="86"/>
  <c r="Y293" i="86"/>
  <c r="V293" i="86"/>
  <c r="S293" i="86"/>
  <c r="AE292" i="86"/>
  <c r="AB292" i="86"/>
  <c r="Y292" i="86"/>
  <c r="V292" i="86"/>
  <c r="S292" i="86"/>
  <c r="AB281" i="86"/>
  <c r="Y281" i="86"/>
  <c r="V281" i="86"/>
  <c r="S281" i="86"/>
  <c r="P281" i="86"/>
  <c r="M281" i="86"/>
  <c r="J281" i="86"/>
  <c r="AB280" i="86"/>
  <c r="Y280" i="86"/>
  <c r="V280" i="86"/>
  <c r="S280" i="86"/>
  <c r="P280" i="86"/>
  <c r="M280" i="86"/>
  <c r="J280" i="86"/>
  <c r="AB279" i="86"/>
  <c r="Y279" i="86"/>
  <c r="V279" i="86"/>
  <c r="S279" i="86"/>
  <c r="P279" i="86"/>
  <c r="M279" i="86"/>
  <c r="J279" i="86"/>
  <c r="AB275" i="86"/>
  <c r="Y275" i="86"/>
  <c r="V275" i="86"/>
  <c r="S275" i="86"/>
  <c r="P275" i="86"/>
  <c r="M275" i="86"/>
  <c r="J275" i="86"/>
  <c r="AB274" i="86"/>
  <c r="Y274" i="86"/>
  <c r="V274" i="86"/>
  <c r="S274" i="86"/>
  <c r="P274" i="86"/>
  <c r="M274" i="86"/>
  <c r="J274" i="86"/>
  <c r="AB273" i="86"/>
  <c r="Y273" i="86"/>
  <c r="V273" i="86"/>
  <c r="S273" i="86"/>
  <c r="P273" i="86"/>
  <c r="M273" i="86"/>
  <c r="J273" i="86"/>
  <c r="AB270" i="86"/>
  <c r="Y270" i="86"/>
  <c r="V270" i="86"/>
  <c r="S270" i="86"/>
  <c r="P270" i="86"/>
  <c r="M270" i="86"/>
  <c r="J270" i="86"/>
  <c r="AB269" i="86"/>
  <c r="Y269" i="86"/>
  <c r="V269" i="86"/>
  <c r="S269" i="86"/>
  <c r="P269" i="86"/>
  <c r="M269" i="86"/>
  <c r="J269" i="86"/>
  <c r="AB268" i="86"/>
  <c r="Y268" i="86"/>
  <c r="V268" i="86"/>
  <c r="S268" i="86"/>
  <c r="P268" i="86"/>
  <c r="M268" i="86"/>
  <c r="J268" i="86"/>
  <c r="AB267" i="86"/>
  <c r="Y267" i="86"/>
  <c r="V267" i="86"/>
  <c r="S267" i="86"/>
  <c r="P267" i="86"/>
  <c r="M267" i="86"/>
  <c r="J267" i="86"/>
  <c r="AB256" i="86"/>
  <c r="Y256" i="86"/>
  <c r="V256" i="86"/>
  <c r="S256" i="86"/>
  <c r="P256" i="86"/>
  <c r="M256" i="86"/>
  <c r="J256" i="86"/>
  <c r="AB255" i="86"/>
  <c r="Y255" i="86"/>
  <c r="V255" i="86"/>
  <c r="S255" i="86"/>
  <c r="P255" i="86"/>
  <c r="M255" i="86"/>
  <c r="J255" i="86"/>
  <c r="AB254" i="86"/>
  <c r="Y254" i="86"/>
  <c r="V254" i="86"/>
  <c r="S254" i="86"/>
  <c r="P254" i="86"/>
  <c r="M254" i="86"/>
  <c r="J254" i="86"/>
  <c r="AB250" i="86"/>
  <c r="Y250" i="86"/>
  <c r="V250" i="86"/>
  <c r="S250" i="86"/>
  <c r="P250" i="86"/>
  <c r="M250" i="86"/>
  <c r="J250" i="86"/>
  <c r="AB249" i="86"/>
  <c r="Y249" i="86"/>
  <c r="V249" i="86"/>
  <c r="S249" i="86"/>
  <c r="P249" i="86"/>
  <c r="M249" i="86"/>
  <c r="J249" i="86"/>
  <c r="AB248" i="86"/>
  <c r="Y248" i="86"/>
  <c r="V248" i="86"/>
  <c r="S248" i="86"/>
  <c r="P248" i="86"/>
  <c r="M248" i="86"/>
  <c r="J248" i="86"/>
  <c r="AB245" i="86"/>
  <c r="Y245" i="86"/>
  <c r="V245" i="86"/>
  <c r="S245" i="86"/>
  <c r="P245" i="86"/>
  <c r="M245" i="86"/>
  <c r="J245" i="86"/>
  <c r="AB244" i="86"/>
  <c r="Y244" i="86"/>
  <c r="V244" i="86"/>
  <c r="S244" i="86"/>
  <c r="P244" i="86"/>
  <c r="M244" i="86"/>
  <c r="J244" i="86"/>
  <c r="AB243" i="86"/>
  <c r="Y243" i="86"/>
  <c r="V243" i="86"/>
  <c r="S243" i="86"/>
  <c r="P243" i="86"/>
  <c r="M243" i="86"/>
  <c r="J243" i="86"/>
  <c r="AB242" i="86"/>
  <c r="Y242" i="86"/>
  <c r="V242" i="86"/>
  <c r="S242" i="86"/>
  <c r="P242" i="86"/>
  <c r="M242" i="86"/>
  <c r="J242" i="86"/>
  <c r="Y125" i="86"/>
  <c r="T125" i="86"/>
  <c r="O125" i="86"/>
  <c r="Y124" i="86"/>
  <c r="T124" i="86"/>
  <c r="O124" i="86"/>
  <c r="Y123" i="86"/>
  <c r="T123" i="86"/>
  <c r="O123" i="86"/>
  <c r="T122" i="86"/>
  <c r="T121" i="86"/>
  <c r="AC35" i="86"/>
  <c r="X35" i="86"/>
  <c r="S35" i="86"/>
  <c r="N35" i="86"/>
  <c r="D35" i="86"/>
  <c r="Y28" i="86"/>
  <c r="P28" i="86"/>
  <c r="Y27" i="86"/>
  <c r="P27" i="86"/>
  <c r="Y26" i="86"/>
  <c r="P26" i="86"/>
  <c r="P516" i="86" l="1"/>
  <c r="AC36" i="71"/>
  <c r="AC37" i="86" s="1"/>
  <c r="X36" i="71"/>
  <c r="X37" i="86" s="1"/>
  <c r="S36" i="71"/>
  <c r="S37" i="86" s="1"/>
  <c r="N36" i="71"/>
  <c r="N37" i="86" s="1"/>
  <c r="AC38" i="85" l="1"/>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J40" i="65"/>
  <c r="I40" i="65"/>
  <c r="H40" i="65"/>
  <c r="G40" i="65"/>
  <c r="E40" i="65"/>
  <c r="D40" i="65"/>
  <c r="B40" i="65"/>
  <c r="AK37" i="65"/>
  <c r="AJ37" i="65"/>
  <c r="AI37" i="65"/>
  <c r="AH37" i="65"/>
  <c r="AG37" i="65"/>
  <c r="AF37" i="65"/>
  <c r="AE37" i="65"/>
  <c r="AD37" i="65"/>
  <c r="AC37" i="65"/>
  <c r="AB37" i="65"/>
  <c r="AA37" i="65"/>
  <c r="Z37" i="65"/>
  <c r="Y37" i="65"/>
  <c r="X37" i="65"/>
  <c r="W37" i="65"/>
  <c r="V37" i="65"/>
  <c r="U37" i="65"/>
  <c r="T37" i="65"/>
  <c r="S37" i="65"/>
  <c r="R37" i="65"/>
  <c r="Q37" i="65"/>
  <c r="P37" i="65"/>
  <c r="O37" i="65"/>
  <c r="N37" i="65"/>
  <c r="M37" i="65"/>
  <c r="L37" i="65"/>
  <c r="K37" i="65"/>
  <c r="J37" i="65"/>
  <c r="I37" i="65"/>
  <c r="H37" i="65"/>
  <c r="G37" i="65"/>
  <c r="F37" i="65"/>
  <c r="E37" i="65"/>
  <c r="D37" i="65"/>
  <c r="C37" i="65"/>
  <c r="B37" i="65"/>
  <c r="A37" i="65"/>
  <c r="AA35" i="65"/>
  <c r="Z35" i="65"/>
  <c r="Y35" i="65"/>
  <c r="X35" i="65"/>
  <c r="W35" i="65"/>
  <c r="V35" i="65"/>
  <c r="U35" i="65"/>
  <c r="T35" i="65"/>
  <c r="R35" i="65"/>
  <c r="Q35" i="65"/>
  <c r="M35" i="65"/>
  <c r="L35" i="65"/>
  <c r="K35" i="65"/>
  <c r="J35" i="65"/>
  <c r="I35" i="65"/>
  <c r="H35" i="65"/>
  <c r="G35" i="65"/>
  <c r="F35" i="65"/>
  <c r="D35" i="65"/>
  <c r="C35" i="65"/>
  <c r="B35" i="65"/>
  <c r="AK30" i="65"/>
  <c r="AJ30" i="65"/>
  <c r="AI30" i="65"/>
  <c r="AH30" i="65"/>
  <c r="AG30" i="65"/>
  <c r="AF30" i="65"/>
  <c r="AE30" i="65"/>
  <c r="AD30" i="65"/>
  <c r="AC30" i="65"/>
  <c r="AB30" i="65"/>
  <c r="AA30" i="65"/>
  <c r="Z30" i="65"/>
  <c r="Y30" i="65"/>
  <c r="X30" i="65"/>
  <c r="W30" i="65"/>
  <c r="V30" i="65"/>
  <c r="U30" i="65"/>
  <c r="T30" i="65"/>
  <c r="S30" i="65"/>
  <c r="R30" i="65"/>
  <c r="Q30" i="65"/>
  <c r="P30" i="65"/>
  <c r="O30" i="65"/>
  <c r="N30" i="65"/>
  <c r="M30" i="65"/>
  <c r="L30" i="65"/>
  <c r="K30" i="65"/>
  <c r="J30" i="65"/>
  <c r="I30" i="65"/>
  <c r="H30" i="65"/>
  <c r="E30" i="65"/>
  <c r="D30" i="65"/>
  <c r="C30" i="65"/>
  <c r="B30" i="65"/>
  <c r="A30" i="65"/>
  <c r="AK28" i="65"/>
  <c r="AJ28" i="65"/>
  <c r="AI28" i="65"/>
  <c r="AH28" i="65"/>
  <c r="AG28" i="65"/>
  <c r="AF28" i="65"/>
  <c r="AE28" i="65"/>
  <c r="AD28" i="65"/>
  <c r="AB28" i="65"/>
  <c r="AA28" i="65"/>
  <c r="Z28" i="65"/>
  <c r="Y28" i="65"/>
  <c r="X28" i="65"/>
  <c r="W28" i="65"/>
  <c r="V28" i="65"/>
  <c r="U28" i="65"/>
  <c r="T28" i="65"/>
  <c r="S28" i="65"/>
  <c r="R28" i="65"/>
  <c r="Q28" i="65"/>
  <c r="P28" i="65"/>
  <c r="O28" i="65"/>
  <c r="N28" i="65"/>
  <c r="M28" i="65"/>
  <c r="L28" i="65"/>
  <c r="K28" i="65"/>
  <c r="J28" i="65"/>
  <c r="I28" i="65"/>
  <c r="H28" i="65"/>
  <c r="G28" i="65"/>
  <c r="F28" i="65"/>
  <c r="E28" i="65"/>
  <c r="D28" i="65"/>
  <c r="C28" i="65"/>
  <c r="B28" i="65"/>
  <c r="A28" i="65"/>
  <c r="AK25" i="65"/>
  <c r="AJ25" i="65"/>
  <c r="AI25" i="65"/>
  <c r="AH25" i="65"/>
  <c r="AG25" i="65"/>
  <c r="AF25" i="65"/>
  <c r="AE25" i="65"/>
  <c r="AD25" i="65"/>
  <c r="AC25" i="65"/>
  <c r="AB25" i="65"/>
  <c r="AA25" i="65"/>
  <c r="Z25" i="65"/>
  <c r="Y25" i="65"/>
  <c r="X25" i="65"/>
  <c r="W25" i="65"/>
  <c r="V25" i="65"/>
  <c r="U25" i="65"/>
  <c r="T25" i="65"/>
  <c r="S25" i="65"/>
  <c r="R25" i="65"/>
  <c r="Q25" i="65"/>
  <c r="P25" i="65"/>
  <c r="O25" i="65"/>
  <c r="N25" i="65"/>
  <c r="M25" i="65"/>
  <c r="L25" i="65"/>
  <c r="K25" i="65"/>
  <c r="J25" i="65"/>
  <c r="I25" i="65"/>
  <c r="H25" i="65"/>
  <c r="G25" i="65"/>
  <c r="AG22" i="65"/>
  <c r="AF22" i="65"/>
  <c r="AE22" i="65"/>
  <c r="AD22" i="65"/>
  <c r="AC22" i="65"/>
  <c r="AB22" i="65"/>
  <c r="AA22" i="65"/>
  <c r="Z22" i="65"/>
  <c r="Y22" i="65"/>
  <c r="X22" i="65"/>
  <c r="W22" i="65"/>
  <c r="V22" i="65"/>
  <c r="U22" i="65"/>
  <c r="T22" i="65"/>
  <c r="S22" i="65"/>
  <c r="R22" i="65"/>
  <c r="Q22" i="65"/>
  <c r="P22" i="65"/>
  <c r="O22" i="65"/>
  <c r="N22" i="65"/>
  <c r="M22" i="65"/>
  <c r="L22" i="65"/>
  <c r="K22" i="65"/>
  <c r="J22" i="65"/>
  <c r="I22" i="65"/>
  <c r="H22" i="65"/>
  <c r="G22" i="65"/>
  <c r="F22" i="65"/>
  <c r="E22" i="65"/>
  <c r="D22" i="65"/>
  <c r="C22" i="65"/>
  <c r="B22" i="65"/>
  <c r="A22" i="65"/>
  <c r="G15" i="65"/>
  <c r="E15" i="65"/>
  <c r="D15" i="65"/>
  <c r="B15" i="65"/>
  <c r="A15" i="65"/>
  <c r="H13" i="65"/>
  <c r="G13" i="65"/>
  <c r="F13" i="65"/>
  <c r="E13" i="65"/>
  <c r="D13" i="65"/>
  <c r="C13" i="65"/>
  <c r="B13" i="65"/>
  <c r="A13" i="65"/>
  <c r="L12" i="65"/>
  <c r="J11" i="65"/>
  <c r="I11" i="65"/>
  <c r="H11" i="65"/>
  <c r="G11" i="65"/>
  <c r="F11" i="65"/>
  <c r="E11" i="65"/>
  <c r="D11" i="65"/>
  <c r="C11" i="65"/>
  <c r="B11" i="65"/>
  <c r="A11" i="65"/>
  <c r="B22" i="69"/>
  <c r="B21" i="69"/>
  <c r="B19" i="69"/>
  <c r="B18" i="69"/>
  <c r="B14" i="69"/>
  <c r="B13" i="69"/>
  <c r="B12" i="69"/>
  <c r="B11" i="69"/>
  <c r="B9" i="69"/>
  <c r="B8" i="69"/>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F7" i="38"/>
  <c r="L12" i="38" s="1"/>
  <c r="E7" i="38"/>
  <c r="K12" i="38" s="1"/>
  <c r="D7" i="38"/>
  <c r="J7" i="38" s="1"/>
  <c r="C7" i="38"/>
  <c r="B7" i="38"/>
  <c r="O6" i="38"/>
  <c r="N6" i="38"/>
  <c r="L6" i="38"/>
  <c r="K6" i="38"/>
  <c r="O5" i="38"/>
  <c r="N5" i="38"/>
  <c r="L5" i="38"/>
  <c r="K5" i="38"/>
  <c r="O4" i="38"/>
  <c r="N4" i="38"/>
  <c r="L4" i="38"/>
  <c r="K4" i="38"/>
  <c r="G8" i="37"/>
  <c r="F8" i="37"/>
  <c r="E8" i="37"/>
  <c r="D8" i="37"/>
  <c r="C8" i="37"/>
  <c r="B8" i="37"/>
  <c r="G7" i="36"/>
  <c r="O7" i="36" s="1"/>
  <c r="F7" i="36"/>
  <c r="N7" i="36" s="1"/>
  <c r="E7" i="36"/>
  <c r="M7" i="36" s="1"/>
  <c r="D7" i="36"/>
  <c r="L7" i="36" s="1"/>
  <c r="C7" i="36"/>
  <c r="K7" i="36" s="1"/>
  <c r="B7" i="36"/>
  <c r="J7" i="36" s="1"/>
  <c r="C8" i="35"/>
  <c r="B8" i="35"/>
  <c r="C13" i="33"/>
  <c r="F13" i="33" s="1"/>
  <c r="B13" i="33"/>
  <c r="E13" i="33" s="1"/>
  <c r="C9" i="33"/>
  <c r="I9" i="33" s="1"/>
  <c r="B9" i="33"/>
  <c r="E9" i="33" s="1"/>
  <c r="C6" i="33"/>
  <c r="B6" i="33"/>
  <c r="H6" i="33" s="1"/>
  <c r="C3" i="33"/>
  <c r="I3" i="33" s="1"/>
  <c r="B3" i="33"/>
  <c r="H3" i="33" s="1"/>
  <c r="H19" i="32"/>
  <c r="I8" i="32"/>
  <c r="H8" i="32"/>
  <c r="I4" i="32"/>
  <c r="H4" i="32"/>
  <c r="C7" i="30"/>
  <c r="C9" i="30" s="1"/>
  <c r="B7" i="30"/>
  <c r="E7" i="30" s="1"/>
  <c r="C8" i="28"/>
  <c r="B8" i="28"/>
  <c r="E8" i="28" s="1"/>
  <c r="C5" i="28"/>
  <c r="F5" i="28" s="1"/>
  <c r="B5" i="28"/>
  <c r="E5" i="28" s="1"/>
  <c r="F35" i="27"/>
  <c r="F34" i="27"/>
  <c r="L34" i="27" s="1"/>
  <c r="F33" i="27"/>
  <c r="F32" i="27"/>
  <c r="L32" i="27" s="1"/>
  <c r="F31" i="27"/>
  <c r="L31" i="27" s="1"/>
  <c r="F30" i="27"/>
  <c r="L30" i="27" s="1"/>
  <c r="E29" i="27"/>
  <c r="K29" i="27" s="1"/>
  <c r="D29" i="27"/>
  <c r="J29" i="27" s="1"/>
  <c r="C29" i="27"/>
  <c r="I29" i="27" s="1"/>
  <c r="B29" i="27"/>
  <c r="H29" i="27" s="1"/>
  <c r="F28" i="27"/>
  <c r="N10" i="27" s="1"/>
  <c r="F27" i="27"/>
  <c r="L27" i="27" s="1"/>
  <c r="F26" i="27"/>
  <c r="L26" i="27" s="1"/>
  <c r="F25" i="27"/>
  <c r="L25" i="27" s="1"/>
  <c r="F24" i="27"/>
  <c r="N6" i="27" s="1"/>
  <c r="E23" i="27"/>
  <c r="K23" i="27" s="1"/>
  <c r="D23" i="27"/>
  <c r="J23" i="27" s="1"/>
  <c r="C23" i="27"/>
  <c r="I23" i="27" s="1"/>
  <c r="B23" i="27"/>
  <c r="H23" i="27" s="1"/>
  <c r="F17" i="27"/>
  <c r="L17" i="27" s="1"/>
  <c r="F16" i="27"/>
  <c r="L16" i="27" s="1"/>
  <c r="F15" i="27"/>
  <c r="L15" i="27" s="1"/>
  <c r="F14" i="27"/>
  <c r="L14" i="27" s="1"/>
  <c r="F13" i="27"/>
  <c r="L13" i="27" s="1"/>
  <c r="F12" i="27"/>
  <c r="L12" i="27" s="1"/>
  <c r="E11" i="27"/>
  <c r="K11" i="27" s="1"/>
  <c r="D11" i="27"/>
  <c r="J11" i="27" s="1"/>
  <c r="C11" i="27"/>
  <c r="I11" i="27" s="1"/>
  <c r="B11" i="27"/>
  <c r="H11" i="27" s="1"/>
  <c r="F10" i="27"/>
  <c r="L10" i="27" s="1"/>
  <c r="F9" i="27"/>
  <c r="L9" i="27" s="1"/>
  <c r="F8" i="27"/>
  <c r="L8" i="27" s="1"/>
  <c r="F7" i="27"/>
  <c r="L7" i="27" s="1"/>
  <c r="F6" i="27"/>
  <c r="L6" i="27" s="1"/>
  <c r="E5" i="27"/>
  <c r="K5" i="27" s="1"/>
  <c r="D5" i="27"/>
  <c r="J5" i="27" s="1"/>
  <c r="C5" i="27"/>
  <c r="I5" i="27" s="1"/>
  <c r="B5" i="27"/>
  <c r="F44" i="50"/>
  <c r="I44" i="50" s="1"/>
  <c r="F43" i="50"/>
  <c r="F42" i="50"/>
  <c r="I42" i="50" s="1"/>
  <c r="F41" i="50"/>
  <c r="I41" i="50" s="1"/>
  <c r="F40" i="50"/>
  <c r="I40" i="50" s="1"/>
  <c r="F39" i="50"/>
  <c r="M39" i="50" s="1"/>
  <c r="F38" i="50"/>
  <c r="K16" i="50" s="1"/>
  <c r="F37" i="50"/>
  <c r="K15" i="50" s="1"/>
  <c r="F36" i="50"/>
  <c r="I36" i="50" s="1"/>
  <c r="F35" i="50"/>
  <c r="M35" i="50" s="1"/>
  <c r="F34" i="50"/>
  <c r="K12" i="50" s="1"/>
  <c r="F33" i="50"/>
  <c r="F32" i="50"/>
  <c r="M32" i="50" s="1"/>
  <c r="F31" i="50"/>
  <c r="F30" i="50"/>
  <c r="M30" i="50" s="1"/>
  <c r="F29" i="50"/>
  <c r="M29" i="50" s="1"/>
  <c r="F28" i="50"/>
  <c r="F27" i="50"/>
  <c r="I27" i="50" s="1"/>
  <c r="F22" i="50"/>
  <c r="I22" i="50" s="1"/>
  <c r="F21" i="50"/>
  <c r="I21" i="50" s="1"/>
  <c r="F20" i="50"/>
  <c r="I20" i="50" s="1"/>
  <c r="F19" i="50"/>
  <c r="I19" i="50" s="1"/>
  <c r="F18" i="50"/>
  <c r="F17" i="50"/>
  <c r="M17" i="50" s="1"/>
  <c r="F16" i="50"/>
  <c r="M16" i="50" s="1"/>
  <c r="F15" i="50"/>
  <c r="F14" i="50"/>
  <c r="M14" i="50" s="1"/>
  <c r="F13" i="50"/>
  <c r="M13" i="50" s="1"/>
  <c r="F12" i="50"/>
  <c r="M12" i="50" s="1"/>
  <c r="F11" i="50"/>
  <c r="F10" i="50"/>
  <c r="M10" i="50" s="1"/>
  <c r="F9" i="50"/>
  <c r="M9" i="50" s="1"/>
  <c r="F8" i="50"/>
  <c r="F7" i="50"/>
  <c r="F6" i="50"/>
  <c r="M6" i="50" s="1"/>
  <c r="F5" i="50"/>
  <c r="M5" i="50" s="1"/>
  <c r="B26" i="26"/>
  <c r="D26" i="26" s="1"/>
  <c r="B14" i="26"/>
  <c r="D14" i="26" s="1"/>
  <c r="G7" i="25"/>
  <c r="O7" i="25" s="1"/>
  <c r="F7" i="25"/>
  <c r="N7" i="25" s="1"/>
  <c r="E7" i="25"/>
  <c r="M7" i="25" s="1"/>
  <c r="D7" i="25"/>
  <c r="L7" i="25" s="1"/>
  <c r="C7" i="25"/>
  <c r="K7" i="25" s="1"/>
  <c r="B7" i="25"/>
  <c r="J7" i="25" s="1"/>
  <c r="C12" i="24"/>
  <c r="I12" i="24" s="1"/>
  <c r="B12" i="24"/>
  <c r="C9" i="24"/>
  <c r="F9" i="24" s="1"/>
  <c r="B9" i="24"/>
  <c r="C6" i="24"/>
  <c r="I6" i="24" s="1"/>
  <c r="B6" i="24"/>
  <c r="H6" i="24" s="1"/>
  <c r="C3" i="24"/>
  <c r="F3" i="24" s="1"/>
  <c r="B3" i="24"/>
  <c r="E5" i="21"/>
  <c r="L5" i="21" s="1"/>
  <c r="D5" i="21"/>
  <c r="K5" i="21" s="1"/>
  <c r="C5" i="21"/>
  <c r="J5" i="21" s="1"/>
  <c r="B5" i="21"/>
  <c r="I5" i="21" s="1"/>
  <c r="F4" i="21"/>
  <c r="M4" i="21" s="1"/>
  <c r="F3" i="21"/>
  <c r="M3" i="21" s="1"/>
  <c r="D13" i="55"/>
  <c r="I13" i="55" s="1"/>
  <c r="C13" i="55"/>
  <c r="H13" i="55" s="1"/>
  <c r="B13" i="55"/>
  <c r="G13" i="55" s="1"/>
  <c r="E12" i="55"/>
  <c r="J12" i="55" s="1"/>
  <c r="E11" i="55"/>
  <c r="J11" i="55" s="1"/>
  <c r="E10" i="55"/>
  <c r="J10" i="55" s="1"/>
  <c r="E9" i="55"/>
  <c r="J9" i="55" s="1"/>
  <c r="E8" i="55"/>
  <c r="J8" i="55" s="1"/>
  <c r="E7" i="55"/>
  <c r="J7" i="55" s="1"/>
  <c r="C8" i="20"/>
  <c r="I8" i="20" s="1"/>
  <c r="B8" i="20"/>
  <c r="H8" i="20" s="1"/>
  <c r="I6" i="20"/>
  <c r="H6" i="20"/>
  <c r="I5" i="20"/>
  <c r="H5" i="20"/>
  <c r="I4" i="20"/>
  <c r="I7" i="20" s="1"/>
  <c r="H4" i="20"/>
  <c r="H7" i="20" s="1"/>
  <c r="C10" i="54"/>
  <c r="B10" i="54"/>
  <c r="C7" i="54"/>
  <c r="F7" i="54" s="1"/>
  <c r="B7" i="54"/>
  <c r="H7" i="54" s="1"/>
  <c r="C19" i="18"/>
  <c r="G19" i="18" s="1"/>
  <c r="B19" i="18"/>
  <c r="F19" i="18" s="1"/>
  <c r="D18" i="18"/>
  <c r="D17" i="18"/>
  <c r="D16" i="18"/>
  <c r="J16" i="18" s="1"/>
  <c r="D15" i="18"/>
  <c r="J15" i="18" s="1"/>
  <c r="D14" i="18"/>
  <c r="J14" i="18" s="1"/>
  <c r="D13" i="18"/>
  <c r="D12" i="18"/>
  <c r="H12" i="18" s="1"/>
  <c r="C10" i="18"/>
  <c r="G10" i="18" s="1"/>
  <c r="B10" i="18"/>
  <c r="F10" i="18" s="1"/>
  <c r="D9" i="18"/>
  <c r="D8" i="18"/>
  <c r="D7" i="18"/>
  <c r="J7" i="18" s="1"/>
  <c r="D6" i="18"/>
  <c r="J6" i="18" s="1"/>
  <c r="D5" i="18"/>
  <c r="J5" i="18" s="1"/>
  <c r="E9" i="17"/>
  <c r="D9" i="17"/>
  <c r="C9" i="17"/>
  <c r="B9" i="17"/>
  <c r="F8" i="17"/>
  <c r="N8" i="17" s="1"/>
  <c r="F7" i="17"/>
  <c r="L7" i="17" s="1"/>
  <c r="F6" i="17"/>
  <c r="N6" i="17" s="1"/>
  <c r="F5" i="17"/>
  <c r="F4" i="17"/>
  <c r="N4" i="17" s="1"/>
  <c r="D13" i="56"/>
  <c r="J13" i="56" s="1"/>
  <c r="C13" i="56"/>
  <c r="I13" i="56" s="1"/>
  <c r="B13" i="56"/>
  <c r="H13" i="56" s="1"/>
  <c r="D6" i="56"/>
  <c r="J6" i="56" s="1"/>
  <c r="C6" i="56"/>
  <c r="I6" i="56" s="1"/>
  <c r="B6" i="56"/>
  <c r="H6" i="56" s="1"/>
  <c r="E12" i="14"/>
  <c r="K12" i="14" s="1"/>
  <c r="D12" i="14"/>
  <c r="J12" i="14" s="1"/>
  <c r="C12" i="14"/>
  <c r="I12" i="14" s="1"/>
  <c r="B12" i="14"/>
  <c r="H12" i="14" s="1"/>
  <c r="F11" i="14"/>
  <c r="N11" i="14" s="1"/>
  <c r="F10" i="14"/>
  <c r="L10" i="14" s="1"/>
  <c r="F9" i="14"/>
  <c r="N9" i="14" s="1"/>
  <c r="F8" i="14"/>
  <c r="N8" i="14" s="1"/>
  <c r="F7" i="14"/>
  <c r="F6" i="14"/>
  <c r="L6" i="14" s="1"/>
  <c r="F5" i="14"/>
  <c r="L5" i="14" s="1"/>
  <c r="E7" i="13"/>
  <c r="K7" i="13" s="1"/>
  <c r="D7" i="13"/>
  <c r="J7" i="13" s="1"/>
  <c r="C7" i="13"/>
  <c r="I7" i="13" s="1"/>
  <c r="B7" i="13"/>
  <c r="H7" i="13" s="1"/>
  <c r="F6" i="13"/>
  <c r="L6" i="13" s="1"/>
  <c r="F5" i="13"/>
  <c r="L5" i="13" s="1"/>
  <c r="F4" i="13"/>
  <c r="L4" i="13" s="1"/>
  <c r="F3" i="13"/>
  <c r="L3" i="13" s="1"/>
  <c r="F7" i="12"/>
  <c r="L7" i="12" s="1"/>
  <c r="E7" i="12"/>
  <c r="K7" i="12" s="1"/>
  <c r="D7" i="12"/>
  <c r="J7" i="12" s="1"/>
  <c r="C7" i="12"/>
  <c r="I7" i="12" s="1"/>
  <c r="G6" i="12"/>
  <c r="M6" i="12" s="1"/>
  <c r="G5" i="12"/>
  <c r="M5" i="12" s="1"/>
  <c r="G4" i="12"/>
  <c r="M4" i="12" s="1"/>
  <c r="G3" i="12"/>
  <c r="F19" i="11"/>
  <c r="I46" i="9"/>
  <c r="S46" i="9" s="1"/>
  <c r="H46" i="9"/>
  <c r="R46" i="9" s="1"/>
  <c r="G46" i="9"/>
  <c r="Q46" i="9" s="1"/>
  <c r="F46" i="9"/>
  <c r="P46" i="9" s="1"/>
  <c r="E46" i="9"/>
  <c r="O46" i="9" s="1"/>
  <c r="D46" i="9"/>
  <c r="N46" i="9" s="1"/>
  <c r="C46" i="9"/>
  <c r="M46" i="9" s="1"/>
  <c r="B46" i="9"/>
  <c r="L46" i="9" s="1"/>
  <c r="I44" i="9"/>
  <c r="S44" i="9" s="1"/>
  <c r="H44" i="9"/>
  <c r="R44" i="9" s="1"/>
  <c r="G44" i="9"/>
  <c r="F44" i="9"/>
  <c r="P44" i="9" s="1"/>
  <c r="E44" i="9"/>
  <c r="O44" i="9" s="1"/>
  <c r="D44" i="9"/>
  <c r="N44" i="9" s="1"/>
  <c r="C44" i="9"/>
  <c r="W17" i="9" s="1"/>
  <c r="B44" i="9"/>
  <c r="L44" i="9" s="1"/>
  <c r="J43" i="9"/>
  <c r="T43" i="9" s="1"/>
  <c r="J42" i="9"/>
  <c r="T42" i="9" s="1"/>
  <c r="J41" i="9"/>
  <c r="I39" i="9"/>
  <c r="S39" i="9" s="1"/>
  <c r="H39" i="9"/>
  <c r="G39" i="9"/>
  <c r="Q39" i="9" s="1"/>
  <c r="F39" i="9"/>
  <c r="P39" i="9" s="1"/>
  <c r="E39" i="9"/>
  <c r="O39" i="9" s="1"/>
  <c r="D39" i="9"/>
  <c r="C39" i="9"/>
  <c r="M39" i="9" s="1"/>
  <c r="B39" i="9"/>
  <c r="L39" i="9" s="1"/>
  <c r="J38" i="9"/>
  <c r="T38" i="9" s="1"/>
  <c r="J37" i="9"/>
  <c r="T37" i="9" s="1"/>
  <c r="J36" i="9"/>
  <c r="I34" i="9"/>
  <c r="S34" i="9" s="1"/>
  <c r="H34" i="9"/>
  <c r="G34" i="9"/>
  <c r="Q34" i="9" s="1"/>
  <c r="F34" i="9"/>
  <c r="F47" i="9" s="1"/>
  <c r="AJ47" i="9" s="1"/>
  <c r="E34" i="9"/>
  <c r="O34" i="9" s="1"/>
  <c r="D34" i="9"/>
  <c r="C34" i="9"/>
  <c r="B34" i="9"/>
  <c r="V6" i="9" s="1"/>
  <c r="J33" i="9"/>
  <c r="T33" i="9" s="1"/>
  <c r="J32" i="9"/>
  <c r="T32" i="9" s="1"/>
  <c r="J31" i="9"/>
  <c r="T31" i="9" s="1"/>
  <c r="J30" i="9"/>
  <c r="T30" i="9" s="1"/>
  <c r="I22" i="9"/>
  <c r="S22" i="9" s="1"/>
  <c r="H22" i="9"/>
  <c r="R22" i="9" s="1"/>
  <c r="G22" i="9"/>
  <c r="Q22" i="9" s="1"/>
  <c r="F22" i="9"/>
  <c r="E22" i="9"/>
  <c r="D22" i="9"/>
  <c r="N22" i="9" s="1"/>
  <c r="C22" i="9"/>
  <c r="M22" i="9" s="1"/>
  <c r="B22" i="9"/>
  <c r="I20" i="9"/>
  <c r="S20" i="9" s="1"/>
  <c r="H20" i="9"/>
  <c r="R20" i="9" s="1"/>
  <c r="G20" i="9"/>
  <c r="Q20" i="9" s="1"/>
  <c r="F20" i="9"/>
  <c r="P20" i="9" s="1"/>
  <c r="E20" i="9"/>
  <c r="O20" i="9" s="1"/>
  <c r="D20" i="9"/>
  <c r="N20" i="9" s="1"/>
  <c r="C20" i="9"/>
  <c r="B20" i="9"/>
  <c r="L20" i="9" s="1"/>
  <c r="J19" i="9"/>
  <c r="T19" i="9" s="1"/>
  <c r="J18" i="9"/>
  <c r="T18" i="9" s="1"/>
  <c r="Y17" i="9"/>
  <c r="J17" i="9"/>
  <c r="I15" i="9"/>
  <c r="H15" i="9"/>
  <c r="R15" i="9" s="1"/>
  <c r="G15" i="9"/>
  <c r="Q15" i="9" s="1"/>
  <c r="F15" i="9"/>
  <c r="E15" i="9"/>
  <c r="D15" i="9"/>
  <c r="N15" i="9" s="1"/>
  <c r="C15" i="9"/>
  <c r="M15" i="9" s="1"/>
  <c r="B15" i="9"/>
  <c r="J14" i="9"/>
  <c r="T14" i="9" s="1"/>
  <c r="J13" i="9"/>
  <c r="T13" i="9" s="1"/>
  <c r="Z12" i="9"/>
  <c r="J12" i="9"/>
  <c r="T12" i="9" s="1"/>
  <c r="I10" i="9"/>
  <c r="S10" i="9" s="1"/>
  <c r="H10" i="9"/>
  <c r="G10" i="9"/>
  <c r="Q10" i="9" s="1"/>
  <c r="F10" i="9"/>
  <c r="AJ10" i="9" s="1"/>
  <c r="E10" i="9"/>
  <c r="AI10" i="9" s="1"/>
  <c r="D10" i="9"/>
  <c r="C10" i="9"/>
  <c r="B10" i="9"/>
  <c r="AF10" i="9" s="1"/>
  <c r="J9" i="9"/>
  <c r="T9" i="9" s="1"/>
  <c r="J8" i="9"/>
  <c r="T8" i="9" s="1"/>
  <c r="J7" i="9"/>
  <c r="AC6" i="9"/>
  <c r="W6" i="9"/>
  <c r="J6" i="9"/>
  <c r="T6" i="9" s="1"/>
  <c r="I46" i="7"/>
  <c r="S46" i="7" s="1"/>
  <c r="H46" i="7"/>
  <c r="R46" i="7" s="1"/>
  <c r="G46" i="7"/>
  <c r="Q46" i="7" s="1"/>
  <c r="F46" i="7"/>
  <c r="P46" i="7" s="1"/>
  <c r="E46" i="7"/>
  <c r="O46" i="7" s="1"/>
  <c r="D46" i="7"/>
  <c r="N46" i="7" s="1"/>
  <c r="C46" i="7"/>
  <c r="M46" i="7" s="1"/>
  <c r="B46" i="7"/>
  <c r="L46" i="7" s="1"/>
  <c r="I44" i="7"/>
  <c r="AC17" i="7" s="1"/>
  <c r="H44" i="7"/>
  <c r="R44" i="7" s="1"/>
  <c r="G44" i="7"/>
  <c r="Q44" i="7" s="1"/>
  <c r="F44" i="7"/>
  <c r="Z17" i="7" s="1"/>
  <c r="E44" i="7"/>
  <c r="Y17" i="7" s="1"/>
  <c r="D44" i="7"/>
  <c r="N44" i="7" s="1"/>
  <c r="C44" i="7"/>
  <c r="B44" i="7"/>
  <c r="V17" i="7" s="1"/>
  <c r="J43" i="7"/>
  <c r="T43" i="7" s="1"/>
  <c r="J42" i="7"/>
  <c r="J41" i="7"/>
  <c r="T41" i="7" s="1"/>
  <c r="I39" i="7"/>
  <c r="S39" i="7" s="1"/>
  <c r="H39" i="7"/>
  <c r="R39" i="7" s="1"/>
  <c r="G39" i="7"/>
  <c r="F39" i="7"/>
  <c r="Z12" i="7" s="1"/>
  <c r="E39" i="7"/>
  <c r="O39" i="7" s="1"/>
  <c r="D39" i="7"/>
  <c r="N39" i="7" s="1"/>
  <c r="C39" i="7"/>
  <c r="B39" i="7"/>
  <c r="L39" i="7" s="1"/>
  <c r="J38" i="7"/>
  <c r="J37" i="7"/>
  <c r="T37" i="7" s="1"/>
  <c r="J36" i="7"/>
  <c r="T36" i="7" s="1"/>
  <c r="I34" i="7"/>
  <c r="S34" i="7" s="1"/>
  <c r="H34" i="7"/>
  <c r="R34" i="7" s="1"/>
  <c r="G34" i="7"/>
  <c r="F34" i="7"/>
  <c r="Z6" i="7" s="1"/>
  <c r="E34" i="7"/>
  <c r="O34" i="7" s="1"/>
  <c r="D34" i="7"/>
  <c r="N34" i="7" s="1"/>
  <c r="C34" i="7"/>
  <c r="B34" i="7"/>
  <c r="V6" i="7" s="1"/>
  <c r="J33" i="7"/>
  <c r="T33" i="7" s="1"/>
  <c r="J32" i="7"/>
  <c r="T32" i="7" s="1"/>
  <c r="J31" i="7"/>
  <c r="T31" i="7" s="1"/>
  <c r="J30" i="7"/>
  <c r="I22" i="7"/>
  <c r="H22" i="7"/>
  <c r="R22" i="7" s="1"/>
  <c r="G22" i="7"/>
  <c r="Q22" i="7" s="1"/>
  <c r="F22" i="7"/>
  <c r="P22" i="7" s="1"/>
  <c r="E22" i="7"/>
  <c r="D22" i="7"/>
  <c r="C22" i="7"/>
  <c r="M22" i="7" s="1"/>
  <c r="B22" i="7"/>
  <c r="L22" i="7" s="1"/>
  <c r="I20" i="7"/>
  <c r="S20" i="7" s="1"/>
  <c r="H20" i="7"/>
  <c r="R20" i="7" s="1"/>
  <c r="G20" i="7"/>
  <c r="Q20" i="7" s="1"/>
  <c r="F20" i="7"/>
  <c r="P20" i="7" s="1"/>
  <c r="E20" i="7"/>
  <c r="O20" i="7" s="1"/>
  <c r="D20" i="7"/>
  <c r="N20" i="7" s="1"/>
  <c r="C20" i="7"/>
  <c r="B20" i="7"/>
  <c r="L20" i="7" s="1"/>
  <c r="J19" i="7"/>
  <c r="T19" i="7" s="1"/>
  <c r="J18" i="7"/>
  <c r="J17" i="7"/>
  <c r="I15" i="7"/>
  <c r="H15" i="7"/>
  <c r="R15" i="7" s="1"/>
  <c r="G15" i="7"/>
  <c r="F15" i="7"/>
  <c r="E15" i="7"/>
  <c r="D15" i="7"/>
  <c r="C15" i="7"/>
  <c r="M15" i="7" s="1"/>
  <c r="B15" i="7"/>
  <c r="L15" i="7" s="1"/>
  <c r="J14" i="7"/>
  <c r="T14" i="7" s="1"/>
  <c r="J13" i="7"/>
  <c r="T13" i="7" s="1"/>
  <c r="AC12" i="7"/>
  <c r="V12" i="7"/>
  <c r="J12" i="7"/>
  <c r="T12" i="7" s="1"/>
  <c r="I10" i="7"/>
  <c r="AM10" i="7" s="1"/>
  <c r="H10" i="7"/>
  <c r="AL10" i="7" s="1"/>
  <c r="G10" i="7"/>
  <c r="F10" i="7"/>
  <c r="E10" i="7"/>
  <c r="O10" i="7" s="1"/>
  <c r="D10" i="7"/>
  <c r="N10" i="7" s="1"/>
  <c r="C10" i="7"/>
  <c r="B10" i="7"/>
  <c r="L10" i="7" s="1"/>
  <c r="J9" i="7"/>
  <c r="T9" i="7" s="1"/>
  <c r="J8" i="7"/>
  <c r="J7" i="7"/>
  <c r="T7" i="7" s="1"/>
  <c r="Y6" i="7"/>
  <c r="X6" i="7"/>
  <c r="J6" i="7"/>
  <c r="H47" i="5"/>
  <c r="Q47" i="5" s="1"/>
  <c r="G47" i="5"/>
  <c r="P47" i="5" s="1"/>
  <c r="F47" i="5"/>
  <c r="O47" i="5" s="1"/>
  <c r="E47" i="5"/>
  <c r="N47" i="5" s="1"/>
  <c r="D47" i="5"/>
  <c r="M47" i="5" s="1"/>
  <c r="C47" i="5"/>
  <c r="L47" i="5" s="1"/>
  <c r="B47" i="5"/>
  <c r="K47" i="5" s="1"/>
  <c r="H45" i="5"/>
  <c r="Q45" i="5" s="1"/>
  <c r="G45" i="5"/>
  <c r="P45" i="5" s="1"/>
  <c r="F45" i="5"/>
  <c r="O45" i="5" s="1"/>
  <c r="E45" i="5"/>
  <c r="N45" i="5" s="1"/>
  <c r="D45" i="5"/>
  <c r="V17" i="5" s="1"/>
  <c r="C45" i="5"/>
  <c r="U17" i="5" s="1"/>
  <c r="B45" i="5"/>
  <c r="K45" i="5" s="1"/>
  <c r="I44" i="5"/>
  <c r="R44" i="5" s="1"/>
  <c r="I43" i="5"/>
  <c r="R43" i="5" s="1"/>
  <c r="I42" i="5"/>
  <c r="H40" i="5"/>
  <c r="Q40" i="5" s="1"/>
  <c r="G40" i="5"/>
  <c r="P40" i="5" s="1"/>
  <c r="F40" i="5"/>
  <c r="O40" i="5" s="1"/>
  <c r="E40" i="5"/>
  <c r="D40" i="5"/>
  <c r="M40" i="5" s="1"/>
  <c r="C40" i="5"/>
  <c r="L40" i="5" s="1"/>
  <c r="B40" i="5"/>
  <c r="T12" i="5" s="1"/>
  <c r="I39" i="5"/>
  <c r="I38" i="5"/>
  <c r="R38" i="5" s="1"/>
  <c r="I37" i="5"/>
  <c r="H35" i="5"/>
  <c r="Q35" i="5" s="1"/>
  <c r="G35" i="5"/>
  <c r="Y6" i="5" s="1"/>
  <c r="F35" i="5"/>
  <c r="X6" i="5" s="1"/>
  <c r="E35" i="5"/>
  <c r="W6" i="5" s="1"/>
  <c r="D35" i="5"/>
  <c r="V6" i="5" s="1"/>
  <c r="C35" i="5"/>
  <c r="U6" i="5" s="1"/>
  <c r="B35" i="5"/>
  <c r="I34" i="5"/>
  <c r="R34" i="5" s="1"/>
  <c r="I33" i="5"/>
  <c r="R33" i="5" s="1"/>
  <c r="I32" i="5"/>
  <c r="R32" i="5" s="1"/>
  <c r="I31" i="5"/>
  <c r="R31" i="5" s="1"/>
  <c r="H22" i="5"/>
  <c r="G22" i="5"/>
  <c r="P22" i="5" s="1"/>
  <c r="F22" i="5"/>
  <c r="E22" i="5"/>
  <c r="D22" i="5"/>
  <c r="M22" i="5" s="1"/>
  <c r="C22" i="5"/>
  <c r="B22" i="5"/>
  <c r="K22" i="5" s="1"/>
  <c r="H20" i="5"/>
  <c r="Q20" i="5" s="1"/>
  <c r="G20" i="5"/>
  <c r="P20" i="5" s="1"/>
  <c r="F20" i="5"/>
  <c r="O20" i="5" s="1"/>
  <c r="E20" i="5"/>
  <c r="N20" i="5" s="1"/>
  <c r="D20" i="5"/>
  <c r="M20" i="5" s="1"/>
  <c r="C20" i="5"/>
  <c r="L20" i="5" s="1"/>
  <c r="B20" i="5"/>
  <c r="K20" i="5" s="1"/>
  <c r="I19" i="5"/>
  <c r="R19" i="5" s="1"/>
  <c r="I18" i="5"/>
  <c r="R18" i="5" s="1"/>
  <c r="I17" i="5"/>
  <c r="H15" i="5"/>
  <c r="G15" i="5"/>
  <c r="F15" i="5"/>
  <c r="O15" i="5" s="1"/>
  <c r="E15" i="5"/>
  <c r="N15" i="5" s="1"/>
  <c r="D15" i="5"/>
  <c r="AE15" i="5" s="1"/>
  <c r="C15" i="5"/>
  <c r="AD15" i="5" s="1"/>
  <c r="B15" i="5"/>
  <c r="K15" i="5" s="1"/>
  <c r="I14" i="5"/>
  <c r="R14" i="5" s="1"/>
  <c r="I13" i="5"/>
  <c r="Y12" i="5"/>
  <c r="I12" i="5"/>
  <c r="R12" i="5" s="1"/>
  <c r="H10" i="5"/>
  <c r="G10" i="5"/>
  <c r="F10" i="5"/>
  <c r="O10" i="5" s="1"/>
  <c r="E10" i="5"/>
  <c r="D10" i="5"/>
  <c r="C10" i="5"/>
  <c r="B10" i="5"/>
  <c r="K10" i="5" s="1"/>
  <c r="I9" i="5"/>
  <c r="R9" i="5" s="1"/>
  <c r="I8" i="5"/>
  <c r="R8" i="5" s="1"/>
  <c r="I7" i="5"/>
  <c r="R7" i="5" s="1"/>
  <c r="T6" i="5"/>
  <c r="I6" i="5"/>
  <c r="R6" i="5" s="1"/>
  <c r="F9" i="52"/>
  <c r="E9" i="52"/>
  <c r="D9" i="52"/>
  <c r="C9" i="52"/>
  <c r="E10" i="4"/>
  <c r="D10" i="4"/>
  <c r="C10" i="4"/>
  <c r="B10" i="4"/>
  <c r="E64" i="62"/>
  <c r="E60" i="88" s="1"/>
  <c r="E23" i="88"/>
  <c r="D9" i="88"/>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X757" i="71"/>
  <c r="AP757" i="71" s="1"/>
  <c r="N757" i="71"/>
  <c r="AO757" i="71" s="1"/>
  <c r="AD719" i="71"/>
  <c r="AD724" i="71" s="1"/>
  <c r="AD713" i="86" s="1"/>
  <c r="Z724" i="71"/>
  <c r="AL724" i="71" s="1"/>
  <c r="V719" i="71"/>
  <c r="R719" i="71"/>
  <c r="N719" i="71"/>
  <c r="AM718" i="71"/>
  <c r="AL718" i="71"/>
  <c r="AM717" i="71"/>
  <c r="AM716" i="71"/>
  <c r="AL716" i="71"/>
  <c r="V697" i="86"/>
  <c r="R697" i="86"/>
  <c r="N697" i="86"/>
  <c r="AO658" i="71"/>
  <c r="AO656" i="71"/>
  <c r="AM656" i="71"/>
  <c r="AL656" i="71"/>
  <c r="AO654" i="71"/>
  <c r="AL654" i="71"/>
  <c r="AO652" i="71"/>
  <c r="AM652" i="71"/>
  <c r="AL652" i="71"/>
  <c r="N631" i="71"/>
  <c r="AO566" i="71"/>
  <c r="AO564" i="71"/>
  <c r="AC557" i="71"/>
  <c r="AM557" i="71" s="1"/>
  <c r="AC556" i="71"/>
  <c r="AM556" i="71" s="1"/>
  <c r="AC555" i="71"/>
  <c r="AC553" i="71"/>
  <c r="AC555" i="86" s="1"/>
  <c r="AM520" i="71"/>
  <c r="AL520" i="71"/>
  <c r="AM517" i="71"/>
  <c r="AL517" i="71"/>
  <c r="AM514" i="71"/>
  <c r="AL514" i="71"/>
  <c r="AM511" i="71"/>
  <c r="AL511" i="71"/>
  <c r="N501" i="71"/>
  <c r="AO501" i="71" s="1"/>
  <c r="AA460" i="71"/>
  <c r="AA459" i="71"/>
  <c r="AO459" i="71" s="1"/>
  <c r="AA458" i="71"/>
  <c r="AA457" i="71"/>
  <c r="AA455" i="71"/>
  <c r="AO455" i="71" s="1"/>
  <c r="AA454" i="71"/>
  <c r="T452" i="71"/>
  <c r="M452" i="71"/>
  <c r="AA450" i="71"/>
  <c r="AA449" i="71"/>
  <c r="AO449" i="71" s="1"/>
  <c r="AA448" i="71"/>
  <c r="AO448" i="71" s="1"/>
  <c r="AA447" i="71"/>
  <c r="X428" i="71"/>
  <c r="S428" i="71"/>
  <c r="N428" i="71"/>
  <c r="I428" i="71"/>
  <c r="I430" i="86" s="1"/>
  <c r="AC427" i="71"/>
  <c r="AC426" i="71"/>
  <c r="AC428" i="86" s="1"/>
  <c r="AC425" i="71"/>
  <c r="AC427" i="86" s="1"/>
  <c r="AC424" i="71"/>
  <c r="AC426" i="86" s="1"/>
  <c r="AC423" i="71"/>
  <c r="X392" i="71"/>
  <c r="S392" i="71"/>
  <c r="N392" i="71"/>
  <c r="I392" i="71"/>
  <c r="AC391" i="71"/>
  <c r="AC390" i="71"/>
  <c r="AC389" i="71"/>
  <c r="AC388" i="71"/>
  <c r="AC387" i="71"/>
  <c r="AC386" i="71"/>
  <c r="AO386" i="71" s="1"/>
  <c r="AC385" i="71"/>
  <c r="T352" i="86"/>
  <c r="H352" i="86"/>
  <c r="W346" i="86"/>
  <c r="K346" i="86"/>
  <c r="AM337" i="71"/>
  <c r="Z340" i="86"/>
  <c r="W340" i="86"/>
  <c r="T340" i="86"/>
  <c r="N340" i="86"/>
  <c r="K340" i="86"/>
  <c r="H340" i="86"/>
  <c r="AF336" i="86"/>
  <c r="AC326" i="71"/>
  <c r="AC329" i="86" s="1"/>
  <c r="Z326" i="71"/>
  <c r="Z329" i="86" s="1"/>
  <c r="W326" i="71"/>
  <c r="T326" i="71"/>
  <c r="Q326" i="71"/>
  <c r="Q329" i="86" s="1"/>
  <c r="N329" i="86"/>
  <c r="K326" i="71"/>
  <c r="H326" i="71"/>
  <c r="H327" i="86"/>
  <c r="AF322" i="71"/>
  <c r="AF321" i="71"/>
  <c r="AF320" i="71"/>
  <c r="AC321" i="86"/>
  <c r="W321" i="86"/>
  <c r="Q321" i="86"/>
  <c r="N321" i="86"/>
  <c r="AF316" i="71"/>
  <c r="AF315" i="71"/>
  <c r="AU314" i="71"/>
  <c r="AF314" i="71"/>
  <c r="AM312" i="71"/>
  <c r="AC312" i="71"/>
  <c r="BJ312" i="71" s="1"/>
  <c r="Z312" i="71"/>
  <c r="BI312" i="71" s="1"/>
  <c r="W312" i="71"/>
  <c r="T312" i="71"/>
  <c r="Q312" i="71"/>
  <c r="BE312" i="71"/>
  <c r="K312" i="71"/>
  <c r="H312" i="71"/>
  <c r="AF311" i="71"/>
  <c r="AF310" i="71"/>
  <c r="AF313" i="86" s="1"/>
  <c r="AF309" i="71"/>
  <c r="S283" i="86"/>
  <c r="P283" i="86"/>
  <c r="AE279" i="86"/>
  <c r="S277" i="86"/>
  <c r="P277" i="86"/>
  <c r="M271" i="86"/>
  <c r="AR244" i="71"/>
  <c r="AE267" i="86"/>
  <c r="AB262" i="71"/>
  <c r="Y262" i="71"/>
  <c r="V262" i="71"/>
  <c r="S262" i="71"/>
  <c r="S260" i="86" s="1"/>
  <c r="P262" i="71"/>
  <c r="P260" i="86" s="1"/>
  <c r="M262" i="71"/>
  <c r="J262" i="71"/>
  <c r="AE254" i="86"/>
  <c r="AE248" i="86"/>
  <c r="AB248" i="71"/>
  <c r="Y248" i="71"/>
  <c r="V248" i="71"/>
  <c r="S248" i="71"/>
  <c r="P248" i="71"/>
  <c r="M248" i="71"/>
  <c r="BB248" i="71" s="1"/>
  <c r="J248" i="71"/>
  <c r="AE247" i="71"/>
  <c r="AE246" i="71"/>
  <c r="AE245" i="71"/>
  <c r="AE244" i="71"/>
  <c r="AE262" i="71" s="1"/>
  <c r="AK15" i="7" l="1"/>
  <c r="V12" i="9"/>
  <c r="K20" i="50"/>
  <c r="Y17" i="5"/>
  <c r="N7" i="27"/>
  <c r="N12" i="27"/>
  <c r="Y6" i="9"/>
  <c r="I6" i="50"/>
  <c r="AJ15" i="7"/>
  <c r="G47" i="7"/>
  <c r="H16" i="18"/>
  <c r="I16" i="50"/>
  <c r="L28" i="27"/>
  <c r="U12" i="5"/>
  <c r="F23" i="7"/>
  <c r="AJ23" i="7" s="1"/>
  <c r="V17" i="9"/>
  <c r="N9" i="27"/>
  <c r="AB17" i="7"/>
  <c r="Y12" i="9"/>
  <c r="N6" i="14"/>
  <c r="L24" i="27"/>
  <c r="AA6" i="9"/>
  <c r="K7" i="50"/>
  <c r="W17" i="5"/>
  <c r="AA12" i="9"/>
  <c r="AO423" i="71"/>
  <c r="AC425" i="86"/>
  <c r="AO427" i="71"/>
  <c r="AC429" i="86"/>
  <c r="AF15" i="5"/>
  <c r="Z6" i="5"/>
  <c r="G48" i="5"/>
  <c r="AH48" i="5" s="1"/>
  <c r="AB17" i="9"/>
  <c r="K10" i="50"/>
  <c r="AB6" i="7"/>
  <c r="N5" i="14"/>
  <c r="L8" i="17"/>
  <c r="E7" i="54"/>
  <c r="I10" i="50"/>
  <c r="I32" i="50"/>
  <c r="M38" i="50"/>
  <c r="J44" i="7"/>
  <c r="AD17" i="7" s="1"/>
  <c r="AC17" i="9"/>
  <c r="F8" i="20"/>
  <c r="N8" i="27"/>
  <c r="I12" i="50"/>
  <c r="G7" i="12"/>
  <c r="M7" i="12" s="1"/>
  <c r="Y12" i="7"/>
  <c r="N7" i="17"/>
  <c r="I9" i="50"/>
  <c r="M37" i="50"/>
  <c r="K5" i="50"/>
  <c r="AC6" i="7"/>
  <c r="Q15" i="7"/>
  <c r="B47" i="7"/>
  <c r="V22" i="7" s="1"/>
  <c r="AH15" i="9"/>
  <c r="H7" i="18"/>
  <c r="I14" i="50"/>
  <c r="M34" i="50"/>
  <c r="H9" i="33"/>
  <c r="AG15" i="5"/>
  <c r="J22" i="7"/>
  <c r="X12" i="7"/>
  <c r="AF15" i="7"/>
  <c r="T42" i="7"/>
  <c r="AC12" i="9"/>
  <c r="L11" i="14"/>
  <c r="I3" i="24"/>
  <c r="F12" i="24"/>
  <c r="I30" i="50"/>
  <c r="N13" i="27"/>
  <c r="F7" i="30"/>
  <c r="F3" i="33"/>
  <c r="L7" i="38"/>
  <c r="AL15" i="9"/>
  <c r="I23" i="7"/>
  <c r="AM23" i="7" s="1"/>
  <c r="P10" i="9"/>
  <c r="H13" i="33"/>
  <c r="T17" i="5"/>
  <c r="S10" i="7"/>
  <c r="AB12" i="7"/>
  <c r="X17" i="7"/>
  <c r="J46" i="7"/>
  <c r="J39" i="7"/>
  <c r="AD12" i="7" s="1"/>
  <c r="Z6" i="9"/>
  <c r="X17" i="9"/>
  <c r="K22" i="50"/>
  <c r="I13" i="33"/>
  <c r="I40" i="5"/>
  <c r="AA12" i="5" s="1"/>
  <c r="AI10" i="7"/>
  <c r="B47" i="9"/>
  <c r="L47" i="9" s="1"/>
  <c r="E6" i="24"/>
  <c r="K8" i="50"/>
  <c r="E6" i="33"/>
  <c r="V12" i="5"/>
  <c r="X17" i="5"/>
  <c r="R37" i="5"/>
  <c r="J20" i="7"/>
  <c r="T20" i="7" s="1"/>
  <c r="W12" i="9"/>
  <c r="Z17" i="9"/>
  <c r="J12" i="18"/>
  <c r="M27" i="50"/>
  <c r="I37" i="50"/>
  <c r="I7" i="38"/>
  <c r="N16" i="27"/>
  <c r="Y22" i="5"/>
  <c r="T6" i="7"/>
  <c r="R10" i="7"/>
  <c r="S44" i="7"/>
  <c r="AM10" i="9"/>
  <c r="L6" i="17"/>
  <c r="I17" i="50"/>
  <c r="I34" i="50"/>
  <c r="AC10" i="5"/>
  <c r="L45" i="5"/>
  <c r="J10" i="7"/>
  <c r="E23" i="7"/>
  <c r="AI23" i="7" s="1"/>
  <c r="L10" i="9"/>
  <c r="F7" i="13"/>
  <c r="L7" i="13" s="1"/>
  <c r="AC15" i="5"/>
  <c r="M45" i="5"/>
  <c r="T8" i="7"/>
  <c r="AH10" i="7"/>
  <c r="P15" i="7"/>
  <c r="P39" i="7"/>
  <c r="O10" i="9"/>
  <c r="I9" i="24"/>
  <c r="I38" i="50"/>
  <c r="N14" i="27"/>
  <c r="C48" i="5"/>
  <c r="AD48" i="5" s="1"/>
  <c r="D47" i="7"/>
  <c r="AH47" i="7" s="1"/>
  <c r="R39" i="5"/>
  <c r="D48" i="5"/>
  <c r="AE48" i="5" s="1"/>
  <c r="T18" i="7"/>
  <c r="L44" i="7"/>
  <c r="M3" i="12"/>
  <c r="F12" i="14"/>
  <c r="N12" i="14" s="1"/>
  <c r="L8" i="14"/>
  <c r="L4" i="17"/>
  <c r="H5" i="18"/>
  <c r="H14" i="18"/>
  <c r="I5" i="50"/>
  <c r="F9" i="33"/>
  <c r="L34" i="7"/>
  <c r="AG15" i="9"/>
  <c r="L34" i="9"/>
  <c r="E8" i="20"/>
  <c r="E3" i="33"/>
  <c r="L35" i="5"/>
  <c r="P48" i="5"/>
  <c r="T30" i="7"/>
  <c r="T38" i="7"/>
  <c r="O44" i="7"/>
  <c r="F23" i="9"/>
  <c r="AJ23" i="9" s="1"/>
  <c r="L9" i="14"/>
  <c r="H6" i="18"/>
  <c r="H15" i="18"/>
  <c r="I13" i="50"/>
  <c r="I29" i="50"/>
  <c r="Z12" i="5"/>
  <c r="AH15" i="5"/>
  <c r="M35" i="5"/>
  <c r="P34" i="9"/>
  <c r="P47" i="9"/>
  <c r="E13" i="55"/>
  <c r="J13" i="55" s="1"/>
  <c r="F6" i="24"/>
  <c r="AL719" i="71"/>
  <c r="AO454" i="71"/>
  <c r="AF312" i="71"/>
  <c r="AF318" i="71"/>
  <c r="AF321" i="86" s="1"/>
  <c r="AS724" i="71"/>
  <c r="AR724" i="71"/>
  <c r="Z713" i="86"/>
  <c r="AL554" i="71"/>
  <c r="AQ343" i="71"/>
  <c r="AE16" i="96"/>
  <c r="AD16" i="96"/>
  <c r="AD15" i="93"/>
  <c r="AE15" i="93"/>
  <c r="AG16" i="96"/>
  <c r="AI16" i="96"/>
  <c r="AJ16" i="96"/>
  <c r="AH16" i="96"/>
  <c r="AG15" i="93"/>
  <c r="AJ15" i="93"/>
  <c r="AI15" i="93"/>
  <c r="AH15" i="93"/>
  <c r="AE15" i="96"/>
  <c r="AD15" i="96"/>
  <c r="AE14" i="93"/>
  <c r="AD14" i="93"/>
  <c r="AG15" i="96"/>
  <c r="AH15" i="96"/>
  <c r="AJ15" i="96"/>
  <c r="AI15" i="96"/>
  <c r="AJ14" i="93"/>
  <c r="AI14" i="93"/>
  <c r="AH14" i="93"/>
  <c r="AG14" i="93"/>
  <c r="AH13" i="96"/>
  <c r="Z4" i="96"/>
  <c r="W4" i="96"/>
  <c r="AG13" i="96"/>
  <c r="Y4" i="96"/>
  <c r="AI13" i="96"/>
  <c r="AJ13" i="96"/>
  <c r="X4" i="96"/>
  <c r="AG12" i="93"/>
  <c r="Y4" i="93"/>
  <c r="AJ12" i="93"/>
  <c r="X4" i="93"/>
  <c r="Z4" i="93"/>
  <c r="AI12" i="93"/>
  <c r="W4" i="93"/>
  <c r="AH12" i="93"/>
  <c r="R4" i="96"/>
  <c r="Q4" i="96"/>
  <c r="R4" i="93"/>
  <c r="Q4" i="93"/>
  <c r="U4" i="96"/>
  <c r="T4" i="96"/>
  <c r="AE13" i="96"/>
  <c r="AD13" i="96"/>
  <c r="T4" i="93"/>
  <c r="U4" i="93"/>
  <c r="AE12" i="93"/>
  <c r="AD12" i="93"/>
  <c r="AH12" i="96"/>
  <c r="AG12" i="96"/>
  <c r="AJ12" i="96"/>
  <c r="AI12" i="96"/>
  <c r="AG11" i="93"/>
  <c r="AJ11" i="93"/>
  <c r="AI11" i="93"/>
  <c r="AH11" i="93"/>
  <c r="AD12" i="96"/>
  <c r="AE12" i="96"/>
  <c r="AE11" i="93"/>
  <c r="AD11" i="93"/>
  <c r="AQ349" i="71"/>
  <c r="H315" i="86"/>
  <c r="BC312" i="71"/>
  <c r="T315" i="86"/>
  <c r="BG312" i="71"/>
  <c r="X747" i="86"/>
  <c r="AJ326" i="71"/>
  <c r="K329" i="86"/>
  <c r="AN326" i="71"/>
  <c r="W329" i="86"/>
  <c r="Q315" i="86"/>
  <c r="BF312" i="71"/>
  <c r="X504" i="86"/>
  <c r="AP501" i="71"/>
  <c r="N747" i="86"/>
  <c r="BA248" i="71"/>
  <c r="AI248" i="71"/>
  <c r="K315" i="86"/>
  <c r="BD312" i="71"/>
  <c r="W315" i="86"/>
  <c r="BH312" i="71"/>
  <c r="AF323" i="86"/>
  <c r="AF324" i="71"/>
  <c r="AQ324" i="71" s="1"/>
  <c r="AI326" i="71"/>
  <c r="H329" i="86"/>
  <c r="AM326" i="71"/>
  <c r="T329" i="86"/>
  <c r="AA449" i="86"/>
  <c r="AO447" i="71"/>
  <c r="AC393" i="86"/>
  <c r="AO391" i="71"/>
  <c r="AA453" i="86"/>
  <c r="AC390" i="86"/>
  <c r="AO388" i="71"/>
  <c r="AC391" i="86"/>
  <c r="AO389" i="71"/>
  <c r="AO426" i="71"/>
  <c r="AO457" i="71"/>
  <c r="AO458" i="71"/>
  <c r="AC389" i="86"/>
  <c r="AO387" i="71"/>
  <c r="AO424" i="71"/>
  <c r="AO425" i="71"/>
  <c r="AA462" i="86"/>
  <c r="AO460" i="71"/>
  <c r="AA452" i="86"/>
  <c r="AO450" i="71"/>
  <c r="AO553" i="71"/>
  <c r="AC387" i="86"/>
  <c r="AO385" i="71"/>
  <c r="P246" i="86"/>
  <c r="BC248" i="71"/>
  <c r="S246" i="86"/>
  <c r="BD248" i="71"/>
  <c r="Y246" i="86"/>
  <c r="BF248" i="71"/>
  <c r="BG248" i="71"/>
  <c r="AO248" i="71"/>
  <c r="V246" i="86"/>
  <c r="BE248" i="71"/>
  <c r="J2" i="101"/>
  <c r="J2" i="99"/>
  <c r="E2" i="101"/>
  <c r="E2" i="99"/>
  <c r="E2" i="91"/>
  <c r="D2" i="103" s="1"/>
  <c r="E2" i="66"/>
  <c r="J2" i="66"/>
  <c r="J2" i="91"/>
  <c r="G2" i="103" s="1"/>
  <c r="AJ15" i="85"/>
  <c r="AJ15" i="87" s="1"/>
  <c r="AI15" i="85"/>
  <c r="AI15" i="87" s="1"/>
  <c r="AG15" i="85"/>
  <c r="AG15" i="87" s="1"/>
  <c r="AH15" i="85"/>
  <c r="AH15" i="87" s="1"/>
  <c r="AE15" i="85"/>
  <c r="AE15" i="87" s="1"/>
  <c r="AD15" i="85"/>
  <c r="AD15" i="87" s="1"/>
  <c r="AE14" i="85"/>
  <c r="AE14" i="87" s="1"/>
  <c r="AD14" i="85"/>
  <c r="AD14" i="87" s="1"/>
  <c r="AG14" i="65"/>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E11" i="65"/>
  <c r="D72" i="88"/>
  <c r="D90" i="88" s="1"/>
  <c r="D94" i="62"/>
  <c r="D96" i="62" s="1"/>
  <c r="D100" i="62" s="1"/>
  <c r="D106" i="62" s="1"/>
  <c r="E94" i="62"/>
  <c r="E72" i="88"/>
  <c r="E90" i="88" s="1"/>
  <c r="AE255" i="86"/>
  <c r="AM273" i="71"/>
  <c r="V271" i="86"/>
  <c r="AB277" i="86"/>
  <c r="V283" i="86"/>
  <c r="AJ287" i="71"/>
  <c r="M285" i="86"/>
  <c r="AN287" i="71"/>
  <c r="Y285" i="86"/>
  <c r="N315" i="86"/>
  <c r="N327" i="86"/>
  <c r="AQ335" i="71"/>
  <c r="AF338" i="86"/>
  <c r="AQ340" i="71"/>
  <c r="AF343" i="86"/>
  <c r="Z346" i="86"/>
  <c r="AV320" i="71"/>
  <c r="Q352" i="86"/>
  <c r="AL351" i="71"/>
  <c r="Q354" i="86"/>
  <c r="AA450" i="86"/>
  <c r="AM542" i="71"/>
  <c r="R543" i="86"/>
  <c r="AC557" i="86"/>
  <c r="N594" i="86"/>
  <c r="AP247" i="71"/>
  <c r="AE245" i="86"/>
  <c r="AM262" i="71"/>
  <c r="V260" i="86"/>
  <c r="AE275" i="86"/>
  <c r="M283" i="86"/>
  <c r="AK287" i="71"/>
  <c r="P285" i="86"/>
  <c r="AQ311" i="71"/>
  <c r="AF314" i="86"/>
  <c r="AC315" i="86"/>
  <c r="AQ315" i="71"/>
  <c r="AF318" i="86"/>
  <c r="Z321" i="86"/>
  <c r="Q327" i="86"/>
  <c r="AV308" i="71"/>
  <c r="Q340" i="86"/>
  <c r="AQ341" i="71"/>
  <c r="AF344" i="86"/>
  <c r="AV314" i="71"/>
  <c r="Q346" i="86"/>
  <c r="AM351" i="71"/>
  <c r="T354" i="86"/>
  <c r="AK428" i="71"/>
  <c r="S430" i="86"/>
  <c r="AM449" i="71"/>
  <c r="AA451" i="86"/>
  <c r="AK461" i="71"/>
  <c r="M463" i="86"/>
  <c r="N504" i="86"/>
  <c r="AC568" i="86"/>
  <c r="X594" i="86"/>
  <c r="AJ719" i="71"/>
  <c r="R708" i="86"/>
  <c r="AP244" i="71"/>
  <c r="AE242" i="86"/>
  <c r="J246" i="86"/>
  <c r="AE249" i="86"/>
  <c r="AJ262" i="71"/>
  <c r="M260" i="86"/>
  <c r="AN262" i="71"/>
  <c r="Y260" i="86"/>
  <c r="AP271" i="71"/>
  <c r="AE269" i="86"/>
  <c r="AT244" i="71"/>
  <c r="P271" i="86"/>
  <c r="AO273" i="71"/>
  <c r="AB271" i="86"/>
  <c r="J277" i="86"/>
  <c r="V277" i="86"/>
  <c r="AE280" i="86"/>
  <c r="AB283" i="86"/>
  <c r="AL287" i="71"/>
  <c r="S285" i="86"/>
  <c r="AQ308" i="71"/>
  <c r="AF311" i="86"/>
  <c r="AQ316" i="71"/>
  <c r="AF319" i="86"/>
  <c r="T327" i="86"/>
  <c r="H346" i="86"/>
  <c r="T346" i="86"/>
  <c r="AQ345" i="71"/>
  <c r="AF348" i="86"/>
  <c r="K352" i="86"/>
  <c r="W352" i="86"/>
  <c r="AJ351" i="71"/>
  <c r="K354" i="86"/>
  <c r="AN351" i="71"/>
  <c r="W354" i="86"/>
  <c r="AM386" i="71"/>
  <c r="AC388" i="86"/>
  <c r="AM390" i="71"/>
  <c r="AC392" i="86"/>
  <c r="AK392" i="71"/>
  <c r="S394" i="86"/>
  <c r="AM423" i="71"/>
  <c r="AM427" i="71"/>
  <c r="AL428" i="71"/>
  <c r="X430" i="86"/>
  <c r="AA456" i="86"/>
  <c r="AM458" i="71"/>
  <c r="AA460" i="86"/>
  <c r="AC559" i="86"/>
  <c r="AM567" i="71"/>
  <c r="AC569" i="86"/>
  <c r="N591" i="86"/>
  <c r="AK719" i="71"/>
  <c r="V708" i="86"/>
  <c r="AP246" i="71"/>
  <c r="AE244" i="86"/>
  <c r="AB246" i="86"/>
  <c r="AI273" i="71"/>
  <c r="J271" i="86"/>
  <c r="AE274" i="86"/>
  <c r="J283" i="86"/>
  <c r="AO312" i="71"/>
  <c r="Z315" i="86"/>
  <c r="K321" i="86"/>
  <c r="AQ321" i="71"/>
  <c r="AF324" i="86"/>
  <c r="Z327" i="86"/>
  <c r="N346" i="86"/>
  <c r="AQ347" i="71"/>
  <c r="AF350" i="86"/>
  <c r="AZ320" i="71"/>
  <c r="AC352" i="86"/>
  <c r="AP351" i="71"/>
  <c r="AC354" i="86"/>
  <c r="AI392" i="71"/>
  <c r="I394" i="86"/>
  <c r="AJ428" i="71"/>
  <c r="N430" i="86"/>
  <c r="AK452" i="71"/>
  <c r="M454" i="86"/>
  <c r="N633" i="71"/>
  <c r="N632" i="86"/>
  <c r="AI719" i="71"/>
  <c r="N708" i="86"/>
  <c r="AM724" i="71"/>
  <c r="AD708" i="86"/>
  <c r="AE256" i="86"/>
  <c r="AI262" i="71"/>
  <c r="J260" i="86"/>
  <c r="AP270" i="71"/>
  <c r="AE268" i="86"/>
  <c r="AW244" i="71"/>
  <c r="Y271" i="86"/>
  <c r="Y283" i="86"/>
  <c r="AO287" i="71"/>
  <c r="AB285" i="86"/>
  <c r="AQ322" i="71"/>
  <c r="AF325" i="86"/>
  <c r="AC327" i="86"/>
  <c r="AQ336" i="71"/>
  <c r="AF339" i="86"/>
  <c r="AP337" i="71"/>
  <c r="AC340" i="86"/>
  <c r="AC346" i="86"/>
  <c r="AI351" i="71"/>
  <c r="H354" i="86"/>
  <c r="AJ392" i="71"/>
  <c r="N394" i="86"/>
  <c r="AL452" i="71"/>
  <c r="T454" i="86"/>
  <c r="AA459" i="86"/>
  <c r="AC558" i="86"/>
  <c r="X633" i="71"/>
  <c r="X632" i="86"/>
  <c r="AP245" i="71"/>
  <c r="AE243" i="86"/>
  <c r="M246" i="86"/>
  <c r="AE250" i="86"/>
  <c r="AO262" i="71"/>
  <c r="AB260" i="86"/>
  <c r="AP272" i="71"/>
  <c r="AE270" i="86"/>
  <c r="AU244" i="71"/>
  <c r="S271" i="86"/>
  <c r="AE273" i="86"/>
  <c r="M277" i="86"/>
  <c r="Y277" i="86"/>
  <c r="AE281" i="86"/>
  <c r="AI287" i="71"/>
  <c r="J285" i="86"/>
  <c r="AM287" i="71"/>
  <c r="V285" i="86"/>
  <c r="AQ309" i="71"/>
  <c r="AF312" i="86"/>
  <c r="AQ314" i="71"/>
  <c r="AF317" i="86"/>
  <c r="H321" i="86"/>
  <c r="T321" i="86"/>
  <c r="K327" i="86"/>
  <c r="W327" i="86"/>
  <c r="AQ334" i="71"/>
  <c r="AF337" i="86"/>
  <c r="AQ339" i="71"/>
  <c r="AF342" i="86"/>
  <c r="AQ346" i="71"/>
  <c r="AF349" i="86"/>
  <c r="AU320" i="71"/>
  <c r="N352" i="86"/>
  <c r="AY320" i="71"/>
  <c r="Z352" i="86"/>
  <c r="AK351" i="71"/>
  <c r="N354" i="86"/>
  <c r="AO351" i="71"/>
  <c r="Z354" i="86"/>
  <c r="AL392" i="71"/>
  <c r="X394" i="86"/>
  <c r="AI428" i="71"/>
  <c r="AM455" i="71"/>
  <c r="AA457" i="86"/>
  <c r="T457" i="86" s="1"/>
  <c r="AM459" i="71"/>
  <c r="AA461" i="86"/>
  <c r="AL553" i="71"/>
  <c r="AC566" i="86"/>
  <c r="AM568" i="71"/>
  <c r="AC570" i="86"/>
  <c r="X591" i="86"/>
  <c r="Z708" i="86"/>
  <c r="AV244" i="71"/>
  <c r="AL631" i="71"/>
  <c r="AM631" i="71"/>
  <c r="AL555" i="71"/>
  <c r="BB288" i="71"/>
  <c r="AW314" i="71"/>
  <c r="H327" i="71"/>
  <c r="AK312" i="71"/>
  <c r="AS314" i="71"/>
  <c r="AZ308" i="71"/>
  <c r="Q327" i="71"/>
  <c r="AL557" i="71"/>
  <c r="AL337" i="71"/>
  <c r="AM448" i="71"/>
  <c r="AM454" i="71"/>
  <c r="V263" i="71"/>
  <c r="BE263" i="71" s="1"/>
  <c r="AN273" i="71"/>
  <c r="AM566" i="71"/>
  <c r="AY314" i="71"/>
  <c r="AL501" i="71"/>
  <c r="J263" i="71"/>
  <c r="BA263" i="71" s="1"/>
  <c r="BE352" i="71"/>
  <c r="AK337" i="71"/>
  <c r="AO326" i="71"/>
  <c r="AM387" i="71"/>
  <c r="AM565" i="71"/>
  <c r="P263" i="71"/>
  <c r="BC263" i="71" s="1"/>
  <c r="AK248" i="71"/>
  <c r="AS244" i="71"/>
  <c r="AJ273" i="71"/>
  <c r="AU308" i="71"/>
  <c r="AZ314" i="71"/>
  <c r="AC392" i="71"/>
  <c r="AO392" i="71" s="1"/>
  <c r="AM450" i="71"/>
  <c r="BI352" i="71"/>
  <c r="AO337" i="71"/>
  <c r="AY308" i="71"/>
  <c r="AM501" i="71"/>
  <c r="AL312" i="71"/>
  <c r="AP312" i="71"/>
  <c r="AT320" i="71"/>
  <c r="AW320" i="71"/>
  <c r="AM389" i="71"/>
  <c r="AM424" i="71"/>
  <c r="AL757" i="71"/>
  <c r="Y263" i="71"/>
  <c r="BF263" i="71" s="1"/>
  <c r="AM248" i="71"/>
  <c r="AM457" i="71"/>
  <c r="AM555" i="71"/>
  <c r="BF352" i="71"/>
  <c r="BJ352" i="71"/>
  <c r="AE12" i="65"/>
  <c r="AG14" i="67"/>
  <c r="G2" i="80"/>
  <c r="G2" i="78"/>
  <c r="E2" i="76"/>
  <c r="AE15" i="65"/>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J14" i="65"/>
  <c r="AH14" i="67"/>
  <c r="AE15" i="83"/>
  <c r="AD15" i="83"/>
  <c r="AE16" i="84"/>
  <c r="AD16" i="84"/>
  <c r="AD14" i="75"/>
  <c r="AE14" i="75"/>
  <c r="AD14" i="72"/>
  <c r="AE14" i="72"/>
  <c r="W4" i="65"/>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U4" i="65"/>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T327" i="71"/>
  <c r="AQ320" i="71"/>
  <c r="AQ333" i="71"/>
  <c r="AX314" i="71"/>
  <c r="AM425" i="71"/>
  <c r="K202" i="66"/>
  <c r="I19" i="32"/>
  <c r="P10" i="5"/>
  <c r="G23" i="5"/>
  <c r="AH23" i="5" s="1"/>
  <c r="AH10" i="5"/>
  <c r="K40" i="5"/>
  <c r="AA17" i="9"/>
  <c r="Q44" i="9"/>
  <c r="G47" i="9"/>
  <c r="Q47" i="9" s="1"/>
  <c r="L12" i="14"/>
  <c r="AQ310" i="71"/>
  <c r="W327" i="71"/>
  <c r="AN312" i="71"/>
  <c r="AL326" i="71"/>
  <c r="AS320" i="71"/>
  <c r="I173" i="66"/>
  <c r="I172" i="66"/>
  <c r="AE10" i="5"/>
  <c r="D23" i="5"/>
  <c r="AE23" i="5" s="1"/>
  <c r="M10" i="5"/>
  <c r="I15" i="5"/>
  <c r="R15" i="5" s="1"/>
  <c r="M44" i="7"/>
  <c r="W17" i="7"/>
  <c r="M263" i="71"/>
  <c r="BB263" i="71" s="1"/>
  <c r="AJ248" i="71"/>
  <c r="AK262" i="71"/>
  <c r="BG288" i="71"/>
  <c r="BC352" i="71"/>
  <c r="AS308" i="71"/>
  <c r="AI337" i="71"/>
  <c r="AW308" i="71"/>
  <c r="BG352" i="71"/>
  <c r="H13" i="66"/>
  <c r="E28" i="66"/>
  <c r="I124" i="66"/>
  <c r="I139" i="66"/>
  <c r="I141" i="66"/>
  <c r="E60" i="68"/>
  <c r="J12" i="43"/>
  <c r="L22" i="5"/>
  <c r="AN10" i="7"/>
  <c r="T10" i="7"/>
  <c r="M20" i="7"/>
  <c r="AG15" i="7"/>
  <c r="C47" i="7"/>
  <c r="M47" i="7" s="1"/>
  <c r="M34" i="7"/>
  <c r="W6" i="7"/>
  <c r="Q47" i="7"/>
  <c r="Q34" i="7"/>
  <c r="AA6" i="7"/>
  <c r="P23" i="9"/>
  <c r="H9" i="24"/>
  <c r="E9" i="24"/>
  <c r="M28" i="50"/>
  <c r="I28" i="50"/>
  <c r="K6" i="50"/>
  <c r="AK273" i="71"/>
  <c r="BC288" i="71"/>
  <c r="AT314" i="71"/>
  <c r="AM757" i="71"/>
  <c r="F8" i="68"/>
  <c r="C23" i="5"/>
  <c r="AD23" i="5" s="1"/>
  <c r="L10" i="5"/>
  <c r="AD10" i="5"/>
  <c r="R13" i="5"/>
  <c r="Q15" i="5"/>
  <c r="AI15" i="5"/>
  <c r="AK47" i="7"/>
  <c r="AA22" i="7"/>
  <c r="M44" i="9"/>
  <c r="AP269" i="71"/>
  <c r="K327" i="71"/>
  <c r="AJ312" i="71"/>
  <c r="AI312" i="71"/>
  <c r="AP326" i="71"/>
  <c r="AM426" i="71"/>
  <c r="Q10" i="5"/>
  <c r="H23" i="5"/>
  <c r="AI23" i="5" s="1"/>
  <c r="AI10" i="5"/>
  <c r="X12" i="5"/>
  <c r="M15" i="5"/>
  <c r="AX244" i="71"/>
  <c r="AB263" i="71"/>
  <c r="BG263" i="71" s="1"/>
  <c r="AN248" i="71"/>
  <c r="AF326" i="71"/>
  <c r="AF329" i="86" s="1"/>
  <c r="AC327" i="71"/>
  <c r="E11" i="66"/>
  <c r="H27" i="66"/>
  <c r="I75" i="66"/>
  <c r="I87" i="66"/>
  <c r="Q22" i="5"/>
  <c r="AA17" i="7"/>
  <c r="AK15" i="9"/>
  <c r="G23" i="9"/>
  <c r="AK23" i="9" s="1"/>
  <c r="M20" i="9"/>
  <c r="E10" i="54"/>
  <c r="H10" i="54"/>
  <c r="BE288" i="71"/>
  <c r="AJ337" i="71"/>
  <c r="AT308" i="71"/>
  <c r="AN337" i="71"/>
  <c r="AX308" i="71"/>
  <c r="BH352" i="71"/>
  <c r="AM388" i="71"/>
  <c r="AC428" i="71"/>
  <c r="AC430" i="86" s="1"/>
  <c r="AA452" i="71"/>
  <c r="AO452" i="71" s="1"/>
  <c r="AM447" i="71"/>
  <c r="AM564" i="71"/>
  <c r="I45" i="5"/>
  <c r="R45" i="5" s="1"/>
  <c r="R42" i="5"/>
  <c r="N22" i="7"/>
  <c r="J18" i="18"/>
  <c r="H18" i="18"/>
  <c r="I7" i="54"/>
  <c r="F10" i="54"/>
  <c r="I10" i="54"/>
  <c r="BA288" i="71"/>
  <c r="AE260" i="86"/>
  <c r="AE248" i="71"/>
  <c r="N327" i="71"/>
  <c r="Z327" i="71"/>
  <c r="AX320" i="71"/>
  <c r="AK326" i="71"/>
  <c r="AM385" i="71"/>
  <c r="AM391" i="71"/>
  <c r="AM451" i="71"/>
  <c r="AM460" i="71"/>
  <c r="AM553" i="71"/>
  <c r="AM719" i="71"/>
  <c r="E8" i="68"/>
  <c r="W12" i="5"/>
  <c r="N40" i="5"/>
  <c r="D23" i="7"/>
  <c r="AH23" i="7" s="1"/>
  <c r="AH15" i="7"/>
  <c r="H23" i="7"/>
  <c r="AL15" i="7"/>
  <c r="N15" i="7"/>
  <c r="F47" i="7"/>
  <c r="AI15" i="9"/>
  <c r="O15" i="9"/>
  <c r="AM15" i="9"/>
  <c r="S15" i="9"/>
  <c r="E12" i="24"/>
  <c r="H12" i="24"/>
  <c r="I15" i="50"/>
  <c r="M15" i="50"/>
  <c r="I31" i="50"/>
  <c r="M31" i="50"/>
  <c r="K9" i="50"/>
  <c r="F11" i="27"/>
  <c r="I9" i="30"/>
  <c r="F9" i="30"/>
  <c r="AL248" i="71"/>
  <c r="AL262" i="71"/>
  <c r="S263" i="71"/>
  <c r="BD263" i="71" s="1"/>
  <c r="AL273" i="71"/>
  <c r="BD288" i="71"/>
  <c r="E34" i="68"/>
  <c r="E10" i="39"/>
  <c r="Z17" i="5"/>
  <c r="P35" i="5"/>
  <c r="H48" i="5"/>
  <c r="AI48" i="5" s="1"/>
  <c r="AF10" i="7"/>
  <c r="AJ10" i="7"/>
  <c r="P10" i="7"/>
  <c r="AI15" i="7"/>
  <c r="O15" i="7"/>
  <c r="AM15" i="7"/>
  <c r="S15" i="7"/>
  <c r="T17" i="7"/>
  <c r="O22" i="7"/>
  <c r="S22" i="7"/>
  <c r="B23" i="7"/>
  <c r="AF23" i="7" s="1"/>
  <c r="S23" i="7"/>
  <c r="M39" i="7"/>
  <c r="W12" i="7"/>
  <c r="Q39" i="7"/>
  <c r="AA12" i="7"/>
  <c r="AH10" i="9"/>
  <c r="D23" i="9"/>
  <c r="AH23" i="9" s="1"/>
  <c r="N10" i="9"/>
  <c r="AL10" i="9"/>
  <c r="H23" i="9"/>
  <c r="AL23" i="9" s="1"/>
  <c r="R10" i="9"/>
  <c r="J20" i="9"/>
  <c r="T20" i="9" s="1"/>
  <c r="J22" i="9"/>
  <c r="T17" i="9"/>
  <c r="J39" i="9"/>
  <c r="AD12" i="9" s="1"/>
  <c r="T36" i="9"/>
  <c r="J46" i="9"/>
  <c r="T46" i="9" s="1"/>
  <c r="J8" i="18"/>
  <c r="H8" i="18"/>
  <c r="D10" i="18"/>
  <c r="L13" i="55"/>
  <c r="F5" i="21"/>
  <c r="E3" i="24"/>
  <c r="H3" i="24"/>
  <c r="I52" i="66"/>
  <c r="I50" i="66"/>
  <c r="F34" i="68"/>
  <c r="F10" i="39"/>
  <c r="F51" i="68"/>
  <c r="E63" i="68"/>
  <c r="I22" i="5"/>
  <c r="I10" i="5"/>
  <c r="B23" i="5"/>
  <c r="AC23" i="5" s="1"/>
  <c r="F23" i="5"/>
  <c r="AG23" i="5" s="1"/>
  <c r="AG10" i="5"/>
  <c r="I20" i="5"/>
  <c r="R20" i="5" s="1"/>
  <c r="R17" i="5"/>
  <c r="O22" i="5"/>
  <c r="I47" i="5"/>
  <c r="R47" i="5" s="1"/>
  <c r="T22" i="7"/>
  <c r="AG10" i="7"/>
  <c r="C23" i="7"/>
  <c r="AG23" i="7" s="1"/>
  <c r="M10" i="7"/>
  <c r="AK10" i="7"/>
  <c r="G23" i="7"/>
  <c r="AK23" i="7" s="1"/>
  <c r="Q10" i="7"/>
  <c r="T46" i="7"/>
  <c r="J34" i="7"/>
  <c r="T34" i="7" s="1"/>
  <c r="P34" i="7"/>
  <c r="P44" i="7"/>
  <c r="E23" i="9"/>
  <c r="AI23" i="9" s="1"/>
  <c r="I23" i="9"/>
  <c r="AM23" i="9" s="1"/>
  <c r="J34" i="9"/>
  <c r="T34" i="9" s="1"/>
  <c r="N34" i="9"/>
  <c r="X6" i="9"/>
  <c r="D47" i="9"/>
  <c r="N47" i="9" s="1"/>
  <c r="R34" i="9"/>
  <c r="AB6" i="9"/>
  <c r="J44" i="9"/>
  <c r="T44" i="9" s="1"/>
  <c r="T41" i="9"/>
  <c r="H47" i="9"/>
  <c r="R47" i="9" s="1"/>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E48" i="5"/>
  <c r="AF48" i="5" s="1"/>
  <c r="J15" i="7"/>
  <c r="AN15" i="7" s="1"/>
  <c r="N47" i="7"/>
  <c r="H47" i="7"/>
  <c r="AL47" i="7" s="1"/>
  <c r="J10" i="9"/>
  <c r="T7" i="9"/>
  <c r="AF15" i="9"/>
  <c r="L15" i="9"/>
  <c r="AJ15" i="9"/>
  <c r="P15" i="9"/>
  <c r="J15" i="9"/>
  <c r="AN15" i="9" s="1"/>
  <c r="O22" i="9"/>
  <c r="B23" i="9"/>
  <c r="C47" i="9"/>
  <c r="M47" i="9" s="1"/>
  <c r="N5" i="17"/>
  <c r="L5" i="17"/>
  <c r="M11" i="50"/>
  <c r="I11" i="50"/>
  <c r="M18" i="50"/>
  <c r="I18" i="50"/>
  <c r="F23" i="27"/>
  <c r="N5" i="27" s="1"/>
  <c r="I5" i="28"/>
  <c r="F8" i="28"/>
  <c r="I8" i="28"/>
  <c r="F6" i="33"/>
  <c r="I6" i="33"/>
  <c r="K35" i="5"/>
  <c r="O35" i="5"/>
  <c r="B48" i="5"/>
  <c r="AC48" i="5" s="1"/>
  <c r="F48" i="5"/>
  <c r="AG48" i="5" s="1"/>
  <c r="E47" i="7"/>
  <c r="AI47" i="7" s="1"/>
  <c r="I47" i="7"/>
  <c r="AM47" i="7" s="1"/>
  <c r="AG10" i="9"/>
  <c r="AK10" i="9"/>
  <c r="M10" i="9"/>
  <c r="V22" i="9"/>
  <c r="L22" i="9"/>
  <c r="Z22" i="9"/>
  <c r="P22" i="9"/>
  <c r="C23" i="9"/>
  <c r="AG23" i="9" s="1"/>
  <c r="M34" i="9"/>
  <c r="N39" i="9"/>
  <c r="X12" i="9"/>
  <c r="R39" i="9"/>
  <c r="AB12" i="9"/>
  <c r="N7" i="14"/>
  <c r="L7" i="14"/>
  <c r="F9" i="17"/>
  <c r="J13" i="18"/>
  <c r="H13" i="18"/>
  <c r="M7" i="50"/>
  <c r="I7" i="50"/>
  <c r="AJ11" i="67"/>
  <c r="AI11" i="65"/>
  <c r="AI11" i="67"/>
  <c r="AH11" i="65"/>
  <c r="AH11" i="67"/>
  <c r="AJ11" i="65"/>
  <c r="AJ12" i="67"/>
  <c r="U4" i="67"/>
  <c r="AI12" i="65"/>
  <c r="Y4" i="65"/>
  <c r="AI12" i="67"/>
  <c r="T4" i="67"/>
  <c r="AH12" i="65"/>
  <c r="X4" i="65"/>
  <c r="AJ12" i="65"/>
  <c r="AH12" i="67"/>
  <c r="S4" i="67"/>
  <c r="AG12" i="65"/>
  <c r="AG12" i="67"/>
  <c r="Z4" i="65"/>
  <c r="AG11" i="65"/>
  <c r="R4" i="67"/>
  <c r="E47" i="9"/>
  <c r="AI47" i="9" s="1"/>
  <c r="I47" i="9"/>
  <c r="AM47" i="9" s="1"/>
  <c r="H5" i="27"/>
  <c r="F5" i="27"/>
  <c r="B9" i="30"/>
  <c r="H9" i="30" s="1"/>
  <c r="R4" i="65"/>
  <c r="L4" i="67"/>
  <c r="Q4" i="65"/>
  <c r="AG15" i="67"/>
  <c r="AJ15" i="65"/>
  <c r="AJ15" i="67"/>
  <c r="AI15" i="65"/>
  <c r="AH15" i="65"/>
  <c r="AI15" i="67"/>
  <c r="AG15" i="65"/>
  <c r="AH15" i="67"/>
  <c r="M36" i="50"/>
  <c r="K14" i="50"/>
  <c r="I39" i="50"/>
  <c r="K17" i="50"/>
  <c r="K19" i="50"/>
  <c r="I43" i="50"/>
  <c r="K21" i="50"/>
  <c r="F29" i="27"/>
  <c r="N15" i="27"/>
  <c r="L33" i="27"/>
  <c r="H5" i="28"/>
  <c r="H8" i="28"/>
  <c r="E9" i="30"/>
  <c r="H7" i="38"/>
  <c r="K7" i="38"/>
  <c r="I35" i="50"/>
  <c r="K13" i="50"/>
  <c r="M40" i="50"/>
  <c r="K18" i="50"/>
  <c r="AE14" i="67"/>
  <c r="AD14" i="65"/>
  <c r="AD14" i="67"/>
  <c r="E2" i="68"/>
  <c r="AE14" i="65"/>
  <c r="AH14" i="65"/>
  <c r="AD15" i="65"/>
  <c r="O4" i="67"/>
  <c r="AD11" i="67"/>
  <c r="AD12" i="67"/>
  <c r="AI14" i="67"/>
  <c r="AE15" i="67"/>
  <c r="T4" i="65"/>
  <c r="AD11" i="65"/>
  <c r="AD12" i="65"/>
  <c r="AI14" i="65"/>
  <c r="P4" i="67"/>
  <c r="AA17" i="5" l="1"/>
  <c r="AF47" i="7"/>
  <c r="L47" i="7"/>
  <c r="P23" i="7"/>
  <c r="T39" i="7"/>
  <c r="Q23" i="9"/>
  <c r="X22" i="7"/>
  <c r="O23" i="7"/>
  <c r="L48" i="5"/>
  <c r="P23" i="5"/>
  <c r="U22" i="5"/>
  <c r="T44" i="7"/>
  <c r="Y22" i="9"/>
  <c r="S47" i="7"/>
  <c r="AD17" i="9"/>
  <c r="T15" i="7"/>
  <c r="R35" i="5"/>
  <c r="AF47" i="9"/>
  <c r="T39" i="9"/>
  <c r="M23" i="5"/>
  <c r="R40" i="5"/>
  <c r="N23" i="7"/>
  <c r="M23" i="7"/>
  <c r="R23" i="9"/>
  <c r="M48" i="5"/>
  <c r="V22" i="5"/>
  <c r="Q23" i="7"/>
  <c r="K23" i="5"/>
  <c r="N23" i="9"/>
  <c r="X22" i="5"/>
  <c r="Q23" i="5"/>
  <c r="S47" i="9"/>
  <c r="BH248" i="71"/>
  <c r="AE263" i="71"/>
  <c r="AA456" i="71"/>
  <c r="T461" i="71"/>
  <c r="BE327" i="71"/>
  <c r="N330" i="86"/>
  <c r="AF315" i="86"/>
  <c r="BK312" i="71"/>
  <c r="Y286" i="86"/>
  <c r="BF288" i="71"/>
  <c r="AL633" i="71"/>
  <c r="AO633" i="71"/>
  <c r="AQ318" i="71"/>
  <c r="BK318" i="71"/>
  <c r="BJ327" i="71"/>
  <c r="AC330" i="86"/>
  <c r="BH327" i="71"/>
  <c r="W330" i="86"/>
  <c r="BG327" i="71"/>
  <c r="T330" i="86"/>
  <c r="BC327" i="71"/>
  <c r="H330" i="86"/>
  <c r="BI327" i="71"/>
  <c r="Z330" i="86"/>
  <c r="K355" i="86"/>
  <c r="BD352" i="71"/>
  <c r="BD327" i="71"/>
  <c r="K330" i="86"/>
  <c r="BF327" i="71"/>
  <c r="Q330" i="86"/>
  <c r="AM633" i="71"/>
  <c r="AP633" i="71"/>
  <c r="AA454" i="86"/>
  <c r="AO428" i="71"/>
  <c r="G2" i="95"/>
  <c r="G2" i="92"/>
  <c r="D2" i="95"/>
  <c r="D2" i="92"/>
  <c r="V286" i="86"/>
  <c r="AQ337" i="71"/>
  <c r="AF340" i="86"/>
  <c r="AU326" i="71"/>
  <c r="N355" i="86"/>
  <c r="AP248" i="71"/>
  <c r="AE246" i="86"/>
  <c r="AN352" i="71"/>
  <c r="W355" i="86"/>
  <c r="M261" i="86"/>
  <c r="AQ351" i="71"/>
  <c r="AF354" i="86"/>
  <c r="AP352" i="71"/>
  <c r="AC355" i="86"/>
  <c r="AC394" i="86"/>
  <c r="AS262" i="71"/>
  <c r="M286" i="86"/>
  <c r="N634" i="86"/>
  <c r="P286" i="86"/>
  <c r="AI352" i="71"/>
  <c r="H355" i="86"/>
  <c r="AP287" i="71"/>
  <c r="AE285" i="86"/>
  <c r="AE277" i="86"/>
  <c r="S261" i="86"/>
  <c r="AF327" i="86"/>
  <c r="AB261" i="86"/>
  <c r="AB286" i="86"/>
  <c r="AF346" i="86"/>
  <c r="Y261" i="86"/>
  <c r="AF352" i="86"/>
  <c r="P261" i="86"/>
  <c r="V261" i="86"/>
  <c r="S286" i="86"/>
  <c r="AI288" i="71"/>
  <c r="J286" i="86"/>
  <c r="AE283" i="86"/>
  <c r="AM352" i="71"/>
  <c r="T355" i="86"/>
  <c r="AP273" i="71"/>
  <c r="AE271" i="86"/>
  <c r="Q355" i="86"/>
  <c r="AO352" i="71"/>
  <c r="Z355" i="86"/>
  <c r="J261" i="86"/>
  <c r="X634" i="86"/>
  <c r="BA320" i="71"/>
  <c r="AJ263" i="71"/>
  <c r="AZ326" i="71"/>
  <c r="AI327" i="71"/>
  <c r="AJ288" i="71"/>
  <c r="AI263" i="71"/>
  <c r="AM263" i="71"/>
  <c r="AL327" i="71"/>
  <c r="AK263" i="71"/>
  <c r="AL352" i="71"/>
  <c r="AM392" i="71"/>
  <c r="AV326" i="71"/>
  <c r="AM327" i="71"/>
  <c r="AY326" i="71"/>
  <c r="AJ327" i="71"/>
  <c r="BA314" i="71"/>
  <c r="AN263" i="71"/>
  <c r="AM288" i="71"/>
  <c r="AN327" i="71"/>
  <c r="AK352" i="71"/>
  <c r="L23" i="27"/>
  <c r="P23" i="27"/>
  <c r="AM452" i="71"/>
  <c r="H11" i="66"/>
  <c r="T15" i="9"/>
  <c r="R47" i="7"/>
  <c r="J19" i="18"/>
  <c r="H19" i="18"/>
  <c r="E16" i="68"/>
  <c r="AQ326" i="71"/>
  <c r="AL288" i="71"/>
  <c r="AK288" i="71"/>
  <c r="AW326" i="71"/>
  <c r="P5" i="27"/>
  <c r="L5" i="27"/>
  <c r="M23" i="9"/>
  <c r="O47" i="7"/>
  <c r="AC22" i="9"/>
  <c r="AL47" i="9"/>
  <c r="AB22" i="9"/>
  <c r="J47" i="7"/>
  <c r="AD6" i="7"/>
  <c r="T22" i="5"/>
  <c r="R22" i="5"/>
  <c r="L23" i="7"/>
  <c r="W22" i="5"/>
  <c r="P11" i="27"/>
  <c r="L11" i="27"/>
  <c r="O23" i="9"/>
  <c r="AK327" i="71"/>
  <c r="AB22" i="7"/>
  <c r="O48" i="5"/>
  <c r="AM428" i="71"/>
  <c r="Z22" i="5"/>
  <c r="AP327" i="71"/>
  <c r="AX262" i="71"/>
  <c r="L23" i="5"/>
  <c r="BK352" i="71"/>
  <c r="BA308" i="71"/>
  <c r="AV262" i="71"/>
  <c r="N48" i="5"/>
  <c r="O47" i="9"/>
  <c r="AF327" i="71"/>
  <c r="AQ312" i="71"/>
  <c r="AT262" i="71"/>
  <c r="AF23" i="9"/>
  <c r="L23" i="9"/>
  <c r="I23" i="5"/>
  <c r="AJ10" i="5"/>
  <c r="N23" i="5"/>
  <c r="AJ47" i="7"/>
  <c r="Z22" i="7"/>
  <c r="AW262" i="71"/>
  <c r="AP262" i="71"/>
  <c r="AT326" i="71"/>
  <c r="P29" i="27"/>
  <c r="L29" i="27"/>
  <c r="N11" i="27"/>
  <c r="N9" i="17"/>
  <c r="L9" i="17"/>
  <c r="AH47" i="9"/>
  <c r="X22" i="9"/>
  <c r="J47" i="9"/>
  <c r="AD22" i="9" s="1"/>
  <c r="AD6" i="9"/>
  <c r="O23" i="5"/>
  <c r="R10" i="5"/>
  <c r="J10" i="18"/>
  <c r="H10" i="18"/>
  <c r="Y22" i="7"/>
  <c r="AR262" i="71"/>
  <c r="AX326" i="71"/>
  <c r="I71" i="66"/>
  <c r="I73" i="66"/>
  <c r="P47" i="7"/>
  <c r="AG47" i="9"/>
  <c r="W22" i="9"/>
  <c r="J23" i="9"/>
  <c r="T10" i="9"/>
  <c r="AN10" i="9"/>
  <c r="I48" i="5"/>
  <c r="O5" i="21"/>
  <c r="M5" i="21"/>
  <c r="T22" i="9"/>
  <c r="AC22" i="7"/>
  <c r="Q48" i="5"/>
  <c r="S23" i="9"/>
  <c r="AL23" i="7"/>
  <c r="R23" i="7"/>
  <c r="AO327" i="71"/>
  <c r="AN288" i="71"/>
  <c r="AU262" i="71"/>
  <c r="K48" i="5"/>
  <c r="AJ352" i="71"/>
  <c r="J125" i="66"/>
  <c r="E94" i="88"/>
  <c r="D93" i="88"/>
  <c r="AO263" i="71"/>
  <c r="F16" i="68"/>
  <c r="AO288" i="71"/>
  <c r="AG47" i="7"/>
  <c r="W22" i="7"/>
  <c r="J23" i="7"/>
  <c r="AS326" i="71"/>
  <c r="AJ15" i="5"/>
  <c r="AK47" i="9"/>
  <c r="AA22" i="9"/>
  <c r="AY244" i="71"/>
  <c r="AL263" i="71"/>
  <c r="T463" i="86" l="1"/>
  <c r="AL461" i="71"/>
  <c r="AA461" i="71"/>
  <c r="AA458" i="86"/>
  <c r="AO456" i="71"/>
  <c r="AM456" i="71"/>
  <c r="BK327" i="71"/>
  <c r="AF330" i="86"/>
  <c r="AE286" i="86"/>
  <c r="BH288" i="71"/>
  <c r="AE261" i="86"/>
  <c r="BH263" i="71"/>
  <c r="BA326" i="71"/>
  <c r="AF355" i="86"/>
  <c r="AP288" i="71"/>
  <c r="AN23" i="9"/>
  <c r="T23" i="9"/>
  <c r="AJ48" i="5"/>
  <c r="R48" i="5"/>
  <c r="AQ352" i="71"/>
  <c r="AA22" i="5"/>
  <c r="AJ23" i="5"/>
  <c r="R23" i="5"/>
  <c r="AP263" i="71"/>
  <c r="E31" i="68"/>
  <c r="T47" i="7"/>
  <c r="AN47" i="7"/>
  <c r="AD22" i="7"/>
  <c r="AN23" i="7"/>
  <c r="T23" i="7"/>
  <c r="F31" i="68"/>
  <c r="J72" i="66"/>
  <c r="AN47" i="9"/>
  <c r="T47" i="9"/>
  <c r="AY262" i="71"/>
  <c r="AQ327" i="71"/>
  <c r="AO461" i="71" l="1"/>
  <c r="AM461" i="71"/>
  <c r="AA463" i="86"/>
  <c r="E52" i="68"/>
  <c r="E64" i="68"/>
  <c r="J4" i="43"/>
  <c r="F52" i="68"/>
  <c r="K4" i="43"/>
  <c r="E32" i="62"/>
  <c r="E37" i="62" s="1"/>
  <c r="F64" i="68"/>
  <c r="E28" i="88" l="1"/>
  <c r="D7" i="88"/>
  <c r="E7" i="88"/>
  <c r="G171" i="80"/>
  <c r="G171" i="78"/>
  <c r="I171" i="80"/>
  <c r="I171" i="78"/>
  <c r="F56" i="68"/>
  <c r="F66" i="68"/>
  <c r="K171" i="66"/>
  <c r="M41" i="50"/>
  <c r="E56" i="68"/>
  <c r="E66" i="68"/>
  <c r="I171" i="66"/>
  <c r="M19" i="50"/>
  <c r="E33" i="88" l="1"/>
  <c r="E41" i="62"/>
  <c r="D28" i="88"/>
  <c r="I151" i="80"/>
  <c r="I151" i="78"/>
  <c r="G151" i="80"/>
  <c r="G151" i="78"/>
  <c r="K151" i="66"/>
  <c r="I151" i="66"/>
  <c r="E37" i="88" l="1"/>
  <c r="E96" i="62"/>
  <c r="E100" i="62" s="1"/>
  <c r="D33" i="88"/>
  <c r="G150" i="80"/>
  <c r="G150" i="78"/>
  <c r="I150" i="80"/>
  <c r="I150" i="78"/>
  <c r="K150" i="66"/>
  <c r="I150" i="66"/>
  <c r="E92" i="88" l="1"/>
  <c r="E106" i="62"/>
  <c r="E96" i="88"/>
  <c r="D37" i="88"/>
  <c r="D92" i="88" l="1"/>
  <c r="D96" i="88" l="1"/>
  <c r="X791" i="71" l="1"/>
  <c r="X781" i="86" s="1"/>
  <c r="AP791" i="71" l="1"/>
  <c r="X790" i="71"/>
  <c r="AP790" i="71" l="1"/>
  <c r="X780" i="86"/>
  <c r="AM790" i="71"/>
  <c r="I239" i="101" l="1"/>
  <c r="I239" i="91"/>
  <c r="I241" i="91"/>
  <c r="I239" i="99"/>
  <c r="I241" i="99" l="1"/>
  <c r="I241" i="101"/>
  <c r="D161" i="89"/>
  <c r="AO555" i="71"/>
  <c r="J697" i="86"/>
  <c r="J696" i="86"/>
  <c r="AD696" i="86" l="1"/>
  <c r="AD697" i="86"/>
  <c r="Z707" i="71"/>
  <c r="Z697" i="86" s="1"/>
  <c r="Z696" i="86"/>
  <c r="X772" i="86" l="1"/>
  <c r="X773" i="71"/>
  <c r="X763" i="86" s="1"/>
</calcChain>
</file>

<file path=xl/comments1.xml><?xml version="1.0" encoding="utf-8"?>
<comments xmlns="http://schemas.openxmlformats.org/spreadsheetml/2006/main">
  <authors>
    <author>Author</author>
  </authors>
  <commentList>
    <comment ref="E6" authorId="0" shape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shapeId="0">
      <text>
        <r>
          <rPr>
            <sz val="8"/>
            <color indexed="81"/>
            <rFont val="Tahoma"/>
            <family val="2"/>
            <charset val="238"/>
          </rPr>
          <t xml:space="preserve">
Enter full date ONLY in this cell</t>
        </r>
      </text>
    </comment>
    <comment ref="F7" authorId="0" shapeId="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shapeId="0">
      <text>
        <r>
          <rPr>
            <b/>
            <sz val="8"/>
            <color indexed="81"/>
            <rFont val="Tahoma"/>
            <family val="2"/>
            <charset val="238"/>
          </rPr>
          <t xml:space="preserve">
Enter full date ONLY in this cell</t>
        </r>
      </text>
    </comment>
    <comment ref="E11" authorId="0" shapeId="0">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shapeId="0">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shapeId="0">
      <text>
        <r>
          <rPr>
            <b/>
            <sz val="8"/>
            <color indexed="81"/>
            <rFont val="Tahoma"/>
            <family val="2"/>
            <charset val="238"/>
          </rPr>
          <t xml:space="preserve">
Enter full date ONLY in this cell</t>
        </r>
      </text>
    </comment>
    <comment ref="B20" authorId="0" shapeId="0">
      <text>
        <r>
          <rPr>
            <b/>
            <sz val="8"/>
            <color indexed="81"/>
            <rFont val="Tahoma"/>
            <family val="2"/>
            <charset val="238"/>
          </rPr>
          <t xml:space="preserve">
Enter full date ONLY in this cell</t>
        </r>
      </text>
    </comment>
    <comment ref="F34" authorId="0" shapeId="0">
      <text>
        <r>
          <rPr>
            <b/>
            <sz val="8"/>
            <color indexed="81"/>
            <rFont val="Tahoma"/>
            <family val="2"/>
            <charset val="238"/>
          </rPr>
          <t>Author:</t>
        </r>
        <r>
          <rPr>
            <sz val="8"/>
            <color indexed="81"/>
            <rFont val="Tahoma"/>
            <family val="2"/>
            <charset val="238"/>
          </rPr>
          <t xml:space="preserve">
date on which the FS are prepared </t>
        </r>
      </text>
    </comment>
    <comment ref="F36" authorId="0" shapeId="0">
      <text>
        <r>
          <rPr>
            <b/>
            <sz val="8"/>
            <color indexed="81"/>
            <rFont val="Tahoma"/>
            <family val="2"/>
            <charset val="238"/>
          </rPr>
          <t>Author: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authors>
    <author>Author</author>
  </authors>
  <commentList>
    <comment ref="O4" authorId="0" shapeId="0">
      <text>
        <r>
          <rPr>
            <b/>
            <sz val="8"/>
            <color indexed="81"/>
            <rFont val="Tahoma"/>
            <family val="2"/>
            <charset val="238"/>
          </rPr>
          <t>Author: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authors>
    <author>Author</author>
  </authors>
  <commentList>
    <comment ref="AP716" authorId="0" shapeId="0">
      <text>
        <r>
          <rPr>
            <b/>
            <sz val="8"/>
            <color indexed="81"/>
            <rFont val="Tahoma"/>
            <family val="2"/>
            <charset val="238"/>
          </rPr>
          <t>Author:</t>
        </r>
        <r>
          <rPr>
            <sz val="8"/>
            <color indexed="81"/>
            <rFont val="Tahoma"/>
            <family val="2"/>
            <charset val="238"/>
          </rPr>
          <t xml:space="preserve">
nemusi sediet kvoli opravnej polozke; porovnava sa net value predosleho roka</t>
        </r>
      </text>
    </comment>
  </commentList>
</comments>
</file>

<file path=xl/sharedStrings.xml><?xml version="1.0" encoding="utf-8"?>
<sst xmlns="http://schemas.openxmlformats.org/spreadsheetml/2006/main" count="9194" uniqueCount="3094">
  <si>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</si>
  <si>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</si>
  <si>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</si>
  <si>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</si>
  <si>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</si>
  <si>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</si>
  <si>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</si>
  <si>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</si>
  <si>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</si>
  <si>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</si>
  <si>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</si>
  <si>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</si>
  <si>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</si>
  <si>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</si>
  <si>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</si>
  <si>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</si>
  <si>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</si>
  <si>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</si>
  <si>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</si>
  <si>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</si>
  <si>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</si>
  <si>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</si>
  <si>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</si>
  <si>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</si>
  <si>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</si>
  <si>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</si>
  <si>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</si>
  <si>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</si>
  <si>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</si>
  <si>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</si>
  <si>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</si>
  <si>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</si>
  <si>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</si>
  <si>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</si>
  <si>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</si>
  <si>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</si>
  <si>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</si>
  <si>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</si>
  <si>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</si>
  <si>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</si>
  <si>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</si>
  <si>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</si>
  <si>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</si>
  <si>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</si>
  <si>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</si>
  <si>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</si>
  <si>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</si>
  <si>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</si>
  <si>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</si>
  <si>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</si>
  <si>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</si>
  <si>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</si>
  <si>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</si>
  <si>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</si>
  <si>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</si>
  <si>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</si>
  <si>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</si>
  <si>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</si>
  <si>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</si>
  <si>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</si>
  <si>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</si>
  <si>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</si>
  <si>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</si>
  <si>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</si>
  <si>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</si>
  <si>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</si>
  <si>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</si>
  <si>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</si>
  <si>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</si>
  <si>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</si>
  <si>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</si>
  <si>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</si>
  <si>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</si>
  <si>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</si>
  <si>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</si>
  <si>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</si>
  <si>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</si>
  <si>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</si>
  <si>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</si>
  <si>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</si>
  <si>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</si>
  <si>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</si>
  <si>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</si>
  <si>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</si>
  <si>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</si>
  <si>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</si>
  <si>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</si>
  <si>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</si>
  <si>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</si>
  <si>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</si>
  <si>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</si>
  <si>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</si>
  <si>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</si>
  <si>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</si>
  <si>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</si>
  <si>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</si>
  <si>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</si>
  <si>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</si>
  <si>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</si>
  <si>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</si>
  <si>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</si>
  <si>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</si>
  <si>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</si>
  <si>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</si>
  <si>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</si>
  <si>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</si>
  <si>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</si>
  <si>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</si>
  <si>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</si>
  <si>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</si>
  <si>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</si>
  <si>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</si>
  <si>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</si>
  <si>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</si>
  <si>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</si>
  <si>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</si>
  <si>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</si>
  <si>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</si>
  <si>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</si>
  <si>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</si>
  <si>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</si>
  <si>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</si>
  <si>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</si>
  <si>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</si>
  <si>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</si>
  <si>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</si>
  <si>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</si>
  <si>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</si>
  <si>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</si>
  <si>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</si>
  <si>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</si>
  <si>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</si>
  <si>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</si>
  <si>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</si>
  <si>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</si>
  <si>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</si>
  <si>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</si>
  <si>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</si>
  <si>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</si>
  <si>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</si>
  <si>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</si>
  <si>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</si>
  <si>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</si>
  <si>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</si>
  <si>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</si>
  <si>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</si>
  <si>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</si>
  <si>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</si>
  <si>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</si>
  <si>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</si>
  <si>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</si>
  <si>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</si>
  <si>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</si>
  <si>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</si>
  <si>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</si>
  <si>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</si>
  <si>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</si>
  <si>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</si>
  <si>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</si>
  <si>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</si>
  <si>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</si>
  <si>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</si>
  <si>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</si>
  <si>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</si>
  <si>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</si>
  <si>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</si>
  <si>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</si>
  <si>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</si>
  <si>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</si>
  <si>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</si>
  <si>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</si>
  <si>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</si>
  <si>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</si>
  <si>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</si>
  <si>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</si>
  <si>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</si>
  <si>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</si>
  <si>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</si>
  <si>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</si>
  <si>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</si>
  <si>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</si>
  <si>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</si>
  <si>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</si>
  <si>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</si>
  <si>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</si>
  <si>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</si>
  <si>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</si>
  <si>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</si>
  <si>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</si>
  <si>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</si>
  <si>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</si>
  <si>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</si>
  <si>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</si>
  <si>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</si>
  <si>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</si>
  <si>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</si>
  <si>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</si>
  <si>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</si>
  <si>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</si>
  <si>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</si>
  <si>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</si>
  <si>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</si>
  <si>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</si>
  <si>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</si>
  <si>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</si>
  <si>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</si>
  <si>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</si>
  <si>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</si>
  <si>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</si>
  <si>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</si>
  <si>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</si>
  <si>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</si>
  <si>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</si>
  <si>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</si>
  <si>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</si>
  <si>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</si>
  <si>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</si>
  <si>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</si>
  <si>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</si>
  <si>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</si>
  <si>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</si>
  <si>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</si>
  <si>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</si>
  <si>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</si>
  <si>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</si>
  <si>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</si>
  <si>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</si>
  <si>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</si>
  <si>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</si>
  <si>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</si>
  <si>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</si>
  <si>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</si>
  <si>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</si>
  <si>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</si>
  <si>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</si>
  <si>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</si>
  <si>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</si>
  <si>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</si>
  <si>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</si>
  <si>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</si>
  <si>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</si>
  <si>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</si>
  <si>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</si>
  <si>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</si>
  <si>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</si>
  <si>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</si>
  <si>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</si>
  <si>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</si>
  <si>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</si>
  <si>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</si>
  <si>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</si>
  <si>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</si>
  <si>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</si>
  <si>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</si>
  <si>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</si>
  <si>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</si>
  <si>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</si>
  <si>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</si>
  <si>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</si>
  <si>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</si>
  <si>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</si>
  <si>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</si>
  <si>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</si>
  <si>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</si>
  <si>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</si>
  <si>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</si>
  <si>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</si>
  <si>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</si>
  <si>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</si>
  <si>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</si>
  <si>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</si>
  <si>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</si>
  <si>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</si>
  <si>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</si>
  <si>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</si>
  <si>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</si>
  <si>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</si>
  <si>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</si>
  <si>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</si>
  <si>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</si>
  <si>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</si>
  <si>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</si>
  <si>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</si>
  <si>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</si>
  <si>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</si>
  <si>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</si>
  <si>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</si>
  <si>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</si>
  <si>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</si>
  <si>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</si>
  <si>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</si>
  <si>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</si>
  <si>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</si>
  <si>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</si>
  <si>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</si>
  <si>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</si>
  <si>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</si>
  <si>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</si>
  <si>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</si>
  <si>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</si>
  <si>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</si>
  <si>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</si>
  <si>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</si>
  <si>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</si>
  <si>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</si>
  <si>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</si>
  <si>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</si>
  <si>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</si>
  <si>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</si>
  <si>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</si>
  <si>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</si>
  <si>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</si>
  <si>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</si>
  <si>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</si>
  <si>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</si>
  <si>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</si>
  <si>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</si>
  <si>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</si>
  <si>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</si>
  <si>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</si>
  <si>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</si>
  <si>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</si>
  <si>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</si>
  <si>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</si>
  <si>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</si>
  <si>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</si>
  <si>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</si>
  <si>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</si>
  <si>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</si>
  <si>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</si>
  <si>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</si>
  <si>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</si>
  <si>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</si>
  <si>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</si>
  <si>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</si>
  <si>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</si>
  <si>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</si>
  <si>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</si>
  <si>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</si>
  <si>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</si>
  <si>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</si>
  <si>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</si>
  <si>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</si>
  <si>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</si>
  <si>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</si>
  <si>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</si>
  <si>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</si>
  <si>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</si>
  <si>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</si>
  <si>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</si>
  <si>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</si>
  <si>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</si>
  <si>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</si>
  <si>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</si>
  <si>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</si>
  <si>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</si>
  <si>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</si>
  <si>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</si>
  <si>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</si>
  <si>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</si>
  <si>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</si>
  <si>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</si>
  <si>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</si>
  <si>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</si>
  <si>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</si>
  <si>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</si>
  <si>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</si>
  <si>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</si>
  <si>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</si>
  <si>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</si>
  <si>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</si>
  <si>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</si>
  <si>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</si>
  <si>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</si>
  <si>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</si>
  <si>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</si>
  <si>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</si>
  <si>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</si>
  <si>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</si>
  <si>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</si>
  <si>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</si>
  <si>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</si>
  <si>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</si>
  <si>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</si>
  <si>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</si>
  <si>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</si>
  <si>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</si>
  <si>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</si>
  <si>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</si>
  <si>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</si>
  <si>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</si>
  <si>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</si>
  <si>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</si>
  <si>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</si>
  <si>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</si>
  <si>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</si>
  <si>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</si>
  <si>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</si>
  <si>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</si>
  <si>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</si>
  <si>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</si>
  <si>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</si>
  <si>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</si>
  <si>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</si>
  <si>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</si>
  <si>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</si>
  <si>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</si>
  <si>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</si>
  <si>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</si>
  <si>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</si>
  <si>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</si>
  <si>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</si>
  <si>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</si>
  <si>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</si>
  <si>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</si>
  <si>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</si>
  <si>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</si>
  <si>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</si>
  <si>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</si>
  <si>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</si>
  <si>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</si>
  <si>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</si>
  <si>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</si>
  <si>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</si>
  <si>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</si>
  <si>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</si>
  <si>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</si>
  <si>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</si>
  <si>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</si>
  <si>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</si>
  <si>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</si>
  <si>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</si>
  <si>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</si>
  <si>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</si>
  <si>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</si>
  <si>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</si>
  <si>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</si>
  <si>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</si>
  <si>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</si>
  <si>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</si>
  <si>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</si>
  <si>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</si>
  <si>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</si>
  <si>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</si>
  <si>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</si>
  <si>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</si>
  <si>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</si>
  <si>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</si>
  <si>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</si>
  <si>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</si>
  <si>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</si>
  <si>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</si>
  <si>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</si>
  <si>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</si>
  <si>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</si>
  <si>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</si>
  <si>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</si>
  <si>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</si>
  <si>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</si>
  <si>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</si>
  <si>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</si>
  <si>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</si>
  <si>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</si>
  <si>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</si>
  <si>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</si>
  <si>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</si>
  <si>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</si>
  <si>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</si>
  <si>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</si>
  <si>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</si>
  <si>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</si>
  <si>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</si>
  <si>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</si>
  <si>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</si>
  <si>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</si>
  <si>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</si>
  <si>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</si>
  <si>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</si>
  <si>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</si>
  <si>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</si>
  <si>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</si>
  <si>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</si>
  <si>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</si>
  <si>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</si>
  <si>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</si>
  <si>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</si>
  <si>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</si>
  <si>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</si>
  <si>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</si>
  <si>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</si>
  <si>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</si>
  <si>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</si>
  <si>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</si>
  <si>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</si>
  <si>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</si>
  <si>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</si>
  <si>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</si>
  <si>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</si>
  <si>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</si>
  <si>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</si>
  <si>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</si>
  <si>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</si>
  <si>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</si>
  <si>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</si>
  <si>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</si>
  <si>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</si>
  <si>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</si>
  <si>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</si>
  <si>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</si>
  <si>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</si>
  <si>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</si>
  <si>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</si>
  <si>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</si>
  <si>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</si>
  <si>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</si>
  <si>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</si>
  <si>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</si>
  <si>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</si>
  <si>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</si>
  <si>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</si>
  <si>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</si>
  <si>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</si>
  <si>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</si>
  <si>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</si>
  <si>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</si>
  <si>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</si>
  <si>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</si>
  <si>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</si>
  <si>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</si>
  <si>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</si>
  <si>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</si>
  <si>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</si>
  <si>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</si>
  <si>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</si>
  <si>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</si>
  <si>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</si>
  <si>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</si>
  <si>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</si>
  <si>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</si>
  <si>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</si>
  <si>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</si>
  <si>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</si>
  <si>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</si>
  <si>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</si>
  <si>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</si>
  <si>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</si>
  <si>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</si>
  <si>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</si>
  <si>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</si>
  <si>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</si>
  <si>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</si>
  <si>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</si>
  <si>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</si>
  <si>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</si>
  <si>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</si>
  <si>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</si>
  <si>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</si>
  <si>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</si>
  <si>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</si>
  <si>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</si>
  <si>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</si>
  <si>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</si>
  <si>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</si>
  <si>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</si>
  <si>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</si>
  <si>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</si>
  <si>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</si>
  <si>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</si>
  <si>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</si>
  <si>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</si>
  <si>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</si>
  <si>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</si>
  <si>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</si>
  <si>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</si>
  <si>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</si>
  <si>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</si>
  <si>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</si>
  <si>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</si>
  <si>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</si>
  <si>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</si>
  <si>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</si>
  <si>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</si>
  <si>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</si>
  <si>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</si>
  <si>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</si>
  <si>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</si>
  <si>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</si>
  <si>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</si>
  <si>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</si>
  <si>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</si>
  <si>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</si>
  <si>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</si>
  <si>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</si>
  <si>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</si>
  <si>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</si>
  <si>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</si>
  <si>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</si>
  <si>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</si>
  <si>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</si>
  <si>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</si>
  <si>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</si>
  <si>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</si>
  <si>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</si>
  <si>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</si>
  <si>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</si>
  <si>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</si>
  <si>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</si>
  <si>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</si>
  <si>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</si>
  <si>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</si>
  <si>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</si>
  <si>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</si>
  <si>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</si>
  <si>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</si>
  <si>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</si>
  <si>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</si>
  <si>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</si>
  <si>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</si>
  <si>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</si>
  <si>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</si>
  <si>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</si>
  <si>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</si>
  <si>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</si>
  <si>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</si>
  <si>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</si>
  <si>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</si>
  <si>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</si>
  <si>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</si>
  <si>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</si>
  <si>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</si>
  <si>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</si>
  <si>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</si>
  <si>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</si>
  <si>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</si>
  <si>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</si>
  <si>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</si>
  <si>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</si>
  <si>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</si>
  <si>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</si>
  <si>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</si>
  <si>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</si>
  <si>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</si>
  <si>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</si>
  <si>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</si>
  <si>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</si>
  <si>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</si>
  <si>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</si>
  <si>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</si>
  <si>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</si>
  <si>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</si>
  <si>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</si>
  <si>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</si>
  <si>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</si>
  <si>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</si>
  <si>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</si>
  <si>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</si>
  <si>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</si>
  <si>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</si>
  <si>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</si>
  <si>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</si>
  <si>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</si>
  <si>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</si>
  <si>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</si>
  <si>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</si>
  <si>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</si>
  <si>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</si>
  <si>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</si>
  <si>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</si>
  <si>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</si>
  <si>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</si>
  <si>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</si>
  <si>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</si>
  <si>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</si>
  <si>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</si>
  <si>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</si>
  <si>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</si>
  <si>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</si>
  <si>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</si>
  <si>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</si>
  <si>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</si>
  <si>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</si>
  <si>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</si>
  <si>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</si>
  <si>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</si>
  <si>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</si>
  <si>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</si>
  <si>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</si>
  <si>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</si>
  <si>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</si>
  <si>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</si>
  <si>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</si>
  <si>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</si>
  <si>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</si>
  <si>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</si>
  <si>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</si>
  <si>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</si>
  <si>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</si>
  <si>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</si>
  <si>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</si>
  <si>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</si>
  <si>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</si>
  <si>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</si>
  <si>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</si>
  <si>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</si>
  <si>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</si>
  <si>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</si>
  <si>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</si>
  <si>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</si>
  <si>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</si>
  <si>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</si>
  <si>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</si>
  <si>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</si>
  <si>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</si>
  <si>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</si>
  <si>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</si>
  <si>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</si>
  <si>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</si>
  <si>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</si>
  <si>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</si>
  <si>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</si>
  <si>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</si>
  <si>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</si>
  <si>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</si>
  <si>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</si>
  <si>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</si>
  <si>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</si>
  <si>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</si>
  <si>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</si>
  <si>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</si>
  <si>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</si>
  <si>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</si>
  <si>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</si>
  <si>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</si>
  <si>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</si>
  <si>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</si>
  <si>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</si>
  <si>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</si>
  <si>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</si>
  <si>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</si>
  <si>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</si>
  <si>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</si>
  <si>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</si>
  <si>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</si>
  <si>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</si>
  <si>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</si>
  <si>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</si>
  <si>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</si>
  <si>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</si>
  <si>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</si>
  <si>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</si>
  <si>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</si>
  <si>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</si>
  <si>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</si>
  <si>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</si>
  <si>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</si>
  <si>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</si>
  <si>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</si>
  <si>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</si>
  <si>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</si>
  <si>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</si>
  <si>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</si>
  <si>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</si>
  <si>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</si>
  <si>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</si>
  <si>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</si>
  <si>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</si>
  <si>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</si>
  <si>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</si>
  <si>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</si>
  <si>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</si>
  <si>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</si>
  <si>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</si>
  <si>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</si>
  <si>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</si>
  <si>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</si>
  <si>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</si>
  <si>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</si>
  <si>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</si>
  <si>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</si>
  <si>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</si>
  <si>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</si>
  <si>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</si>
  <si>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</si>
  <si>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</si>
  <si>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</si>
  <si>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</si>
  <si>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</si>
  <si>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</si>
  <si>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</si>
  <si>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</si>
  <si>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</si>
  <si>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</si>
  <si>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</si>
  <si>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</si>
  <si>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</si>
  <si>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</si>
  <si>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</si>
  <si>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</si>
  <si>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</si>
  <si>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</si>
  <si>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</si>
  <si>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</si>
  <si>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</si>
  <si>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</si>
  <si>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</si>
  <si>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</si>
  <si>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</si>
  <si>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</si>
  <si>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</si>
  <si>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</si>
  <si>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</si>
  <si>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</si>
  <si>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</si>
  <si>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</si>
  <si>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</si>
  <si>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</si>
  <si>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</si>
  <si>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</si>
  <si>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</si>
  <si>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</si>
  <si>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</si>
  <si>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</si>
  <si>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</si>
  <si>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</si>
  <si>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</si>
  <si>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</si>
  <si>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</si>
  <si>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</si>
  <si>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</si>
  <si>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</si>
  <si>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</si>
  <si>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</si>
  <si>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</si>
  <si>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</si>
  <si>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</si>
  <si>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</si>
  <si>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</si>
  <si>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</si>
  <si>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</si>
  <si>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</si>
  <si>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</si>
  <si>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</si>
  <si>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</si>
  <si>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</si>
  <si>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</si>
  <si>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</si>
  <si>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</si>
  <si>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</si>
  <si>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</si>
  <si>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</si>
  <si>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</si>
  <si>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</si>
  <si>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</si>
  <si>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</si>
  <si>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</si>
  <si>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</si>
  <si>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</si>
  <si>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</si>
  <si>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</si>
  <si>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</si>
  <si>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</si>
  <si>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</si>
  <si>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</si>
  <si>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</si>
  <si>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</si>
  <si>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</si>
  <si>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</si>
  <si>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</si>
  <si>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</si>
  <si>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</si>
  <si>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</si>
  <si>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</si>
  <si>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</si>
  <si>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</si>
  <si>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</si>
  <si>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</si>
  <si>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</si>
  <si>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</si>
  <si>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</si>
  <si>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</si>
  <si>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</si>
  <si>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</si>
  <si>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</si>
  <si>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</si>
  <si>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</si>
  <si>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</si>
  <si>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</si>
  <si>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</si>
  <si>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</si>
  <si>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</si>
  <si>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</si>
  <si>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</si>
  <si>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</si>
  <si>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</si>
  <si>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</si>
  <si>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</si>
  <si>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</si>
  <si>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</si>
  <si>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</si>
  <si>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</si>
  <si>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</si>
  <si>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</si>
  <si>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</si>
  <si>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</si>
  <si>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</si>
  <si>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</si>
  <si>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</si>
  <si>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</si>
  <si>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</si>
  <si>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</si>
  <si>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</si>
  <si>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</si>
  <si>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</si>
  <si>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</si>
  <si>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</si>
  <si>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</si>
  <si>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</si>
  <si>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</si>
  <si>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</si>
  <si>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</si>
  <si>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</si>
  <si>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</si>
  <si>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</si>
  <si>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</si>
  <si>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</si>
  <si>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</si>
  <si>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</si>
  <si>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</si>
  <si>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</si>
  <si>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</si>
  <si>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</si>
  <si>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</si>
  <si>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</si>
  <si>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</si>
  <si>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</si>
  <si>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</si>
  <si>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</si>
  <si>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</si>
  <si>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</si>
  <si>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</si>
  <si>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</si>
  <si>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</si>
  <si>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</si>
  <si>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</si>
  <si>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</si>
  <si>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</si>
  <si>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</si>
  <si>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</si>
  <si>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</si>
  <si>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</si>
  <si>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</si>
  <si>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</si>
  <si>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</si>
  <si>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</si>
  <si>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</si>
  <si>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</si>
  <si>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</si>
  <si>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</si>
  <si>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</si>
  <si>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</si>
  <si>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</si>
  <si>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</si>
  <si>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</si>
  <si>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</si>
  <si>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</si>
  <si>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</si>
  <si>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</si>
  <si>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</si>
  <si>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</si>
  <si>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</si>
  <si>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</si>
  <si>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</si>
  <si>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</si>
  <si>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</si>
  <si>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</si>
  <si>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</si>
  <si>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</si>
  <si>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</si>
  <si>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</si>
  <si>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</si>
  <si>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</si>
  <si>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Prehľad o peňažných tokoch</t>
  </si>
  <si>
    <t>(v EUR)</t>
  </si>
  <si>
    <t>predchádzajúce</t>
  </si>
  <si>
    <t>Z/S</t>
  </si>
  <si>
    <t>A.1.</t>
  </si>
  <si>
    <t>A.1.1.</t>
  </si>
  <si>
    <t>A.1.2.</t>
  </si>
  <si>
    <t>A.1.3.</t>
  </si>
  <si>
    <t>A.1.4.</t>
  </si>
  <si>
    <t>A.1.5.</t>
  </si>
  <si>
    <t>A.1.6.</t>
  </si>
  <si>
    <t>A.1.7.</t>
  </si>
  <si>
    <t>A.1.8.</t>
  </si>
  <si>
    <t>A.1.9.</t>
  </si>
  <si>
    <t>A.1.10.</t>
  </si>
  <si>
    <t>A.1.11.</t>
  </si>
  <si>
    <t>A.1.12.</t>
  </si>
  <si>
    <t>A.1.13.</t>
  </si>
  <si>
    <t>A.2.</t>
  </si>
  <si>
    <t>A.2.1.</t>
  </si>
  <si>
    <t>A.2.2.</t>
  </si>
  <si>
    <t>A.2.3.</t>
  </si>
  <si>
    <t>A.2.4.</t>
  </si>
  <si>
    <t>A.3.</t>
  </si>
  <si>
    <t>A.4.</t>
  </si>
  <si>
    <t>A.5.</t>
  </si>
  <si>
    <t>A.6.</t>
  </si>
  <si>
    <t>A.7.</t>
  </si>
  <si>
    <t>A.8.</t>
  </si>
  <si>
    <t>A.9.</t>
  </si>
  <si>
    <t>B.2.</t>
  </si>
  <si>
    <t>B.3.</t>
  </si>
  <si>
    <t>B.4.</t>
  </si>
  <si>
    <t>B.5.</t>
  </si>
  <si>
    <t>B.6.</t>
  </si>
  <si>
    <t>B.7.</t>
  </si>
  <si>
    <t xml:space="preserve">B.8. </t>
  </si>
  <si>
    <t>B.9.</t>
  </si>
  <si>
    <t>B.10.</t>
  </si>
  <si>
    <t>B.11</t>
  </si>
  <si>
    <t>B.12.</t>
  </si>
  <si>
    <t>B.13.</t>
  </si>
  <si>
    <t>B.14.</t>
  </si>
  <si>
    <t>B.15.</t>
  </si>
  <si>
    <t>B.16.</t>
  </si>
  <si>
    <t>B.17.</t>
  </si>
  <si>
    <t>B.18.</t>
  </si>
  <si>
    <t>B.19.</t>
  </si>
  <si>
    <t>C.1.1.</t>
  </si>
  <si>
    <t>C.1.2.</t>
  </si>
  <si>
    <t>C.1.3.</t>
  </si>
  <si>
    <t>C.1.4.</t>
  </si>
  <si>
    <t>C.1.5</t>
  </si>
  <si>
    <t>C.1.6.</t>
  </si>
  <si>
    <t>C.1.7.</t>
  </si>
  <si>
    <t>C.1.8.</t>
  </si>
  <si>
    <t>C.2.</t>
  </si>
  <si>
    <t>C.2.1.</t>
  </si>
  <si>
    <t>C.2.2.</t>
  </si>
  <si>
    <t>C.2.3.</t>
  </si>
  <si>
    <t>C.2.4.</t>
  </si>
  <si>
    <t>C.2.5.</t>
  </si>
  <si>
    <t>C.2.6.</t>
  </si>
  <si>
    <t>C.2.7.</t>
  </si>
  <si>
    <t>C.2.8.</t>
  </si>
  <si>
    <t>C.2.9.</t>
  </si>
  <si>
    <t>C.3.</t>
  </si>
  <si>
    <t>C.4.</t>
  </si>
  <si>
    <t>C.5.</t>
  </si>
  <si>
    <t>C.6.</t>
  </si>
  <si>
    <t>C.7.</t>
  </si>
  <si>
    <t>C.8.</t>
  </si>
  <si>
    <t>C.9.</t>
  </si>
  <si>
    <t>Čisté peňažné toky z finančnej činnosti</t>
  </si>
  <si>
    <t>Musi byt NULA</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</si>
  <si>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</si>
  <si>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</si>
  <si>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</si>
  <si>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</si>
  <si>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</si>
  <si>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</si>
  <si>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</si>
  <si>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</si>
  <si>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</si>
  <si>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</si>
  <si>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</si>
  <si>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</si>
  <si>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</si>
  <si>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</si>
  <si>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</si>
  <si>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</si>
  <si>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</si>
  <si>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</si>
  <si>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</si>
  <si>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</si>
  <si>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</si>
  <si>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</si>
  <si>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</si>
  <si>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</si>
  <si>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</si>
  <si>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</si>
  <si>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</si>
  <si>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</si>
  <si>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</si>
  <si>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</si>
  <si>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</si>
  <si>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</si>
  <si>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</si>
  <si>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</si>
  <si>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</si>
  <si>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</si>
  <si>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</si>
  <si>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</si>
  <si>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</si>
  <si>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</si>
  <si>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</si>
  <si>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</si>
  <si>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</si>
  <si>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</si>
  <si>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</si>
  <si>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</si>
  <si>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</si>
  <si>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</si>
  <si>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</si>
  <si>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</si>
  <si>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</si>
  <si>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</si>
  <si>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</si>
  <si>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</si>
  <si>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</si>
  <si>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</si>
  <si>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</si>
  <si>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</si>
  <si>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</si>
  <si>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</si>
  <si>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</si>
  <si>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</si>
  <si>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</si>
  <si>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</si>
  <si>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</si>
  <si>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</si>
  <si>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</si>
  <si>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</si>
  <si>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</si>
  <si>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</si>
  <si>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</si>
  <si>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</si>
  <si>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</si>
  <si>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</si>
  <si>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</si>
  <si>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</si>
  <si>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</si>
  <si>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</si>
  <si>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</si>
  <si>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</si>
  <si>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</si>
  <si>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</si>
  <si>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</si>
  <si>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</si>
  <si>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</si>
  <si>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</si>
  <si>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</si>
  <si>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</si>
  <si>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</si>
  <si>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</si>
  <si>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</si>
  <si>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</si>
  <si>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</si>
  <si>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</si>
  <si>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</si>
  <si>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</si>
  <si>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</si>
  <si>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</si>
  <si>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</si>
  <si>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</si>
  <si>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</si>
  <si>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</si>
  <si>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</si>
  <si>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</si>
  <si>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</si>
  <si>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</si>
  <si>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</si>
  <si>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</si>
  <si>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</si>
  <si>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</si>
  <si>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</si>
  <si>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</si>
  <si>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</si>
  <si>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</si>
  <si>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</si>
  <si>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</si>
  <si>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</si>
  <si>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</si>
  <si>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</si>
  <si>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</si>
  <si>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</si>
  <si>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</si>
  <si>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</si>
  <si>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</si>
  <si>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</si>
  <si>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</si>
  <si>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</si>
  <si>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</si>
  <si>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</si>
  <si>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</si>
  <si>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</si>
  <si>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</si>
  <si>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</si>
  <si>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</si>
  <si>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</si>
  <si>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</si>
  <si>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</si>
  <si>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</si>
  <si>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</si>
  <si>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</si>
  <si>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</si>
  <si>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</si>
  <si>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</si>
  <si>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</si>
  <si>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</si>
  <si>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</si>
  <si>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</si>
  <si>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</si>
  <si>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</si>
  <si>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</si>
  <si>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</si>
  <si>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</si>
  <si>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</si>
  <si>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</si>
  <si>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</si>
  <si>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</si>
  <si>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</si>
  <si>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</si>
  <si>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</si>
  <si>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</si>
  <si>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</si>
  <si>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</si>
  <si>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</si>
  <si>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</si>
  <si>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</si>
  <si>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</si>
  <si>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</si>
  <si>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</si>
  <si>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</si>
  <si>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</si>
  <si>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</si>
  <si>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</si>
  <si>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</si>
  <si>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</si>
  <si>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</si>
  <si>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</si>
  <si>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</si>
  <si>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</si>
  <si>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</si>
  <si>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</si>
  <si>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</si>
  <si>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</si>
  <si>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</si>
  <si>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</si>
  <si>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</si>
  <si>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</si>
  <si>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</si>
  <si>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</si>
  <si>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</si>
  <si>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</si>
  <si>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</si>
  <si>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</si>
  <si>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</si>
  <si>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</si>
  <si>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</si>
  <si>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</si>
  <si>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</si>
  <si>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</si>
  <si>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</si>
  <si>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</si>
  <si>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</si>
  <si>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</si>
  <si>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</si>
  <si>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</si>
  <si>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</si>
  <si>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</si>
  <si>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</si>
  <si>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</si>
  <si>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</si>
  <si>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</si>
  <si>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</si>
  <si>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</si>
  <si>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</si>
  <si>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</si>
  <si>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</si>
  <si>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</si>
  <si>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</si>
  <si>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</si>
  <si>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</si>
  <si>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</si>
  <si>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</si>
  <si>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</si>
  <si>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</si>
  <si>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</si>
  <si>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</si>
  <si>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</si>
  <si>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</si>
  <si>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</si>
  <si>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</si>
  <si>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</si>
  <si>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</si>
  <si>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</si>
  <si>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</si>
  <si>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</si>
  <si>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</si>
  <si>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</si>
  <si>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</si>
  <si>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</si>
  <si>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</si>
  <si>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</si>
  <si>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</si>
  <si>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</si>
  <si>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</si>
  <si>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</si>
  <si>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</si>
  <si>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</si>
  <si>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</si>
  <si>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</si>
  <si>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</si>
  <si>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</si>
  <si>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</si>
  <si>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</si>
  <si>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</si>
  <si>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</si>
  <si>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</si>
  <si>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</si>
  <si>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</si>
  <si>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</si>
  <si>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</si>
  <si>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</si>
  <si>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</si>
  <si>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</si>
  <si>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</si>
  <si>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</si>
  <si>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</si>
  <si>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</si>
  <si>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</si>
  <si>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</si>
  <si>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</si>
  <si>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</si>
  <si>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</si>
  <si>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</si>
  <si>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</si>
  <si>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</si>
  <si>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</si>
  <si>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</si>
  <si>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</si>
  <si>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</si>
  <si>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</si>
  <si>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</si>
  <si>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</si>
  <si>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Odpisovanie</t>
  </si>
  <si>
    <t>Predpokladaná doba používania</t>
  </si>
  <si>
    <t>-</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</si>
  <si>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</si>
  <si>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</si>
  <si>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</si>
  <si>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</si>
  <si>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Náklady na technické zhodnotenie dlhodobého hmotného majetku zvyšujú jeho obstarávaciu cenu. Opravy a údržba sa účtujú do nákladov.</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</si>
  <si>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</si>
  <si>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</si>
  <si>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</si>
  <si>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</si>
  <si>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</si>
  <si>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</si>
  <si>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d)    Zásoby</t>
  </si>
  <si>
    <t>c)    Finančný majetok</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</si>
  <si>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</si>
  <si>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</si>
  <si>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Výdavky budúcich období a výnosy budúcich období sa oceňujú ich menovitou hodnotou, pričom sa vykazujú vo výške, ktorá je potrebná na dodržanie zásady vecnej a časovej súvislosti s účtovným obdobím.</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</si>
  <si>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</si>
  <si>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</si>
  <si>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</si>
  <si>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</si>
  <si>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</si>
  <si>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</si>
  <si>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</si>
  <si>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Poistenie majetku</t>
  </si>
  <si>
    <t>Informácie o opravných položkách k zásobám</t>
  </si>
  <si>
    <t xml:space="preserve">Zúčtovanie OP z dôvodu zániku opodstat-
nenosti
</t>
  </si>
  <si>
    <t>Informácie o zásobách, na ktoré je zriadené záložné právo a o zásobách, pri ktorých má účtovná jednotka obmedzené právo s nimi nakladať</t>
  </si>
  <si>
    <t>Informácie o vývoji opravnej položky k pohľadávkam</t>
  </si>
  <si>
    <t>Informácie o krátkodobom finančnom majetku</t>
  </si>
  <si>
    <t>Informácie o významných položkách časového rozlíšenia</t>
  </si>
  <si>
    <t>24.1</t>
  </si>
  <si>
    <t>Informácie o rezervách</t>
  </si>
  <si>
    <t>25.1</t>
  </si>
  <si>
    <t>25.2</t>
  </si>
  <si>
    <t>Informácie o záväzkoch</t>
  </si>
  <si>
    <t>Informácie o bankových úveroch, pôžičkách a krátkodobých finančných výpomociach</t>
  </si>
  <si>
    <t>29.1</t>
  </si>
  <si>
    <t>Informácie o významných položkách časového rozlíšenia na strane pasív</t>
  </si>
  <si>
    <t>Výdavky budúcich období dlhodobé, z toho:</t>
  </si>
  <si>
    <t>Výdavky budúcich období krátkodobé, z toho:</t>
  </si>
  <si>
    <t>Revenues from merchandise (604,607)</t>
  </si>
  <si>
    <t>Tržby</t>
  </si>
  <si>
    <t>Informácie o tržbách</t>
  </si>
  <si>
    <t xml:space="preserve">Údaje o zmene stavu vnútropodnikových zásob </t>
  </si>
  <si>
    <t>Informácie o zmene stavu vnútroorganizačných zásob</t>
  </si>
  <si>
    <t>Zmena stavu vnútroorganizačných zásob vo výkaze ziskov a strát</t>
  </si>
  <si>
    <t>Informácie o čistom obrate</t>
  </si>
  <si>
    <t>Náklady</t>
  </si>
  <si>
    <t>Informácie o nákladoch</t>
  </si>
  <si>
    <t>Dane z príjmov</t>
  </si>
  <si>
    <t>Daň v %</t>
  </si>
  <si>
    <t>Údaje o príjmoch a výhodách členov štatutárnych, dozorných a iných orgánov</t>
  </si>
  <si>
    <t>46.1</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</si>
  <si>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</si>
  <si>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</si>
  <si>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</si>
  <si>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</si>
  <si>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</si>
  <si>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</si>
  <si>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</si>
  <si>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</si>
  <si>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</si>
  <si>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</si>
  <si>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b)   Dlhodobý hmotný majetok</t>
  </si>
  <si>
    <t>Informácie o dlhodobom hmotnom majetku</t>
  </si>
  <si>
    <t>5.1</t>
  </si>
  <si>
    <t>Pestovateľ-  ské celky 
trvalých porastov</t>
  </si>
  <si>
    <t>5.2</t>
  </si>
  <si>
    <t>c)   Dlhodobý finančný majetok</t>
  </si>
  <si>
    <t>POZNÁMKY</t>
  </si>
  <si>
    <t>priebežná</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</si>
  <si>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</si>
  <si>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</si>
  <si>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</si>
  <si>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</si>
  <si>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</si>
  <si>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</si>
  <si>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</si>
  <si>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</si>
  <si>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</si>
  <si>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</si>
  <si>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</si>
  <si>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</si>
  <si>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</si>
  <si>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</si>
  <si>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</si>
  <si>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</si>
  <si>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</si>
  <si>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</si>
  <si>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</si>
  <si>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</si>
  <si>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</si>
  <si>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</si>
  <si>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</si>
  <si>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</si>
  <si>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</si>
  <si>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</si>
  <si>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</si>
  <si>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</si>
  <si>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</si>
  <si>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</si>
  <si>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</si>
  <si>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</si>
  <si>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</si>
  <si>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</si>
  <si>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</si>
  <si>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</si>
  <si>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</si>
  <si>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</si>
  <si>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</si>
  <si>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</si>
  <si>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</si>
  <si>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</si>
  <si>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</si>
  <si>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</si>
  <si>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</si>
  <si>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</si>
  <si>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</si>
  <si>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</si>
  <si>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</si>
  <si>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</si>
  <si>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</si>
  <si>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</si>
  <si>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</si>
  <si>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</si>
  <si>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</si>
  <si>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</si>
  <si>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</si>
  <si>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</si>
  <si>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</si>
  <si>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</si>
  <si>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</si>
  <si>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</si>
  <si>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</si>
  <si>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</si>
  <si>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</si>
  <si>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</si>
  <si>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</si>
  <si>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</si>
  <si>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</si>
  <si>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</si>
  <si>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</si>
  <si>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</si>
  <si>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</si>
  <si>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</si>
  <si>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</si>
  <si>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</si>
  <si>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</si>
  <si>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</si>
  <si>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</si>
  <si>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</si>
  <si>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</si>
  <si>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</si>
  <si>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</si>
  <si>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</si>
  <si>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</si>
  <si>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</si>
  <si>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</si>
  <si>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</si>
  <si>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</si>
  <si>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</si>
  <si>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</si>
  <si>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</si>
  <si>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</si>
  <si>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</si>
  <si>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</si>
  <si>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</si>
  <si>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</si>
  <si>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</si>
  <si>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</si>
  <si>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</si>
  <si>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</si>
  <si>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</si>
  <si>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</si>
  <si>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</si>
  <si>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</si>
  <si>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</si>
  <si>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</si>
  <si>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</si>
  <si>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</si>
  <si>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</si>
  <si>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</si>
  <si>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</si>
  <si>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</si>
  <si>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</si>
  <si>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</si>
  <si>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</si>
  <si>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</si>
  <si>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</si>
  <si>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</si>
  <si>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</si>
  <si>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</si>
  <si>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</si>
  <si>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</si>
  <si>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</si>
  <si>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</si>
  <si>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</si>
  <si>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</si>
  <si>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</si>
  <si>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</si>
  <si>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</si>
  <si>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</si>
  <si>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</si>
  <si>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</si>
  <si>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</si>
  <si>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</si>
  <si>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</si>
  <si>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</si>
  <si>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</si>
  <si>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</si>
  <si>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</si>
  <si>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</si>
  <si>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</si>
  <si>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</si>
  <si>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</si>
  <si>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</si>
  <si>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</si>
  <si>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</si>
  <si>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</si>
  <si>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</si>
  <si>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</si>
  <si>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</si>
  <si>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</si>
  <si>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</si>
  <si>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</si>
  <si>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</si>
  <si>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</si>
  <si>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</si>
  <si>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</si>
  <si>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</si>
  <si>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</si>
  <si>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</si>
  <si>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</si>
  <si>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</si>
  <si>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</si>
  <si>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</si>
  <si>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</si>
  <si>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</si>
  <si>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</si>
  <si>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</si>
  <si>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</si>
  <si>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</si>
  <si>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</si>
  <si>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</si>
  <si>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</si>
  <si>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</si>
  <si>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</si>
  <si>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</si>
  <si>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</si>
  <si>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</si>
  <si>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</si>
  <si>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</si>
  <si>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</si>
  <si>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</si>
  <si>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</si>
  <si>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</si>
  <si>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</si>
  <si>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</si>
  <si>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</si>
  <si>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</si>
  <si>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</si>
  <si>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</si>
  <si>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</si>
  <si>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</si>
  <si>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</si>
  <si>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</si>
  <si>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</si>
  <si>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</si>
  <si>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</si>
  <si>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</si>
  <si>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</si>
  <si>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</si>
  <si>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</si>
  <si>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</si>
  <si>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</si>
  <si>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</si>
  <si>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</si>
  <si>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</si>
  <si>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</si>
  <si>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</si>
  <si>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</si>
  <si>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</si>
  <si>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</si>
  <si>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</si>
  <si>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</si>
  <si>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</si>
  <si>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</si>
  <si>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</si>
  <si>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</si>
  <si>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</si>
  <si>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</si>
  <si>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</si>
  <si>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</si>
  <si>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</si>
  <si>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</si>
  <si>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</si>
  <si>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</si>
  <si>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</si>
  <si>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</si>
  <si>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</si>
  <si>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</si>
  <si>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</si>
  <si>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</si>
  <si>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</si>
  <si>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</si>
  <si>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</si>
  <si>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</si>
  <si>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</si>
  <si>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</si>
  <si>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</si>
  <si>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</si>
  <si>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</si>
  <si>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</si>
  <si>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</si>
  <si>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</si>
  <si>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</si>
  <si>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</si>
  <si>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</si>
  <si>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</si>
  <si>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</si>
  <si>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</si>
  <si>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</si>
  <si>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</si>
  <si>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</si>
  <si>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</si>
  <si>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</si>
  <si>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</si>
  <si>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</si>
  <si>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</si>
  <si>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</si>
  <si>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</si>
  <si>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</si>
  <si>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</si>
  <si>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</si>
  <si>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</si>
  <si>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</si>
  <si>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</si>
  <si>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</si>
  <si>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</si>
  <si>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</si>
  <si>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</si>
  <si>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</si>
  <si>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</si>
  <si>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</si>
  <si>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</si>
  <si>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</si>
  <si>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</si>
  <si>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</si>
  <si>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</si>
  <si>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</si>
  <si>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</si>
  <si>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</si>
  <si>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</si>
  <si>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</si>
  <si>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</si>
  <si>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</si>
  <si>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</si>
  <si>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</si>
  <si>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</si>
  <si>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</si>
  <si>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</si>
  <si>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</si>
  <si>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</si>
  <si>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</si>
  <si>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</si>
  <si>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</si>
  <si>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</si>
  <si>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</si>
  <si>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</si>
  <si>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</si>
  <si>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</si>
  <si>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</si>
  <si>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</si>
  <si>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</si>
  <si>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</si>
  <si>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</si>
  <si>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</si>
  <si>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</si>
  <si>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</si>
  <si>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</si>
  <si>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</si>
  <si>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</si>
  <si>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</si>
  <si>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</si>
  <si>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</si>
  <si>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</si>
  <si>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</si>
  <si>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</si>
  <si>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t>Suma istiny v eurách za bežné účtovné obdobie</t>
  </si>
  <si>
    <t>Vplyv nevykázanej odloženej daňovej pohľadávky</t>
  </si>
  <si>
    <t>Zmena sadzby dane</t>
  </si>
  <si>
    <t>2.1</t>
  </si>
  <si>
    <t>Náklady voči audítorovi, audítorskej spoločnosti, z toho:</t>
  </si>
  <si>
    <t>Náklady voči audítorovi, audítorskej spoločnosti</t>
  </si>
  <si>
    <t>Informácie o ekonomických vzťahoch  medzi účtovnou jednotkou a spriaznenými osobami</t>
  </si>
  <si>
    <t>page</t>
  </si>
  <si>
    <r>
      <t>1.      </t>
    </r>
    <r>
      <rPr>
        <b/>
        <u/>
        <sz val="10"/>
        <color theme="1"/>
        <rFont val="Arial"/>
        <family val="2"/>
        <charset val="238"/>
      </rPr>
      <t>DESCRIPTION OF THE COMPANY</t>
    </r>
  </si>
  <si>
    <t>Its main activities are as follows:</t>
  </si>
  <si>
    <t>Information on the number of employees:</t>
  </si>
  <si>
    <t>Item</t>
  </si>
  <si>
    <t>Current accounting period</t>
  </si>
  <si>
    <t>Average number of employees</t>
  </si>
  <si>
    <t>Number of employees as at the balance sheet date, of whom:</t>
  </si>
  <si>
    <t>Managers</t>
  </si>
  <si>
    <t>Owner/Shareholder</t>
  </si>
  <si>
    <t>Share in registered capital</t>
  </si>
  <si>
    <t>In absolute terms</t>
  </si>
  <si>
    <t>%</t>
  </si>
  <si>
    <t>Share in voting rights    %</t>
  </si>
  <si>
    <t>Other share in remaining items of equity and RC %</t>
  </si>
  <si>
    <t>Total</t>
  </si>
  <si>
    <r>
      <t>2.</t>
    </r>
    <r>
      <rPr>
        <b/>
        <sz val="7"/>
        <color theme="1"/>
        <rFont val="Times New Roman"/>
        <family val="1"/>
        <charset val="238"/>
      </rPr>
      <t xml:space="preserve">       </t>
    </r>
    <r>
      <rPr>
        <b/>
        <u/>
        <sz val="10"/>
        <color theme="1"/>
        <rFont val="Arial"/>
        <family val="2"/>
        <charset val="238"/>
      </rPr>
      <t>BASIS FOR PREPARATION OF THE FINANCIAL STATEMENTS</t>
    </r>
  </si>
  <si>
    <t>a)    Non-Current Intangible assets</t>
  </si>
  <si>
    <t>Acquired, non-current intangible assets are stated at their acquisition cost, consisting of the purchase price and costs directly attributable to acquisition.</t>
  </si>
  <si>
    <t xml:space="preserve">Internally generated, non-current intangible assets are stated at their own costs, which include direct material and labour costs and production overheads (and/or a portion of administrative costs). </t>
  </si>
  <si>
    <t>Depreciation</t>
  </si>
  <si>
    <t>Estimated useful life</t>
  </si>
  <si>
    <t>Depreciation method</t>
  </si>
  <si>
    <t>Software</t>
  </si>
  <si>
    <t>Valuable rights</t>
  </si>
  <si>
    <t>In the event of a temporary diminution in the value in use of a non-current intangible asset, an impairment provision equal to the difference between their value in use and net book value is recognised.</t>
  </si>
  <si>
    <t>b)    Non-Current Tangible Assets</t>
  </si>
  <si>
    <t xml:space="preserve">Acquired, non-current tangible fixed assets are stated at their acquisition cost, which consists of purchase price, freight, customs duty and other costs directly attributable to acquisition. </t>
  </si>
  <si>
    <t xml:space="preserve">Internally generated, non-current tangible assets are stated at own costs, which include direct material and labour costs and production overheads (and/or a proportion of administrative costs). </t>
  </si>
  <si>
    <t>The costs of technical improvements to non-current tangible assets are capitalized. Repairs and maintenance costs are expensed as incurred.</t>
  </si>
  <si>
    <t>Non-current tangible assets are depreciated over their estimated useful life. The estimated useful life, depreciation method and depreciation rate for individual non-current tangible assets are as follows:</t>
  </si>
  <si>
    <t>Buildings</t>
  </si>
  <si>
    <t>Machines, tools and equipment</t>
  </si>
  <si>
    <t>Vehicles</t>
  </si>
  <si>
    <t>Other non-current tangible assets</t>
  </si>
  <si>
    <t>c)    Financial Assets</t>
  </si>
  <si>
    <t>d)    Inventory</t>
  </si>
  <si>
    <t xml:space="preserve">Receivables are stated at their nominal value. Receivables relinquished and receivables acquired through a contribution to registered capital are stated at acquisition cost. The carrying amount of doubtful receivables is reduced to their realizable value. </t>
  </si>
  <si>
    <t>Deferred expenses and accrued revenues are stated at their nominal amount and recognized on an accrual basis.</t>
  </si>
  <si>
    <t>Long-term and short-term liabilities are stated at their nominal value. Other liabilities also include the amounts identified in the valuation of financial derivatives at fair value.</t>
  </si>
  <si>
    <t>Long-term and short-term loans are stated at their nominal value. The portion of a long-term loan that is due within one year from the balance sheet date is stated as a short-term loan.</t>
  </si>
  <si>
    <t>Deferred revenues and accrued expenses are stated at their nominal value and recognized on an accrual basis.</t>
  </si>
  <si>
    <t xml:space="preserve">Equity consists of share capital, share premium, capital funds, revaluation reserve, legal reserve fund and profit/loss to be approved. </t>
  </si>
  <si>
    <t xml:space="preserve">Foreign currency transactions are translated into EUR using the reference foreign exchange rate pertaining on the date preceding the transaction, as determined and published by the European Central bank or the National Bank of Slovakia. </t>
  </si>
  <si>
    <t xml:space="preserve">Monetary assets and liabilities denominated in foreign currency are translated using the foreign exchange rate ruling at the balance sheet date. The foreign exchange gains and losses are recognized in the profit and loss account. </t>
  </si>
  <si>
    <t xml:space="preserve">Purchases and sales of foreign currency are translated into EUR using the foreign exchange rate pertaining when these amounts were purchased or sold.  </t>
  </si>
  <si>
    <t>Temporary differences between the carrying amount of assets and the carrying amount of liabilities shown on the balance sheet and their tax base,</t>
  </si>
  <si>
    <t>Tax losses available for carry-forwards, which can be offset against taxable profits in future periods,</t>
  </si>
  <si>
    <t>a)   Non-current intangible assets</t>
  </si>
  <si>
    <t>Non-current intangible assets</t>
  </si>
  <si>
    <t>Capitalized 
R &amp; D costs</t>
  </si>
  <si>
    <t>Other NIA</t>
  </si>
  <si>
    <t>NIA under construction</t>
  </si>
  <si>
    <t>Advance payments
for NIA</t>
  </si>
  <si>
    <t>Acquisition cost</t>
  </si>
  <si>
    <t>Opening balance</t>
  </si>
  <si>
    <t>Additions</t>
  </si>
  <si>
    <t>Disposals</t>
  </si>
  <si>
    <t>Transfers</t>
  </si>
  <si>
    <t>Closing balance</t>
  </si>
  <si>
    <t>Accumulated depreciation</t>
  </si>
  <si>
    <t>Provisions</t>
  </si>
  <si>
    <t>Net book value</t>
  </si>
  <si>
    <t>Immediately preceding accounting period</t>
  </si>
  <si>
    <t>Value for current accounting period</t>
  </si>
  <si>
    <t xml:space="preserve">Pledged non-current intangible assets </t>
  </si>
  <si>
    <t>Non-current intangible assets that are not at the accounting entity’s full disposal</t>
  </si>
  <si>
    <t>Land</t>
  </si>
  <si>
    <t>Plant and equipment</t>
  </si>
  <si>
    <t>Perennial crops</t>
  </si>
  <si>
    <t>Live-stock and draught animals</t>
  </si>
  <si>
    <t>Other NTA</t>
  </si>
  <si>
    <t>NTA under construction</t>
  </si>
  <si>
    <t>Advance payments for NTA</t>
  </si>
  <si>
    <t>Non-current tangible assets</t>
  </si>
  <si>
    <t>Non-current tangible assets that are not at the accounting entity's full disposal</t>
  </si>
  <si>
    <t>c)   Non-current financial assets</t>
  </si>
  <si>
    <t>Information on provisions for inventory:</t>
  </si>
  <si>
    <t>Inventory</t>
  </si>
  <si>
    <t>Opening balance 
of provisions</t>
  </si>
  <si>
    <t>Creation 
of provisions</t>
  </si>
  <si>
    <t>Release 
of provisions due to cease 
of justification</t>
  </si>
  <si>
    <t>Release 
of provisions due to disposal of asset from accounting books</t>
  </si>
  <si>
    <t>Closing balance 
of provisions</t>
  </si>
  <si>
    <t>Materials</t>
  </si>
  <si>
    <t>Work in progress and semi-finished products</t>
  </si>
  <si>
    <t>Finished goods</t>
  </si>
  <si>
    <t>Animals</t>
  </si>
  <si>
    <t>Merchandise</t>
  </si>
  <si>
    <t>Real estate held for sale</t>
  </si>
  <si>
    <t>Advance payments made for inventory</t>
  </si>
  <si>
    <t>Total inventory</t>
  </si>
  <si>
    <t>Inventory with established lien</t>
  </si>
  <si>
    <t>Inventory that are not at the accounting entity’s full disposal</t>
  </si>
  <si>
    <t>Information on provisions for receivables:</t>
  </si>
  <si>
    <t>Receivables</t>
  </si>
  <si>
    <t xml:space="preserve">Opening balance 
of provisions </t>
  </si>
  <si>
    <t>Release of provisions due to disposal of asset 
from accounting books</t>
  </si>
  <si>
    <t xml:space="preserve">Closing balance 
of provisions </t>
  </si>
  <si>
    <t>Trade receivables</t>
  </si>
  <si>
    <t>Receivables from subsidiary and parent company</t>
  </si>
  <si>
    <t>Other receivables within consolidated group</t>
  </si>
  <si>
    <t>Receivables from partners and consortium members</t>
  </si>
  <si>
    <t>Other receivables</t>
  </si>
  <si>
    <t xml:space="preserve">Total receivables </t>
  </si>
  <si>
    <t>Due</t>
  </si>
  <si>
    <t>Overdue</t>
  </si>
  <si>
    <t>Total receivables</t>
  </si>
  <si>
    <t>Long-term receivables</t>
  </si>
  <si>
    <t>Receivables from subsidiary 
and parent company</t>
  </si>
  <si>
    <t>Receivables from partners 
and consortium members</t>
  </si>
  <si>
    <t>Total long-term receivables</t>
  </si>
  <si>
    <t>Short-term receivables</t>
  </si>
  <si>
    <t>Social security receivables</t>
  </si>
  <si>
    <t>Tax receivables</t>
  </si>
  <si>
    <t xml:space="preserve">Total short-term receivables </t>
  </si>
  <si>
    <t>Information on receivables pledged by a lien or other form of security:</t>
  </si>
  <si>
    <t>Description of object of pledge</t>
  </si>
  <si>
    <t>Value of receivable</t>
  </si>
  <si>
    <t>Receivables pledged by lien or other form 
of security</t>
  </si>
  <si>
    <t>Value of pledged receivables</t>
  </si>
  <si>
    <t>Value of receivables that are not at full disposal</t>
  </si>
  <si>
    <t>Information on current financial assets:</t>
  </si>
  <si>
    <t>Immediately preceding 
accounting period</t>
  </si>
  <si>
    <t>Cash in hand, stamps and vouchers</t>
  </si>
  <si>
    <t>Current bank accounts</t>
  </si>
  <si>
    <t>Term deposits</t>
  </si>
  <si>
    <t>Cash in transit</t>
  </si>
  <si>
    <t>Information on significant items of accruals and prepayments:</t>
  </si>
  <si>
    <t>Deferred expenses – long-term, of which:</t>
  </si>
  <si>
    <t>Deferred expenses – short-term, of which:</t>
  </si>
  <si>
    <t>Accrued income – long-term, of which:</t>
  </si>
  <si>
    <t>Accrued income – short-term, of which:</t>
  </si>
  <si>
    <t>Accounting profit</t>
  </si>
  <si>
    <t>Distribution of accounting profit</t>
  </si>
  <si>
    <t>Contribution to legal reserve fund</t>
  </si>
  <si>
    <t>Contribution to statutory and other funds</t>
  </si>
  <si>
    <t>Contribution to social fund</t>
  </si>
  <si>
    <t>Contribution to share capital</t>
  </si>
  <si>
    <t>Settlement of losses from previous periods</t>
  </si>
  <si>
    <t>Transfer to retained earnings from previous years</t>
  </si>
  <si>
    <t xml:space="preserve">Payment of dividends </t>
  </si>
  <si>
    <t>Other</t>
  </si>
  <si>
    <t>Information on provisions:</t>
  </si>
  <si>
    <t>Long-term provisions, 
of which:</t>
  </si>
  <si>
    <t>Short-term provisions, 
of which:</t>
  </si>
  <si>
    <t>Creation</t>
  </si>
  <si>
    <t>Use</t>
  </si>
  <si>
    <t>Release</t>
  </si>
  <si>
    <t>Information on liabilities:</t>
  </si>
  <si>
    <t>Liabilities due within 1 year incl.</t>
  </si>
  <si>
    <t xml:space="preserve">Total current liabilities </t>
  </si>
  <si>
    <t>Liabilities due in 1 – 5 years</t>
  </si>
  <si>
    <t>Liabilities due over 5 years</t>
  </si>
  <si>
    <t xml:space="preserve">Total non-current liabilities </t>
  </si>
  <si>
    <t>Temporary differences between carrying amount of assets and their tax base, of which:</t>
  </si>
  <si>
    <t>deductible</t>
  </si>
  <si>
    <t>taxable</t>
  </si>
  <si>
    <t>Temporary differences between carrying amount of liabilities and their tax base, of which:</t>
  </si>
  <si>
    <t>Tax losses carried forward</t>
  </si>
  <si>
    <t>Unused tax credits</t>
  </si>
  <si>
    <t>Income tax rate (in %)</t>
  </si>
  <si>
    <t>Deferred tax asset</t>
  </si>
  <si>
    <t xml:space="preserve">Deferred tax asset recognized </t>
  </si>
  <si>
    <t>Recognised in equity</t>
  </si>
  <si>
    <t>Deferred tax liability</t>
  </si>
  <si>
    <t>Change in deferred tax liability</t>
  </si>
  <si>
    <t>Recognised as expense</t>
  </si>
  <si>
    <t>Opening balance of social fund</t>
  </si>
  <si>
    <t>Creation of social fund against expenses</t>
  </si>
  <si>
    <t>Creation of social fund from profit</t>
  </si>
  <si>
    <t xml:space="preserve">Other creation of social fund </t>
  </si>
  <si>
    <t xml:space="preserve">Total creation of social fund </t>
  </si>
  <si>
    <t>Use of social fund</t>
  </si>
  <si>
    <t>Closing balance of social fund</t>
  </si>
  <si>
    <t>Information on bank loans, interest-bearing borrowings and short-term financial borrowings:</t>
  </si>
  <si>
    <t>Currency</t>
  </si>
  <si>
    <t>Interest p.a. 
in %</t>
  </si>
  <si>
    <t>Maturity date</t>
  </si>
  <si>
    <t>Amount 
of principal 
in currency 
for current accounting period</t>
  </si>
  <si>
    <t>Amount 
of principal 
in currency 
for immediately preceding accounting period</t>
  </si>
  <si>
    <t>Amount 
of principal 
in EUR 
for current accounting period</t>
  </si>
  <si>
    <t>Long-term bank loans</t>
  </si>
  <si>
    <t>Information on significant items of accrued expenses and deferred income:</t>
  </si>
  <si>
    <t>Accrued expenses - long-term, of which:</t>
  </si>
  <si>
    <t>Accrued expenses - short-term, of which:</t>
  </si>
  <si>
    <t>Deferred income - long-term, of which:</t>
  </si>
  <si>
    <t>Deferred income - short-term, of which:</t>
  </si>
  <si>
    <t>Revenues</t>
  </si>
  <si>
    <t>Information on revenues:</t>
  </si>
  <si>
    <t>Territory</t>
  </si>
  <si>
    <t>Type of products and services (e.g. A)</t>
  </si>
  <si>
    <t>Type of products and services (e.g. B)</t>
  </si>
  <si>
    <t>Type of products and services (e.g. C)</t>
  </si>
  <si>
    <t xml:space="preserve">Details of changes in own inventory </t>
  </si>
  <si>
    <t>Information on changes in own inventory:</t>
  </si>
  <si>
    <t>Changes in inventory</t>
  </si>
  <si>
    <t>Closing 
balance</t>
  </si>
  <si>
    <t>Shortages and damage</t>
  </si>
  <si>
    <t>Representation costs</t>
  </si>
  <si>
    <t>Gifts</t>
  </si>
  <si>
    <t xml:space="preserve">Change of internal inventory </t>
  </si>
  <si>
    <r>
      <t>Significant items of capitalized costs, of which:</t>
    </r>
    <r>
      <rPr>
        <sz val="8"/>
        <color theme="1"/>
        <rFont val="Arial"/>
        <family val="2"/>
        <charset val="238"/>
      </rPr>
      <t> </t>
    </r>
  </si>
  <si>
    <t>Other significant items of operating income, of which:</t>
  </si>
  <si>
    <t>Financial income, of which:</t>
  </si>
  <si>
    <t>Exchange rate gains, of which:</t>
  </si>
  <si>
    <t>Exchange rate gains as at balance sheet date</t>
  </si>
  <si>
    <t>Other significant items of financial income, of which:</t>
  </si>
  <si>
    <t>Extraordinary income, of which:</t>
  </si>
  <si>
    <t>Information on net turnover:</t>
  </si>
  <si>
    <t>Revenues from own products</t>
  </si>
  <si>
    <t>Revenues from services provided</t>
  </si>
  <si>
    <t>Revenues from merchandise</t>
  </si>
  <si>
    <t>Revenues from construction contracts</t>
  </si>
  <si>
    <t>Revenues from real estate held for sale</t>
  </si>
  <si>
    <t>Other income related to ordinary activities</t>
  </si>
  <si>
    <t>Total net turnover</t>
  </si>
  <si>
    <t>Expenses</t>
  </si>
  <si>
    <t>Information on expenses:</t>
  </si>
  <si>
    <t>Cost of services provided, of which:</t>
  </si>
  <si>
    <t>Costs related to auditor, audit company, of which:</t>
  </si>
  <si>
    <t>Other significant items of operating expenses, of which:</t>
  </si>
  <si>
    <t>Financial expenses, of which:</t>
  </si>
  <si>
    <t>Exchange rate losses, of which:</t>
  </si>
  <si>
    <t>Exchange rate losses as at balance sheet date</t>
  </si>
  <si>
    <t>Other significant items of financial expenses, of which:</t>
  </si>
  <si>
    <t>costs related to the audit of financial statements</t>
  </si>
  <si>
    <t>other assurance services</t>
  </si>
  <si>
    <t>related audit services</t>
  </si>
  <si>
    <t>tax advisory</t>
  </si>
  <si>
    <t>other non-audit services</t>
  </si>
  <si>
    <t xml:space="preserve">Information on income tax: </t>
  </si>
  <si>
    <t>Tax base</t>
  </si>
  <si>
    <t>Tax</t>
  </si>
  <si>
    <t>Tax in %</t>
  </si>
  <si>
    <t>Profit/loss before tax, of which:</t>
  </si>
  <si>
    <t xml:space="preserve">Theoretical tax </t>
  </si>
  <si>
    <t>Tax non-deductible expenses</t>
  </si>
  <si>
    <t>Non-taxed income</t>
  </si>
  <si>
    <t>Change in tax rate</t>
  </si>
  <si>
    <t>Current income tax</t>
  </si>
  <si>
    <t>Deferred income tax</t>
  </si>
  <si>
    <t>Total income tax</t>
  </si>
  <si>
    <t>Data on income and remuneration of members of statutory bodies, supervisory bodies, and other bodies of the accounting entity</t>
  </si>
  <si>
    <t>Information on economic relations between the accounting entity and related parties:</t>
  </si>
  <si>
    <t>Related party</t>
  </si>
  <si>
    <t>Transaction 
type (code)</t>
  </si>
  <si>
    <t>Transaction value</t>
  </si>
  <si>
    <t xml:space="preserve">Immediately preceding accounting period                                  </t>
  </si>
  <si>
    <t>Share capital</t>
  </si>
  <si>
    <t>Change in share capital</t>
  </si>
  <si>
    <t>Receivables for subscribed share capital</t>
  </si>
  <si>
    <t>Share premium</t>
  </si>
  <si>
    <t>Other capital funds</t>
  </si>
  <si>
    <t>Legal reserve fund (non-distributable fund) from capital contributions</t>
  </si>
  <si>
    <t>Revaluation reserve for mergers and de-mergers</t>
  </si>
  <si>
    <t>Retained earnings from previous years</t>
  </si>
  <si>
    <t>Accumulated loss from previous years</t>
  </si>
  <si>
    <t>Profit or loss for current accounting period</t>
  </si>
  <si>
    <t>Short-term bank loans</t>
  </si>
  <si>
    <t>Zaúčtovaná  ako náklad</t>
  </si>
  <si>
    <t>Recognised in expenses</t>
  </si>
  <si>
    <t>Value of object of the pledge</t>
  </si>
  <si>
    <t>Impact of non-disclosed deferred tax asset</t>
  </si>
  <si>
    <t>b)   Non-current tangible assets</t>
  </si>
  <si>
    <t>Informácie o záväzkoch zo sociálneho fondu</t>
  </si>
  <si>
    <t>Information on liabilities from social fund:</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</si>
  <si>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</si>
  <si>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</si>
  <si>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</si>
  <si>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</si>
  <si>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</si>
  <si>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</si>
  <si>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</si>
  <si>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</si>
  <si>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</si>
  <si>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</si>
  <si>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</si>
  <si>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</si>
  <si>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</si>
  <si>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</si>
  <si>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</si>
  <si>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</si>
  <si>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Furniture and fixtures</t>
  </si>
  <si>
    <t>Liabilities overdue</t>
  </si>
  <si>
    <t>Equity Items</t>
  </si>
  <si>
    <t>Pledged non-current tangible assets</t>
  </si>
  <si>
    <t>Property insurance</t>
  </si>
  <si>
    <t>Information on inventory pledges as security or inventory that is not at the entity’s full disposal:</t>
  </si>
  <si>
    <t>Pohľadávky sa oceňujú menovitou hodnotou. Postúpené pohľadávky a pohľadávky nadobudnuté vkladom do základného imania sa oceňujú obstarávacou cenou. Ocenenie pochybných pohľadávok sa upravuje na ich realizovateľnú  hodnotu  opravnými  položkami.</t>
  </si>
  <si>
    <t>Výsledok hospodárenia z bežnej činnosti pred zdanením daňou z príjmov (+/-)</t>
  </si>
  <si>
    <t>Nepeňažné operácie ovplyvňujúce výsledok hospodárenia z bežnej činnosti pred zdanením daňou z príjmov (súčet A.1.1. až A.1.13)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</si>
  <si>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</si>
  <si>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</si>
  <si>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</si>
  <si>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dlhodobých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</si>
  <si>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</si>
  <si>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</si>
  <si>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</si>
  <si>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</si>
  <si>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</si>
  <si>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</si>
  <si>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</si>
  <si>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</si>
  <si>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</si>
  <si>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</si>
  <si>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</si>
  <si>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</si>
  <si>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</si>
  <si>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</si>
  <si>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</si>
  <si>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Prijaté úroky s výnimkou tých, ktoré sa začleňujú do investičnej činnosti (+)</t>
  </si>
  <si>
    <t>Výdavky na zaplatené úroky s výnimkou tých, ktoré sa začleňujú do finančnej činnosti (-)</t>
  </si>
  <si>
    <t>Príjmy z dividend a iných podielov na zisku (+)</t>
  </si>
  <si>
    <t>Výdavky na vyplatené dividendy a iné podiely na zisku s výnimkou tých, ktoré sa začleňujú do investičnej činnosti (-)</t>
  </si>
  <si>
    <t>Peňažné toky z prevádzkovej činnosti (+/-) (súčet Z/S + A.1. až A.6.)</t>
  </si>
  <si>
    <t>Výdavky na daň z príjmov účtovnej jednotky s výnimkou tých, ktoré sa začleňujú do investičných činností alebo finančných činností (-/+)</t>
  </si>
  <si>
    <t>Príjmy mimoriadneho charakteru vzťahujúce sa na prevádzkovú činnosť (+)</t>
  </si>
  <si>
    <t>Výdavky mimoriadneho charakteru vzťahujúce sa na prevádzkovú činnosť (-)</t>
  </si>
  <si>
    <t>Čisté peňažné toky z prevádzkovej činnosti (+/-) (súčet Z/S + A.1. až A.9.)</t>
  </si>
  <si>
    <t>B.20.</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</si>
  <si>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</si>
  <si>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</si>
  <si>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</si>
  <si>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</si>
  <si>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</si>
  <si>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</si>
  <si>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</si>
  <si>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</si>
  <si>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</si>
  <si>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</si>
  <si>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</si>
  <si>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Príjmy z prenájmu súboru hnuteľného a nehnuteľného majetku používaného a odpisovaného nájomcom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</si>
  <si>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</si>
  <si>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</si>
  <si>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</si>
  <si>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</si>
  <si>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</si>
  <si>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</si>
  <si>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</si>
  <si>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</si>
  <si>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</si>
  <si>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B.1. až B.20.)</t>
  </si>
  <si>
    <t>C.2.10.</t>
  </si>
  <si>
    <t>Peňažné toky z finančnej činnosti</t>
  </si>
  <si>
    <t>Peňažné toky vo vlastnom imaní (súčet C.1.1. až C.1.8.)</t>
  </si>
  <si>
    <t>Príjmy z upísaných akcií a obchodných podielov (+)</t>
  </si>
  <si>
    <t>Príjmy z ďalších vkladov do vlastného imania spoločníkmi alebo fyzickou osobou, ktorá je účtovnou jednotkou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</si>
  <si>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</si>
  <si>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</si>
  <si>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</si>
  <si>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</si>
  <si>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</si>
  <si>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</si>
  <si>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</si>
  <si>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</si>
  <si>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</si>
  <si>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</si>
  <si>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</si>
  <si>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</si>
  <si>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</si>
  <si>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</si>
  <si>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Výdavky na úhradu záväzkov za prenájom súboru hnuteľného majetku a nehnuteľného majetku používaného a odpisovaného nájomcom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</si>
  <si>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</si>
  <si>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</si>
  <si>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</si>
  <si>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</si>
  <si>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</si>
  <si>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</si>
  <si>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</si>
  <si>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</si>
  <si>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</si>
  <si>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</si>
  <si>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</si>
  <si>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</si>
  <si>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</si>
  <si>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</si>
  <si>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Descri-ption</t>
  </si>
  <si>
    <t>Actual amount in EUR</t>
  </si>
  <si>
    <t>Current acc.</t>
  </si>
  <si>
    <t>Previous acc.</t>
  </si>
  <si>
    <t>Cash flows from operating activities</t>
  </si>
  <si>
    <t>Profit/loss from ordinary activities before taxation (+/-)</t>
  </si>
  <si>
    <t>Depreciation of intangible and tangible fixed assets (+)</t>
  </si>
  <si>
    <t>Net book value of intangible and tangible fixed assets recorded after disposal of such assets and charged to expenses for ordinary activities except for the sale (+)</t>
  </si>
  <si>
    <r>
      <t>Write-off of the provisions for acquired assets</t>
    </r>
    <r>
      <rPr>
        <vertAlign val="superscript"/>
        <sz val="14"/>
        <rFont val="Arial"/>
        <family val="2"/>
        <charset val="238"/>
      </rPr>
      <t xml:space="preserve"> </t>
    </r>
    <r>
      <rPr>
        <sz val="14"/>
        <rFont val="Arial"/>
        <family val="2"/>
        <charset val="238"/>
      </rPr>
      <t>(+/-)</t>
    </r>
  </si>
  <si>
    <t>Change in long-term provisions for liabilities (+/-)</t>
  </si>
  <si>
    <t>Change in provisions for assets (+/-)</t>
  </si>
  <si>
    <t>Change in expense and revenues accruals (+/-)</t>
  </si>
  <si>
    <t>Dividends and other profit sharing charged to revenues (-)</t>
  </si>
  <si>
    <t>Interest expense (+)</t>
  </si>
  <si>
    <t>Interest income (-)</t>
  </si>
  <si>
    <t>Foreign exchange gains from cash and cash equivalents at the balance sheet date (-)</t>
  </si>
  <si>
    <t>Foreign exchange losses from cash and cash equivalents at the balance sheet date (+)</t>
  </si>
  <si>
    <t>A.1.12</t>
  </si>
  <si>
    <r>
      <t>Profit/loss on sale of fixed assets except for those considered cash equivalents</t>
    </r>
    <r>
      <rPr>
        <vertAlign val="superscript"/>
        <sz val="14"/>
        <rFont val="Arial"/>
        <family val="2"/>
        <charset val="238"/>
      </rPr>
      <t xml:space="preserve"> </t>
    </r>
    <r>
      <rPr>
        <sz val="14"/>
        <rFont val="Arial"/>
        <family val="2"/>
        <charset val="238"/>
      </rPr>
      <t>(+/-)</t>
    </r>
  </si>
  <si>
    <t>A.1.13</t>
  </si>
  <si>
    <t>Other items of non-cash nature which effect profit/loss from ordinary activities except for those which are listed separately in other sections of the cash flow statement (+/-)</t>
  </si>
  <si>
    <t>Effect of changes in working capital (the difference between current assets and current liabilities excluding current asset items which are part of cash and cash equivalents) on profit/loss from ordinary activities</t>
  </si>
  <si>
    <t>Change in receivables from operations (-/+)</t>
  </si>
  <si>
    <t>Change in payables from operations(+/-)</t>
  </si>
  <si>
    <t>Change in inventories (-/+)</t>
  </si>
  <si>
    <t xml:space="preserve">Change in current financial assets except for those included in cash and cash equivalents (-/+) </t>
  </si>
  <si>
    <t>Cash flow from operating activities except for income and expenditure which are listed separately in other sections of the cash flow statement (+/-), (sum of Z/S + A.1.+ A.2.)</t>
  </si>
  <si>
    <t>Interest received except for that included in investment activities (+)</t>
  </si>
  <si>
    <t>Interest paid except for that included in financing activities (-)</t>
  </si>
  <si>
    <t>Dividends and other profit sharing received (+)</t>
  </si>
  <si>
    <t>Dividends and other profit sharing paid except for those included in investment activities (-)</t>
  </si>
  <si>
    <t xml:space="preserve">Cash flow from operating activities (+/-) (sum of Z/S + A.1. to A.6.) </t>
  </si>
  <si>
    <t xml:space="preserve">Income tax paid except for that included in investment or financing activities (-/+)
</t>
  </si>
  <si>
    <t>Extraordinary income related to operations (+)</t>
  </si>
  <si>
    <t>Extraordinary expenditure related to operations (-)</t>
  </si>
  <si>
    <t>Net cash flow from operating activities (+/-) (sum of Z/S + A.1. to A.9.)</t>
  </si>
  <si>
    <t>Cash flow from investment activities</t>
  </si>
  <si>
    <t>Expenditure for acquisition of intangible fixed assets (-)</t>
  </si>
  <si>
    <t>Expenditure for acquisition of tangible fixed assets (-)</t>
  </si>
  <si>
    <t>Expenditure for acquisition of long-term securities and shares in other entities except for securities which are considered cash equivalents and securities available for sale or trading securities (-)</t>
  </si>
  <si>
    <t>Income on sale of intangible fixed assets (+)</t>
  </si>
  <si>
    <t>Income on sale of tangible fixed assets (+)</t>
  </si>
  <si>
    <t>Income on sale of long-term securities and shares in other entities except for securities which are considered cash equivalents and securities available for sale or trading securities (+)</t>
  </si>
  <si>
    <t>Expenditure for non-current borrowings provided by the entity to another entity that is a member of the consolidation group (-)</t>
  </si>
  <si>
    <t>B.8.</t>
  </si>
  <si>
    <t>Income on the repayment of non-current borrowings provided by the entity to another entity that is a member of the consolidation group (+)</t>
  </si>
  <si>
    <t>Expenditure for non-current borrowings provided by the entity to third parties except for non-current borrowings provided to the entity that is included in the consolidation group (-)</t>
  </si>
  <si>
    <t>B.11.</t>
  </si>
  <si>
    <t>Income on lease of complex movable and immovable assets used and depreciated by the lessee (+)</t>
  </si>
  <si>
    <t>Interest received except for that included in operating activities (+)</t>
  </si>
  <si>
    <t>Dividends and other profit sharing received except for those included in operating activities (+)</t>
  </si>
  <si>
    <t>Expenditures related to derivatives except for those which are available for sale or trading, or are considered cash flow from financing activities (-)</t>
  </si>
  <si>
    <t>Income related to derivatives except for those which are available for sale or trading, or are considered cash flow from financing activities (-)</t>
  </si>
  <si>
    <t>Income tax paid where includable in investment activity (-)</t>
  </si>
  <si>
    <t>Extraordinary income related to investment activity (+)</t>
  </si>
  <si>
    <t>Extraordinary expenditures related to investment activity (-)</t>
  </si>
  <si>
    <t>Other income related to investment activity (+)</t>
  </si>
  <si>
    <t>Other expenditures related to investment activity (-)</t>
  </si>
  <si>
    <t>Net cash flow from investment activities (sum of B.1. to B.20.)</t>
  </si>
  <si>
    <t>Cash flows from financing activities</t>
  </si>
  <si>
    <t>Cash flows in equity (sum of C.1.1. to C.1.8.)</t>
  </si>
  <si>
    <t>Income on shares subscribed and ownership interests (+)</t>
  </si>
  <si>
    <t>Income on other capital stakes owned by partners or individuals (+)</t>
  </si>
  <si>
    <t>Monetary gifts received (+)</t>
  </si>
  <si>
    <t>Income on loss settlement by partners (+)</t>
  </si>
  <si>
    <t>C.1.5.</t>
  </si>
  <si>
    <t>Expenditure for acquisition or repurchase of own shares and own ownership interests (-)</t>
  </si>
  <si>
    <t>Expenditure relating to decrease of funds created by the entity (-)</t>
  </si>
  <si>
    <t>Expenditure for repayment of capital stakes to entity's partners and individuals (-)</t>
  </si>
  <si>
    <t>Any other expenditure that relates to a decrease in equity (-)</t>
  </si>
  <si>
    <t>Cash flows arising from long-term and short-term payables from  financing activities</t>
  </si>
  <si>
    <t>Income on issue of debt securities (+)</t>
  </si>
  <si>
    <t>Repayment of payables from debt securities (-)</t>
  </si>
  <si>
    <t>Income on loans from banks except for those provided for main business activities (+)</t>
  </si>
  <si>
    <t>Repayment of loans from banks except for those provided for main business activities (-)</t>
  </si>
  <si>
    <t>Income on borrowings received (+)</t>
  </si>
  <si>
    <t>Repayment of borrowings(-)</t>
  </si>
  <si>
    <t>Repayment of payables from assets subject to a leased assets purchase contract (-)</t>
  </si>
  <si>
    <t>Repayment of payables arising from the lease of complex, movable and immovable assets used and depreciated by a lessee (-)</t>
  </si>
  <si>
    <t>Income on other long-term and short-term payables resulting from financing activities of the entity except for those which are listed separately in other sections of the cash flow statement (+)</t>
  </si>
  <si>
    <t>Repayment of other long-term and short-term payables resulting from financing activities of the entity except for those which are listed separately in other sections of the cash flow statement (-)</t>
  </si>
  <si>
    <t>Interest paid except for that included in operating activities (-)</t>
  </si>
  <si>
    <t>Dividends paid and other profit sharing except for those included in operating activities (-)</t>
  </si>
  <si>
    <t>Expenditures related to derivatives except for those which are available for sale or trading, or are considered cash flow from investment activities (-)</t>
  </si>
  <si>
    <t>Income related to derivatives except for those which are available for sale or trading, or are considered cash flow from investment activities (+)</t>
  </si>
  <si>
    <t>Income tax paid where includable in financing activities (-)</t>
  </si>
  <si>
    <t>Extraordinary income related to financing activities (+)</t>
  </si>
  <si>
    <t>Extraordinary expenditures related to financing activities (-)</t>
  </si>
  <si>
    <t>Net cash flows from financing activities</t>
  </si>
  <si>
    <t>Net increase or net decrease of cash and cash equivalents (+/-) (aggregate A+B+C)</t>
  </si>
  <si>
    <t>Cash and cash equivalents at the beginning of the accounting period</t>
  </si>
  <si>
    <t>Cash and cash equivalents at the end of the accounting period before foreign exchange gains/losses calculated at the balance sheet date</t>
  </si>
  <si>
    <t>Foreign exchange gains/losses for cash and cash equivalents at the balance sheet date (+/-)</t>
  </si>
  <si>
    <t>Cash and cash equivalents at the end of the accounting period adjusted for foreign exchange gains/losses calculated at the balance sheet date (+/-)</t>
  </si>
  <si>
    <t>Ozna-čenie</t>
  </si>
  <si>
    <t>Skutočnosť v EUR</t>
  </si>
  <si>
    <t>Bežné účtovné</t>
  </si>
  <si>
    <t>Minulé účtovné</t>
  </si>
  <si>
    <t>Peňažné toky z prevádzkovej činnosti</t>
  </si>
  <si>
    <t>Income on the repayment of non-current borrowings provided by the entity to third parties (+)</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</si>
  <si>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</si>
  <si>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</si>
  <si>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</si>
  <si>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</si>
  <si>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</si>
  <si>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</si>
  <si>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</si>
  <si>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</si>
  <si>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</si>
  <si>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</si>
  <si>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ÚČTOVNÁ ZÁVIERKA</t>
  </si>
  <si>
    <t>podnikateľov v podvojnom účtovníctve</t>
  </si>
  <si>
    <t>zostavená k</t>
  </si>
  <si>
    <t>Účtovná jednotka</t>
  </si>
  <si>
    <t>malá</t>
  </si>
  <si>
    <t>veľká</t>
  </si>
  <si>
    <t>Priložené súčasti účtovnej závierky</t>
  </si>
  <si>
    <t>Súvaha (Úč POD 1-01)</t>
  </si>
  <si>
    <t>Výkaz ziskov a strát (Úč POD 2-01)</t>
  </si>
  <si>
    <t>Poznámky (Úč POD 3-01)</t>
  </si>
  <si>
    <t>(v celých eurách alebo eurocentoch)</t>
  </si>
  <si>
    <t>Accounting entity size:</t>
  </si>
  <si>
    <t>large</t>
  </si>
  <si>
    <t>small</t>
  </si>
  <si>
    <t>Financial statements contain :</t>
  </si>
  <si>
    <t>Income statement</t>
  </si>
  <si>
    <t>Notes</t>
  </si>
  <si>
    <t>Podpisový záznam štatutárneho orgánu účtovnej jednotky alebo člena štatutárneho orgánu účtovnej jednotky alebo podpisový záznam fyzickej osoby, ktorá je účtovnou jednotkou:</t>
  </si>
  <si>
    <t>Označenie obchodného registra a číslo zápisu obchodnej spoločnosti</t>
  </si>
  <si>
    <t>Statutory representative</t>
  </si>
  <si>
    <t xml:space="preserve">or natural person </t>
  </si>
  <si>
    <t xml:space="preserve">Commercial registry </t>
  </si>
  <si>
    <t xml:space="preserve">designation and </t>
  </si>
  <si>
    <t>registration number</t>
  </si>
  <si>
    <t>Telefónne číslo</t>
  </si>
  <si>
    <t>Faxové číslo</t>
  </si>
  <si>
    <t>Other entities</t>
  </si>
  <si>
    <t>Other non-current intangible assets (019, 01X) - /079, 07X, 091A
07X, 091A/</t>
  </si>
  <si>
    <t>Listed entities</t>
  </si>
  <si>
    <t>Other non-current tangible assets (029, 02X, 032) -/089, 08X, 092A
/089, 08X, 092A/</t>
  </si>
  <si>
    <t xml:space="preserve">Non-current financial assets  total (l. 022 to 032) </t>
  </si>
  <si>
    <t>Entity type:</t>
  </si>
  <si>
    <t xml:space="preserve">Listed entities, entities in regulated industries and other PIEs </t>
  </si>
  <si>
    <t>Other non-current investments (063A) - 096A</t>
  </si>
  <si>
    <t xml:space="preserve">Other entities including statutory audits of subsidiaries </t>
  </si>
  <si>
    <t>Other loans (067A) - /096A</t>
  </si>
  <si>
    <t>Debentures and other non-current financial assets (065A, 069A, 06XA) -/096A/</t>
  </si>
  <si>
    <t>Loans and other non-current financial assets with maturity up to one year (066A, 067A, 069A, 06XA)
- /096A/</t>
  </si>
  <si>
    <t>Current assets l. 034 + l. 041 + l. 053 + l. 066 + l. 071
+ l. 046 + l. 055</t>
  </si>
  <si>
    <t>Inventory total (l. 035 to 040)</t>
  </si>
  <si>
    <t>Merchandise (132,133,13X,139) -/196,19X/
- /196, 19X/</t>
  </si>
  <si>
    <t>Long-term receivables total (l. 042 + l. 046 to 052)</t>
  </si>
  <si>
    <t>Trade receivables (l. 043 to 045)</t>
  </si>
  <si>
    <t>1.a.</t>
  </si>
  <si>
    <t>1.b.</t>
  </si>
  <si>
    <t>1.c.</t>
  </si>
  <si>
    <t>Other trade receivables (311A,312A,313A,314A,315A,31XA) - /391A/</t>
  </si>
  <si>
    <t>Receivables from derivative operations (373A,376A)</t>
  </si>
  <si>
    <t>Other receivables (335A, 336A, 33XA, 371A, 374A, 375A, 378A) - 391A</t>
  </si>
  <si>
    <t>Short-term receivables  total (l. 054 + l. 058 to 065)</t>
  </si>
  <si>
    <t>Trade receivables (l. 055 to 057)</t>
  </si>
  <si>
    <t>Social security receivables (336A) - 391A</t>
  </si>
  <si>
    <t>Tax receivables and subsidies (341, 342, 343, 345, 346, 347) - 391A</t>
  </si>
  <si>
    <t>Other receivables (335A, 33XA, 371A, 374A, 375A, 378A) - 391A</t>
  </si>
  <si>
    <t>Current financial assets total (l. 067 to 070)</t>
  </si>
  <si>
    <t>Own shares and interests (252)</t>
  </si>
  <si>
    <t>Short-term financial assets under construction (259, 314A) - /291A/</t>
  </si>
  <si>
    <t>Financial assets total (l. 072 to 073)</t>
  </si>
  <si>
    <t>Accruals and prepayments  total l. 075 and 078</t>
  </si>
  <si>
    <t>Control number  (lines 001-078)</t>
  </si>
  <si>
    <t>SHAREHOLDERS' EQUITY AND LIABILITIES TOTAL l. 080 + l. 101 + l. 141</t>
  </si>
  <si>
    <t>Shareholders' equity l. 081+ 085+ 086 + 087+ 090 + l. 093 + l. 097 +  l. 100</t>
  </si>
  <si>
    <t>Registered capital total (l. 082 to 084)</t>
  </si>
  <si>
    <t>Legal reserve funds l. 088 + l. 089</t>
  </si>
  <si>
    <t>Legal reserve fund  and non-distributable fund (417A, 418, 421A, 422)</t>
  </si>
  <si>
    <t>Reserve fund on own shares and interests (417A, 421A)</t>
  </si>
  <si>
    <t>Funds created from profit total (l. 091 + l. 092)</t>
  </si>
  <si>
    <t>A.V.1.</t>
  </si>
  <si>
    <t>Statutory funds (423, 42X)</t>
  </si>
  <si>
    <t>Other funds (427, 42X)</t>
  </si>
  <si>
    <t>A.VI.</t>
  </si>
  <si>
    <t>Revaluation reserves total (l. 094 to l. 096)</t>
  </si>
  <si>
    <t>A.VI.1.</t>
  </si>
  <si>
    <t>Revaluation reserve from valuation of assets and liabilities (+/- 414)</t>
  </si>
  <si>
    <t>A.VII.</t>
  </si>
  <si>
    <t>Retained earnings l. 098+ 099</t>
  </si>
  <si>
    <t>A.VII.1.</t>
  </si>
  <si>
    <t>A.VIII.</t>
  </si>
  <si>
    <t>Profit or loss from current period /+-/ l. 001 - (081 + 085 + 086 + 087 + 090 + 093 + 097 + 101 + 141)</t>
  </si>
  <si>
    <t>Liabilities l. 102 + 118 + 121 + 122 + 136 + 139 + 140</t>
  </si>
  <si>
    <t>Non-current liabilities total (l. 103 + l. 107 to 117)</t>
  </si>
  <si>
    <t>Non-current trade liabilities total (l. 104 to 106)</t>
  </si>
  <si>
    <t>Other trade payables (321A, 475A, 476A)</t>
  </si>
  <si>
    <t>Other long-term liabilities (479A, 47XA)</t>
  </si>
  <si>
    <t>Other non-current liabilities (336A, 372A, 474A, 47XA)</t>
  </si>
  <si>
    <t>Long-term liabilities from derivative operations (373A, 377A)</t>
  </si>
  <si>
    <t>12.</t>
  </si>
  <si>
    <t>Non-current provisions total (l. 119 to 120)</t>
  </si>
  <si>
    <t>Current liabilities  total (l. 123 + l. 127 to l. 135)</t>
  </si>
  <si>
    <t>Current trade payables (l. 124 to l. 126)</t>
  </si>
  <si>
    <t>Other trade payables (321A, 322A, 324A, 325A, 326A, 32XA, 475A, 476A, 478A, 47XA)</t>
  </si>
  <si>
    <t>126</t>
  </si>
  <si>
    <t>127</t>
  </si>
  <si>
    <t>128</t>
  </si>
  <si>
    <t>129</t>
  </si>
  <si>
    <t>130</t>
  </si>
  <si>
    <t>131</t>
  </si>
  <si>
    <t>Social security payables (336A)</t>
  </si>
  <si>
    <t>132</t>
  </si>
  <si>
    <t>133</t>
  </si>
  <si>
    <t>Payables from derivative operations (373A, 377A)</t>
  </si>
  <si>
    <t>134</t>
  </si>
  <si>
    <t>Other short-term liabilities (372A, 379A, 474A, 475A, 479A, 47XA)</t>
  </si>
  <si>
    <t>135</t>
  </si>
  <si>
    <t>Current provisions total (l. 137 + l. 138)</t>
  </si>
  <si>
    <t>136</t>
  </si>
  <si>
    <t>137</t>
  </si>
  <si>
    <t>138</t>
  </si>
  <si>
    <t>B.VI.</t>
  </si>
  <si>
    <t>139</t>
  </si>
  <si>
    <t>B.VII.</t>
  </si>
  <si>
    <t>140</t>
  </si>
  <si>
    <t>Accruals and deferred income - total (l. 142 to 145)</t>
  </si>
  <si>
    <t>141</t>
  </si>
  <si>
    <t>142</t>
  </si>
  <si>
    <t>143</t>
  </si>
  <si>
    <t>144</t>
  </si>
  <si>
    <t>145</t>
  </si>
  <si>
    <t>Control number  (lines 079-145)</t>
  </si>
  <si>
    <t>Net turnover (part of acc. group 6 as defined by the law)</t>
  </si>
  <si>
    <t>Revenues from operating activities total (l. 03 to l. 09)</t>
  </si>
  <si>
    <t>II.</t>
  </si>
  <si>
    <t>Revenues from own products (601)</t>
  </si>
  <si>
    <t>III.</t>
  </si>
  <si>
    <t>Revenues from services (602, 606)</t>
  </si>
  <si>
    <t>IV.</t>
  </si>
  <si>
    <t>VI.</t>
  </si>
  <si>
    <t>VII.</t>
  </si>
  <si>
    <t>Operating expenses total (l. 11 + l. 12 + l. 13 + l. 14 + l. 15 + l. 20 + l. 21 + l. 24 + l. 25 + l. 26)</t>
  </si>
  <si>
    <t>Costs of merchandise sold (504, 507)</t>
  </si>
  <si>
    <t>Material and energy consumption and other unstorable supplies (501, 502, 503)</t>
  </si>
  <si>
    <t>Allowances to inventories (+/-) (505)</t>
  </si>
  <si>
    <t>E.1.</t>
  </si>
  <si>
    <t>Depreciation of and provisions to non-current tangible and intangible assets (l. 22 + l. 23)</t>
  </si>
  <si>
    <t>G.1</t>
  </si>
  <si>
    <t>Depreciation of non-current tangible and intangible assets (551)</t>
  </si>
  <si>
    <t>Provisions to non-current tangible and intangible assets (+/-) (553)</t>
  </si>
  <si>
    <t>Profit or loss from operating activities (+/-) (l.02 - l. 10)</t>
  </si>
  <si>
    <t>Added value (l. 03 + l. 04 + l. 05 + l. 06 + l. 07) - (l.11 + l. 12 +l. 13 + l. 14)</t>
  </si>
  <si>
    <t>Revenues from financial activities l.30 + l. 31 + l. 35 + l. 39 + l. 42 + l. 43 + l. 44</t>
  </si>
  <si>
    <t>VIII.</t>
  </si>
  <si>
    <t>IX.</t>
  </si>
  <si>
    <t>Revenues from non-current financial assets (l. 32 to l. 34)</t>
  </si>
  <si>
    <t>IX.1.</t>
  </si>
  <si>
    <t>X.</t>
  </si>
  <si>
    <t>Income from short-term financial assets (l. 36 to l. 38)</t>
  </si>
  <si>
    <t>X.1</t>
  </si>
  <si>
    <t>Income from other current financial assets (666A)</t>
  </si>
  <si>
    <t>XI.</t>
  </si>
  <si>
    <t>Interest income (l. 40 + l. 41)</t>
  </si>
  <si>
    <t>XI.1</t>
  </si>
  <si>
    <t>Other interest income (662A)</t>
  </si>
  <si>
    <t>XII.</t>
  </si>
  <si>
    <t>XIII.</t>
  </si>
  <si>
    <t>XIV.</t>
  </si>
  <si>
    <t>Financial expenses total (l. 46 + l. 47 + l. 48 + l. 49 + l. 52 + l. 53 + l. 54)</t>
  </si>
  <si>
    <t>Creation and release of provisions to financial assets (+/-) (565)</t>
  </si>
  <si>
    <t>Interest expense (l. 50 + l. 51)</t>
  </si>
  <si>
    <t>N.1.</t>
  </si>
  <si>
    <t>Other interest expense (562A)</t>
  </si>
  <si>
    <t>Q.</t>
  </si>
  <si>
    <t>Profit/(loss) from financial activities (+/-) (l. 29 - l. 45)</t>
  </si>
  <si>
    <t>****</t>
  </si>
  <si>
    <t>Profit/(loss) for the period before tax (+/-) (l. 27 + l. 55)</t>
  </si>
  <si>
    <t>R</t>
  </si>
  <si>
    <t>Tax on income (l. 58 + l. 59)</t>
  </si>
  <si>
    <t>R.1</t>
  </si>
  <si>
    <t>- deferred (+/-) (592)</t>
  </si>
  <si>
    <t>Profit/(loss) share transferred to owners' account (+/- 596)</t>
  </si>
  <si>
    <t xml:space="preserve">Net profit/(loss) for the period after tax  (+/-) (l. 56 - l. 57 - l. 60)           </t>
  </si>
  <si>
    <t xml:space="preserve">Profit and Loss account for period ended </t>
  </si>
  <si>
    <t>UZPODv14_2</t>
  </si>
  <si>
    <t xml:space="preserve">Súvaha
Úč POD 1 - 01
</t>
  </si>
  <si>
    <t>SPOLU MAJETOK
r. 02 + r. 33 + r. 74</t>
  </si>
  <si>
    <t>Neobežný majetok r. 03 + r. 11 + r. 21</t>
  </si>
  <si>
    <t>Dlhodobý nehmotný majetok súčet (r. 04 až r. 10)</t>
  </si>
  <si>
    <t>SPOLU MAJETOK r. 02 + r. 33 + r. 74</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</si>
  <si>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</si>
  <si>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</si>
  <si>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</si>
  <si>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</si>
  <si>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</si>
  <si>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</si>
  <si>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Poskytnuté preddavky na dlhodobý
nehmotný majetok
(051) - /095A/</t>
  </si>
  <si>
    <t>Dlhodobý hmotný majetok súčet (r. 12 až
r. 20)</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</si>
  <si>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</si>
  <si>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</si>
  <si>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</si>
  <si>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</si>
  <si>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-/089, 08X, 092A/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</si>
  <si>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</si>
  <si>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</si>
  <si>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</si>
  <si>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</si>
  <si>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</si>
  <si>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</si>
  <si>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</si>
  <si>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</si>
  <si>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</si>
  <si>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</si>
  <si>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</si>
  <si>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</si>
  <si>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</si>
  <si>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 xml:space="preserve">Obežný majetok r. 34 + r. 41 + r. 53 + r. 66 + r. 71 </t>
  </si>
  <si>
    <t>Zásoby súčet (r. 35 až r. 40)</t>
  </si>
  <si>
    <t>Materiál (112, 119, 11X) - /191, 19X/</t>
  </si>
  <si>
    <t>Nedokončená výroba a polotovary vlastnej výroby (121, 122, 12X)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</si>
  <si>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</si>
  <si>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</si>
  <si>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</si>
  <si>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</si>
  <si>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</si>
  <si>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</si>
  <si>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</si>
  <si>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</si>
  <si>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</si>
  <si>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</si>
  <si>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</si>
  <si>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</si>
  <si>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</si>
  <si>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</si>
  <si>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</si>
  <si>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</si>
  <si>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 xml:space="preserve">Pohľadávky z obchodného styku súčet (r. 55 až r. 57) </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</si>
  <si>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</si>
  <si>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</si>
  <si>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</si>
  <si>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</si>
  <si>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</si>
  <si>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</si>
  <si>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</si>
  <si>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</si>
  <si>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</si>
  <si>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</si>
  <si>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</si>
  <si>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</si>
  <si>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</si>
  <si>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Finančné účty r. 72 + r. 73</t>
  </si>
  <si>
    <t>Peniaze (211, 213, 21X)</t>
  </si>
  <si>
    <t>Účty v bankách (221A, 22X, +/- 261)</t>
  </si>
  <si>
    <t>Časové rozlíšenie súčet (r. 75 až r. 78)</t>
  </si>
  <si>
    <t>Náklady budúcich období dlhodobé (381A, 382A)</t>
  </si>
  <si>
    <t>Náklady budúcich období krátkodobé (381A, 382A)</t>
  </si>
  <si>
    <t>Príjmy budúcich období dlhodobé (385A)</t>
  </si>
  <si>
    <t>Príjmy budúcich období krátkodobé (385A)</t>
  </si>
  <si>
    <t>SPOLU VLASTNÉ IMANIE A ZÁVÄZKY r. 80 + r. 101 + r. 141</t>
  </si>
  <si>
    <t>Vlastné imanie r. 81 + r. 85 + r. 86 + r. 87 + r. 90 + r. 93 + r. 97 + r. 100</t>
  </si>
  <si>
    <t>Základné imanie súčet (r. 82 až r. 84)</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</si>
  <si>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</si>
  <si>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</si>
  <si>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</si>
  <si>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</si>
  <si>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</si>
  <si>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</si>
  <si>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</si>
  <si>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</si>
  <si>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</si>
  <si>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Výsledok hospodárenia minulých rokov r. 98 + r. 99</t>
  </si>
  <si>
    <t xml:space="preserve">Nerozdelený zisk minulých rokov (428) </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</si>
  <si>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</si>
  <si>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</si>
  <si>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</si>
  <si>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</si>
  <si>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</si>
  <si>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</si>
  <si>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</si>
  <si>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</si>
  <si>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</si>
  <si>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</si>
  <si>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</si>
  <si>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</si>
  <si>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</si>
  <si>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</si>
  <si>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</si>
  <si>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</si>
  <si>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</si>
  <si>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</si>
  <si>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</si>
  <si>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</si>
  <si>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</si>
  <si>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</si>
  <si>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</si>
  <si>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</si>
  <si>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</si>
  <si>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</si>
  <si>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</si>
  <si>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</si>
  <si>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</si>
  <si>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</si>
  <si>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</si>
  <si>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</si>
  <si>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</si>
  <si>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</si>
  <si>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</si>
  <si>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</si>
  <si>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</si>
  <si>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</si>
  <si>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</si>
  <si>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</si>
  <si>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</si>
  <si>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</si>
  <si>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</si>
  <si>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</si>
  <si>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</si>
  <si>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</si>
  <si>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</si>
  <si>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</si>
  <si>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</si>
  <si>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</si>
  <si>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</si>
  <si>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</si>
  <si>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</si>
  <si>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</si>
  <si>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</si>
  <si>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</si>
  <si>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</si>
  <si>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</si>
  <si>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</si>
  <si>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</si>
  <si>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</si>
  <si>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</si>
  <si>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</si>
  <si>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</si>
  <si>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</si>
  <si>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</si>
  <si>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</si>
  <si>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</si>
  <si>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</si>
  <si>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</si>
  <si>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</si>
  <si>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</si>
  <si>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</si>
  <si>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</si>
  <si>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</si>
  <si>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</si>
  <si>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</si>
  <si>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</si>
  <si>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</si>
  <si>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</si>
  <si>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</si>
  <si>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</si>
  <si>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</si>
  <si>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</si>
  <si>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</si>
  <si>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</si>
  <si>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</si>
  <si>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</si>
  <si>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 xml:space="preserve">Výkaz ziskov a strát
Úč POD 2 - 01
</t>
  </si>
  <si>
    <t>Accounting unit</t>
  </si>
  <si>
    <t>Interim</t>
  </si>
  <si>
    <t>Income statement (Úč POD 2-01)</t>
  </si>
  <si>
    <t>Notes (Úč POD 3-01)</t>
  </si>
  <si>
    <t>(in full EUR)</t>
  </si>
  <si>
    <t>(in full EUR or EUR cents)</t>
  </si>
  <si>
    <t>Stat.of financial position (Úč POD 1-01)</t>
  </si>
  <si>
    <t>Indication of the commercial register and registration number of the company</t>
  </si>
  <si>
    <t>Signature of the statutory board or statutory board member or signature of the natural person, which is an accounting entity:</t>
  </si>
  <si>
    <t>Enclosed components of the financial statements</t>
  </si>
  <si>
    <t xml:space="preserve">Balance sheet
Úč POD 1 - 01
</t>
  </si>
  <si>
    <t>TIN</t>
  </si>
  <si>
    <t>ID number</t>
  </si>
  <si>
    <t>Income Statement Úč POD 1 - 01</t>
  </si>
  <si>
    <t xml:space="preserve">Income Statement
Úč POD 2 - 01
</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</si>
  <si>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</si>
  <si>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</si>
  <si>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</si>
  <si>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</si>
  <si>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</si>
  <si>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</si>
  <si>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</si>
  <si>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</si>
  <si>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</si>
  <si>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</si>
  <si>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</si>
  <si>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</si>
  <si>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</si>
  <si>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</si>
  <si>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</si>
  <si>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</si>
  <si>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</si>
  <si>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</si>
  <si>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</si>
  <si>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</si>
  <si>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</si>
  <si>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</si>
  <si>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</si>
  <si>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</si>
  <si>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</si>
  <si>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</si>
  <si>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</si>
  <si>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</si>
  <si>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</si>
  <si>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</si>
  <si>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</si>
  <si>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</si>
  <si>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</si>
  <si>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</si>
  <si>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</si>
  <si>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</si>
  <si>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</si>
  <si>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</si>
  <si>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</si>
  <si>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</si>
  <si>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</si>
  <si>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</si>
  <si>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</si>
  <si>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</si>
  <si>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</si>
  <si>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</si>
  <si>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</si>
  <si>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FINANCIAL STATEMENTS</t>
  </si>
  <si>
    <t>of entrepreneurs in double-entry accounting</t>
  </si>
  <si>
    <t xml:space="preserve">Pozemky (031) - /092A/ </t>
  </si>
  <si>
    <t>Výsledok hospodárenia za účtovné obdobie po zdanení /+-/ r. 01 - (r. 81 + r. 85 + r. 86
+ r. 87 + r. 90 + r. 93 + r. 97 + r. 101 + r. 141)</t>
  </si>
  <si>
    <t xml:space="preserve">Other non-current tangible assets (029, 02X, 032) -/089, 08X, 092A
</t>
  </si>
  <si>
    <t>Obstarávaný dlhodobý hmotný majetok (042) - /094/</t>
  </si>
  <si>
    <t>Poskytnuté preddavky na dlhodobý hmotný majetok (052) - /095A/</t>
  </si>
  <si>
    <t>Dlhové cenné papiere a ostatný dlhodobý finančný majetok (065A, 069A,06XA) - /096A/</t>
  </si>
  <si>
    <t>Pohľadávky voči spoločníkom, členom a združeniu (354A, 355A, 358A, 35XA) - /391A/</t>
  </si>
  <si>
    <t>Trade receivables from connected entitites (311A,312A,313A,314A,315A,31XA) - /391A/</t>
  </si>
  <si>
    <t>Trade receivables within group except for receivables from connected entities (311A,312A,313A,314A,315A,31XA) - /391A/</t>
  </si>
  <si>
    <t xml:space="preserve">§ 2 sa dopĺňa odsekom 8, ktorý znie: </t>
  </si>
  <si>
    <t xml:space="preserve">„(8) Na účely vykazovania v súvahe a vo výkaze ziskov a strát sa rozumie 2 </t>
  </si>
  <si>
    <t xml:space="preserve">a) materskou účtovnou jednotkou účtovná jednotka, ktorá má rozhodujúci vplyv v jednom alebo vo viacerých dcérskych účtovných jednotkách, pričom rozhodujúci vplyv sa posudzuje podľa § 22 ods. 3 zákona, </t>
  </si>
  <si>
    <t xml:space="preserve">b) dcérskou účtovnou jednotkou účtovná jednotka, v ktorej má iná účtovná jednotka rozhodujúci vplyv a to vrátane každej dcérskej účtovnej jednotky konečnej materskej účtovnej jednotky, </t>
  </si>
  <si>
    <t xml:space="preserve">c) skupinou materská účtovná jednotka a všetky jej dcérske účtovné jednotky, </t>
  </si>
  <si>
    <t xml:space="preserve">d) prepojenými účtovnými jednotkami dve alebo viaceré účtovné jednotky v rámci skupiny, </t>
  </si>
  <si>
    <t xml:space="preserve">e) podielovou účasťou existencia aspoň 20% podielu na hlasovacích právach v inej účtovnej jednotke, </t>
  </si>
  <si>
    <t xml:space="preserve">f) pridruženou účtovnou jednotkou účtovná jednotka, v ktorej má podielovú účasť iná účtovná jednotka a táto </t>
  </si>
  <si>
    <t xml:space="preserve">iná účtovná jednotka má podstatný vplyv podľa § 27 ods. 1 písm. a) zákona.“. </t>
  </si>
  <si>
    <t>Investment in connected entities (061A,062A,063A) - 096A</t>
  </si>
  <si>
    <t>Investment in group except for connected entities (062A) - 096A</t>
  </si>
  <si>
    <t>Loans to connected entities (066A) - /096A</t>
  </si>
  <si>
    <t>Loans to  group except for connected entities (066A) - /096A</t>
  </si>
  <si>
    <t>Other receivables from connected entities (351A) - 391A</t>
  </si>
  <si>
    <t>Other receivables from group except from connected entities (351A) - 391A</t>
  </si>
  <si>
    <t>Current financial assets within connected entities (251A,253A,256A,257A,25XA) - /291A, 29XA/</t>
  </si>
  <si>
    <t>Current financial assets outside connected entities (251A,253A,256A,257A,25XA) - /291A, 29XA/</t>
  </si>
  <si>
    <t>Trade payables to connected entities (321A, 475A, 476A)</t>
  </si>
  <si>
    <t>Trade payables to group except for connected entities (321A, 475A, 476A)</t>
  </si>
  <si>
    <t>Other long-term liabilities to connected entities (471A, 47XA)</t>
  </si>
  <si>
    <t>Other long-term liabilities within group except for connected entities (471A, 47XA)</t>
  </si>
  <si>
    <t>Trade payables to connected entities (321A, 322A, 324A, 325A, 326A, 32XA, 475A, 476A, 478A, 47XA)</t>
  </si>
  <si>
    <t>Trade payables to group except for connected entities (321A, 322A, 324A, 325A, 326A, 32XA, 475A, 476A, 478A, 47XA)</t>
  </si>
  <si>
    <t>Payables to connected entities (361A, 36XA, 471A, 47XA)</t>
  </si>
  <si>
    <t>Other liabilities within group except for connected entities (361A, 36XA, 471A, 47XA)</t>
  </si>
  <si>
    <t>Income from investments in connected entities (665A)</t>
  </si>
  <si>
    <t>Income from investments in group except for connected entities (665A)</t>
  </si>
  <si>
    <t>Income from investments in connected entities (666A)</t>
  </si>
  <si>
    <t>Income from investments in group except for connected entities (666A)</t>
  </si>
  <si>
    <t>Interest income from from connected entities (662A)</t>
  </si>
  <si>
    <t>Interest expense to connected entities (562A)</t>
  </si>
  <si>
    <t>Poznámky Úč POD 3 - 01</t>
  </si>
  <si>
    <t>Notes Úč POD 3 - 01</t>
  </si>
  <si>
    <t>TOTAL ASSETS l. 002 + l. 030
+ l. 074</t>
  </si>
  <si>
    <t>Non-current tangible assets  total (l. 012 to l. 020)</t>
  </si>
  <si>
    <t xml:space="preserve">Non-current financial assets  total (l. 022 to l. 032) </t>
  </si>
  <si>
    <t>Loans and other non-current financial assets with maturity up to one year (066A, 067A, 069A, 06XA) - /096A/</t>
  </si>
  <si>
    <t>Current assets l. 034 + l. 041 + l. 053 + l. 066 + l. 071</t>
  </si>
  <si>
    <t>Inventory total (l. 035 to l. 040)</t>
  </si>
  <si>
    <t>Merchandise (132,133,13X,139) -/196,19X/</t>
  </si>
  <si>
    <t>Long-term receivables total (l. 042 + l. 046 to l. 052)</t>
  </si>
  <si>
    <t>Trade receivables (l. 043 to l. 045)</t>
  </si>
  <si>
    <t>Trade receivables from connected entitites (311A, 312A, 313A, 314A, 315A, 31XA) - /391A/</t>
  </si>
  <si>
    <t>Trade receivables within group except for receivables from connected entities (311A, 312A, 313A, 314A, 315A, 31XA) - /391A/</t>
  </si>
  <si>
    <t>Other trade receivables (311A, 312A, 313A, 314A, 315A, 31XA) - /391A/</t>
  </si>
  <si>
    <t>Receivables from derivative operations (373A, 376A)</t>
  </si>
  <si>
    <t>Short-term receivables  total (l. 054 + l. 058 to l. 065)</t>
  </si>
  <si>
    <t>Trade receivables (l. 055 to l. 057)</t>
  </si>
  <si>
    <t>Current financial assets total (l. 067 to l. 070)</t>
  </si>
  <si>
    <t>Current financial assets within connected entities (251A, 253A, 256A, 257A, 25XA) - /291A, 29XA/</t>
  </si>
  <si>
    <t>Current financial assets outside connected entities (251A, 253A, 256A, 257A, 25XA) - /291A, 29XA/</t>
  </si>
  <si>
    <t>Financial assets total (l. 072 to l. 073)</t>
  </si>
  <si>
    <t>Accruals and prepayments  total l. 075 and l. 078</t>
  </si>
  <si>
    <t>Shareholders' equity l. 081+ l. 085+ l. 086 + l. 087+ l. 090 + l. 093 + l. 097 +  l. 100</t>
  </si>
  <si>
    <t>Registered capital total (l. 082 to l. 084)</t>
  </si>
  <si>
    <t>Retained earnings l. 098+ l. 099</t>
  </si>
  <si>
    <t>Profit or loss from current period /+-/ l. 001 - (l. 081 + l. 085 + l. 086 + l. 087 + l. 090 + l. 093 + l. 097 + l. 101 + l. 141)</t>
  </si>
  <si>
    <t>Liabilities l. 102 + l. 118 + l. 121 + l. 122 + l. 136 + l. 139 + l. 140</t>
  </si>
  <si>
    <t>Non-current liabilities total (l. 103 + l. 107 to l. 117)</t>
  </si>
  <si>
    <t>Non-current trade liabilities total (l. 104 to l. 106)</t>
  </si>
  <si>
    <t>Non-current provisions total (l. 119 to l. 120)</t>
  </si>
  <si>
    <t>Other short term provisions (323, 32X, 459A, 45XA)</t>
  </si>
  <si>
    <t>Accruals and deferred income - total (l. 142 to l. 145)</t>
  </si>
  <si>
    <t>Non-current intangible assets  total (l. 004 to l. 010)</t>
  </si>
  <si>
    <t>Unused tax credits and other tax credits available for carry-forwards, which can be offset against taxable profits in future periods.</t>
  </si>
  <si>
    <t>Depreciation of and provisions for non-current tangible and intangible assets (l. 22 + l. 23)</t>
  </si>
  <si>
    <t>Provisions for non-current tangible and intangible assets (+/-) (553)</t>
  </si>
  <si>
    <t>Creation and release of provisions for receivables (+/-547)</t>
  </si>
  <si>
    <t>Creation and release of provisions for financial assets (+/-) (565)</t>
  </si>
  <si>
    <t xml:space="preserve">Own work capitalized (acc. group 62)     </t>
  </si>
  <si>
    <t>Non cash transactions influencing profit/loss from ordinary activities before taxation (sum of A.1.1. to A.1.13) (+/-)</t>
  </si>
  <si>
    <t>31365507</t>
  </si>
  <si>
    <t xml:space="preserve">Bratislava </t>
  </si>
  <si>
    <t>Okresný súd Bratislava I.
Oddiel Sro, vložka č. 6374/B</t>
  </si>
  <si>
    <t xml:space="preserve">Jediným konateľom spoločnosti je od 5. júna 2013 pán Erland Bech. </t>
  </si>
  <si>
    <t xml:space="preserve">1. montáž, oprava, údržba vyhradených elektrických zariadení </t>
  </si>
  <si>
    <t>3. výroba, inštalácia, opravy elektrických strojov a prístrojov</t>
  </si>
  <si>
    <t>4. výroba optických, prepojovacích káblov a káblových súborov</t>
  </si>
  <si>
    <t xml:space="preserve">2. výroba rozvádzačov nízkeho napätia - elektrické zariadenia s napätím do 1000 V </t>
  </si>
  <si>
    <t>FOSS AS FIBEROPTISK SYSTEMSALG</t>
  </si>
  <si>
    <t>Spoločnosť nie je v žiadnom podniku neobmedzene ručiacim spoločníkom.</t>
  </si>
  <si>
    <t>Konatelia</t>
  </si>
  <si>
    <t>Erland Bech</t>
  </si>
  <si>
    <t xml:space="preserve">Spoločnosť nemá organizačnú zložku v zahraničí. </t>
  </si>
  <si>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 xml:space="preserve"> účtovná závierka.</t>
    </r>
  </si>
  <si>
    <t>lineárne</t>
  </si>
  <si>
    <t>Krátkodobý finančný majetok tvoria ceniny, peniaze v hotovosti a na bankových účtoch.</t>
  </si>
  <si>
    <t xml:space="preserve">Zásoby vytvorené vlastnou činnosťou sa oceňujú vlastnými nákladmi. Vlastné náklady zahŕňajú priame materiálové a mzdové náklady a nepriame výrobné náklady. </t>
  </si>
  <si>
    <t xml:space="preserve">Vlastné imanie sa skladá zo základného imania, kapitálových fondov, zákonného rezervného fondu a výsledku hospodárenia v schvaľovacom konaní. </t>
  </si>
  <si>
    <r>
      <t>Spoločnosť nemá žiadny dlhodobý nehmotný majetok, na ktorý by bolo zriadené záložné právo.</t>
    </r>
    <r>
      <rPr>
        <sz val="11"/>
        <color theme="1"/>
        <rFont val="Arial"/>
        <family val="2"/>
        <charset val="238"/>
      </rPr>
      <t xml:space="preserve"> </t>
    </r>
  </si>
  <si>
    <t>Majetok</t>
  </si>
  <si>
    <t>Poistenie</t>
  </si>
  <si>
    <t>Poistná suma</t>
  </si>
  <si>
    <t>Spoločnosť nemá žiadny dlhodobý hmotný majetok, na ktorý by bolo zriadené záložné právo.</t>
  </si>
  <si>
    <t>Spoločnosť neúčtovala o dlhodobom finančnom majetku.</t>
  </si>
  <si>
    <t xml:space="preserve">Základné imanie spoločnosti je zložené z plne upísaného a splateného podielu jediného spoločníka FOSS AS FIBEROPTISK SYSTEMSALG vo výške 2 506 390 EUR. 
. </t>
  </si>
  <si>
    <t>Zákonná rezerva na nevyčerpané dovolenky vrátane poistného</t>
  </si>
  <si>
    <t>Zákonná rezerva na audit a zverejnenie účtovnej závierky</t>
  </si>
  <si>
    <t>Ostatné</t>
  </si>
  <si>
    <t xml:space="preserve">Tatra banka - kreditná karta </t>
  </si>
  <si>
    <t>Spoločnosť neúčtovala o derivátoch.</t>
  </si>
  <si>
    <t xml:space="preserve">Tržby - Slovensko </t>
  </si>
  <si>
    <t xml:space="preserve">Tržby - Zahraničie </t>
  </si>
  <si>
    <t>Služby</t>
  </si>
  <si>
    <t>Úroky</t>
  </si>
  <si>
    <t>Ostatné finančné výnosy</t>
  </si>
  <si>
    <t>Ostatné významné položky nákladov za poskytnuté služby, z toho:</t>
  </si>
  <si>
    <t>Prepravné</t>
  </si>
  <si>
    <t>Oprava a údržba</t>
  </si>
  <si>
    <t>Cestovné náklady</t>
  </si>
  <si>
    <t>Právne a ekonomické služby</t>
  </si>
  <si>
    <t>Revízie a údržby zar.</t>
  </si>
  <si>
    <t>Prenájom</t>
  </si>
  <si>
    <t xml:space="preserve">Zostatková cena predaného majetku </t>
  </si>
  <si>
    <t>Zmluvné pokuty, penále a úroky z omeškania</t>
  </si>
  <si>
    <t>Ostatné pokuty, penále a úroky z omeškania</t>
  </si>
  <si>
    <t>Ostatné prevádzkové náklady</t>
  </si>
  <si>
    <t>Servisné služby</t>
  </si>
  <si>
    <t xml:space="preserve"> FOSS AS FIBEROPTISK SYSTEMSALG</t>
  </si>
  <si>
    <t xml:space="preserve">Kód: 1 - Nákup materiálu, tovaru, dlhodobého majetku a refakturácia služieb ; 2 -  Tržby za výrobky, tovary a služby
</t>
  </si>
  <si>
    <t xml:space="preserve">Prehľad o peňažných tokoch bol spracovaný nepriamou metódou. </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</si>
  <si>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t>
  </si>
  <si>
    <t>Spoločnosť vytvára zákonný rezervný fond v zmysle § 67 Obchodného zákonníka.</t>
  </si>
  <si>
    <t xml:space="preserve">Aktivácia DHM </t>
  </si>
  <si>
    <t>Tržby z predaja hmotného a nehmotného majetku</t>
  </si>
  <si>
    <t>D</t>
  </si>
  <si>
    <t>i</t>
  </si>
  <si>
    <t>s</t>
  </si>
  <si>
    <t>t</t>
  </si>
  <si>
    <t>r</t>
  </si>
  <si>
    <t>o</t>
  </si>
  <si>
    <t>u</t>
  </si>
  <si>
    <t>S</t>
  </si>
  <si>
    <t>e</t>
  </si>
  <si>
    <t>n</t>
  </si>
  <si>
    <t>,</t>
  </si>
  <si>
    <t>f</t>
  </si>
  <si>
    <t>l</t>
  </si>
  <si>
    <t>N</t>
  </si>
  <si>
    <t>C</t>
  </si>
  <si>
    <t>Dlhodobé i krátkodobé záväzky sa vykazujú v menovitých hodnotách. Ak sa pri inventarizácii zistí, že suma záväzkov je iná ako ich výška v účtovníctve, uvedú sa záväzky v účtovníctve a v účtovnej závierke v tomto zistenom ocenení.</t>
  </si>
  <si>
    <t>Ocenenie nadbytočných, zastaraných a nízkoobrátkových zásob sa znižuje na nižšiu úžitkovú hodnotu prostredníctvom opravných položiek.</t>
  </si>
  <si>
    <t>Spoločnosť v bežnom účtovnom období neúčtovala o oprave významných chýb minulých období.</t>
  </si>
  <si>
    <t>Rezerva na audit a zverejnenie účtovnej závierky</t>
  </si>
  <si>
    <t>EUR</t>
  </si>
  <si>
    <t xml:space="preserve"> -</t>
  </si>
  <si>
    <t>The sole statutory representative of the Company from 5 June 2013 is Mr. Erland Bech.</t>
  </si>
  <si>
    <t xml:space="preserve">
installation, repair, maintenance of electrical equipment</t>
  </si>
  <si>
    <t>production of low voltage - electrical equipment with voltage up to 1000 V</t>
  </si>
  <si>
    <t>manufacture, installation and repair of electrical machinery and apparatus</t>
  </si>
  <si>
    <t>manufacture of fiber optic, patch cords and cable assemblies</t>
  </si>
  <si>
    <t>The Company does not have unlimited liability in any company.</t>
  </si>
  <si>
    <t>Statutory representatives</t>
  </si>
  <si>
    <t>The Company has no foreign branch.</t>
  </si>
  <si>
    <t>linear</t>
  </si>
  <si>
    <t>Current financial assets consist of  stamps and vouchers, cash in hand and in bank.</t>
  </si>
  <si>
    <t xml:space="preserve">Internally generated inventory is stated at own costs. Own costs include direct material and labour costs and production overheads. </t>
  </si>
  <si>
    <t xml:space="preserve">The Company’s share capital is stated in the amount recorded in the Commercial Register with the District Court. Any increase or decrease in the share capital pursuant to a decision made by the General Meeting, which was not entered in the Commercial Register at the reporting date, is recognized as a change in share capital. </t>
  </si>
  <si>
    <t>The Company in current period did not account for any material misstatements from previous periods.</t>
  </si>
  <si>
    <t>Information on non-current intangible assets:</t>
  </si>
  <si>
    <t>Information on non-current tangible assets:</t>
  </si>
  <si>
    <t>Asset</t>
  </si>
  <si>
    <t>Issurance</t>
  </si>
  <si>
    <t>Insurred amount</t>
  </si>
  <si>
    <t>The company did not account for long-term financial assets.</t>
  </si>
  <si>
    <t>Car insurance</t>
  </si>
  <si>
    <t>The company's capital is composed of fully depreciated and paid share a single shareholder FOSS AS FIBEROPTISK SYSTEMSALG in the amount of EUR 2,506,390.</t>
  </si>
  <si>
    <t>A legal reserve for unused vacation including insurance</t>
  </si>
  <si>
    <t>The provision for audit and publication of accounts</t>
  </si>
  <si>
    <t>Provision for bonuses</t>
  </si>
  <si>
    <t>The company did not account for derivatives.</t>
  </si>
  <si>
    <t>Revenues - Slovakia</t>
  </si>
  <si>
    <t>Revenues Other</t>
  </si>
  <si>
    <t>Revenue from sale of non-current assets and material</t>
  </si>
  <si>
    <t>Own work capitalized</t>
  </si>
  <si>
    <t>Interest income</t>
  </si>
  <si>
    <t>Other financial revenue</t>
  </si>
  <si>
    <t>Other significant items of costs of services, including:
Other significant items of costs for services, including:</t>
  </si>
  <si>
    <t>Repair and maintenance</t>
  </si>
  <si>
    <t>Travel costs</t>
  </si>
  <si>
    <t>Transportation costs</t>
  </si>
  <si>
    <t>Law and economic services</t>
  </si>
  <si>
    <t>Revisions and maintenance</t>
  </si>
  <si>
    <t>Rent</t>
  </si>
  <si>
    <t>Servicing</t>
  </si>
  <si>
    <t>Net book value of assets sold</t>
  </si>
  <si>
    <t>Contractual fines, penalties and interest for late payment</t>
  </si>
  <si>
    <t>Other fines, penalties and interest for late payment</t>
  </si>
  <si>
    <t>Other operating expenses</t>
  </si>
  <si>
    <t>Bank charges</t>
  </si>
  <si>
    <t xml:space="preserve">The cash flow statement was prepared using the indirect method. </t>
  </si>
  <si>
    <t>Non-current intangible assets including goodwill are amortized over their estimated useful life. The estimated useful life, depreciation method and depreciation rate for individual non-current intangible assets are set based on estimated earning of future economic benefits.</t>
  </si>
  <si>
    <t xml:space="preserve"> Poistné</t>
  </si>
  <si>
    <t>Goodwill was initially recognized as the difference between the purchase price and the fair value of individual assets and liabilities. Subsequently, when assessing the amount of goodwill is determined at what level in the future in connection with goodwill will increase economic benefits. If future increases in economic benefits is likely to be less than the amount of goodwill recognized on account 015 - Goodwill, a portion of goodwill is amortized (testing impairement). In 2016, there was no need to account for the impairment of goodwill. The Company started amortization of goodwill from 1.1.2016 for the period of seven years, which is the estimate of consumption of future economic benefits.</t>
  </si>
  <si>
    <t>Tatra banka - credit cards</t>
  </si>
  <si>
    <t>Spoločnosť očakáva použitie krátkodobých rezerv počas nasledujúceho účtovného obdobia.</t>
  </si>
  <si>
    <t>Informácie o daniach z príjmov:</t>
  </si>
  <si>
    <t>The Company expects usage of short term provisions during upcoming financial year.</t>
  </si>
  <si>
    <t>Income taxes</t>
  </si>
  <si>
    <t>Information on income tax:</t>
  </si>
  <si>
    <t>Total deferred tax asset recognised as income or expense arising from change in income tax rate</t>
  </si>
  <si>
    <t>Total deferred tax liability recognised as income or expense arising from change in income tax rate</t>
  </si>
  <si>
    <t>Total deferred tax asset in respect of tax loss carry-forward, unused tax credits and other tax claims, as well as temporary differences from previous  accounting periods in respect of which a deferred tax asset was not recognized in the previous  accounting periods</t>
  </si>
  <si>
    <t xml:space="preserve">Total deferred tax liability arising from part of 
a deferred tax asset not recognized in the current accounting period, which was recognized in previous  accounting periods
</t>
  </si>
  <si>
    <t>Total tax losses carried forward, unused tax deductions and other tax claims and deductible temporary differences in respect of which a deferred tax asset was not recognized</t>
  </si>
  <si>
    <t>Total deferred income tax relating to items recognised directly to equity accounts without being recognised in expense or income accounts</t>
  </si>
  <si>
    <t xml:space="preserve">Foss Fibre Optics, s.r.o. 
</t>
  </si>
  <si>
    <t>Odborárska</t>
  </si>
  <si>
    <t xml:space="preserve">831 02 </t>
  </si>
  <si>
    <t>10 rokov</t>
  </si>
  <si>
    <t>Goodwill sa prvotne vykázal ako rozdiel medzi kúpnou cenou a reálnou hodnotou jednotlivých zložiek majetku a záväzkov. Následne, pri posudzovaní výšky goodwillu, sa zisťuje v akej výške sa v budúcnosti v súvislosti s goodwillom zvýšia ekonomické úžitky. Ak budúce zvýšenie ekonomických úžitkov bude pravdepodobne nižšie než je výška goodwillu zaúčtovaná na účte 015 – Goodwill, príslušná časť goodwillu sa odpíše (testovanie na impairement). Spoločnosť začala goodwill odpisovať od 1.1.2016 počas doby 7 rokov, čo je odhad doby spotreby ekonomických úžitkov z goodwillu.</t>
  </si>
  <si>
    <t>Informácie o pohľadávkach zabezpečených záložným právom alebo inou formou zabezpečenia.</t>
  </si>
  <si>
    <t>Licencie a ostatné náklady</t>
  </si>
  <si>
    <t>Rezerva na odmeny a služby</t>
  </si>
  <si>
    <t>Odpis pohľadávky-faktoring</t>
  </si>
  <si>
    <t>Bankove a faktoringové poplatky</t>
  </si>
  <si>
    <t>The company did not account for finance leases.</t>
  </si>
  <si>
    <t xml:space="preserve">Dlhodobý nehmotný majetok vrátane goodwill-u sa odpisuje do nákladov počas predpokladanej doby životnosti príslušného </t>
  </si>
  <si>
    <t>majetku a v súlade s očakávaným prínosom ekonomických úžitkov do budúcnosti.</t>
  </si>
  <si>
    <t>Spôsob a výška poistenia dlhodobého nehmotného majetku a dlhodobého hmotného majetku na úrovni FOSS Norway a Foss Fibre Optics</t>
  </si>
  <si>
    <t>živelné poistenie, poistenie pre prípad odcudzenia</t>
  </si>
  <si>
    <t>Stroje, prístroje, zariadenia a zariadenie kancelárii. PC</t>
  </si>
  <si>
    <t>Machinery, appliances and office equipment and supplies, PC's</t>
  </si>
  <si>
    <t>Type and amount of insurance of intangible and tangible fixed assets and inventory</t>
  </si>
  <si>
    <t>natural hazards and theft insurance</t>
  </si>
  <si>
    <t>Ročná odpisová sadzba v %</t>
  </si>
  <si>
    <t>4 - 12 rokov</t>
  </si>
  <si>
    <t>8 - 25</t>
  </si>
  <si>
    <t>Zásoby nakupované sa oceňujú obstarávacou cenou, ktorá zahrňuje cenu, za ktorú sa majetok obstaral, a náklady súvisiace s obstaraním (clo, prepravu, poistné, provízie a pod.) znížené o zľavy z ceny. Zľava z ceny poskytnutá k už predaným alebo spotrebovaným zásobám sa účtuje ako zníženie nákladov na predané alebo spotrebované zásoby. Spoločnosť účtuje o zásobách spôsobom A tak, ako to definujú postupy účtovania. Úbytok zásob sa účtuje v cene zistenej metódou FIFO - first in, first out (prvá cena na ocenenie prírastku zásob sa použije ako prvá cena na ocenenie úbytku zásob).</t>
  </si>
  <si>
    <t>Ak sú obstarávacia cena alebo vlastné náklady zásob vyššie než ich čistá realizačná hodnota ku dňu, ku ktorému sa zostavuje účtovná závierka, vytvára sa opravná položka k zásobám vo výške rozdielu medzi ich ocenením v účtovníctve a ich čistou realizačnou hodnotou. Čistá realizačná hodnota je predpokladaná predajná cena zásob znížená o predpokladané náklady na ich dokončenie a náklady súvisiace s ich predajom.</t>
  </si>
  <si>
    <t>Rezerva je záväzok predstavujúci existujúcu povinnosť Spoločnosti, ktorá vznikla z minulých udalostí a je pravdepodobné, že v budúcnosti zníži jej ekonomické úžitky. Rezervy sú záväzky s neurčitým časovým vymedzením alebo výškou a oceňujú sa odhadom v sume potrebnej na splnenie existujúcej povinnosti ku dňu, ku ktorému sa zostavuje účtovná závierka.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t>
  </si>
  <si>
    <t>O odloženom daňovom záväzku účtuje spoločnosť vždy. Odložená daňová pohľadávka sa účtuje iba do takej výšky, do akej je pravdepodobné, že bude možné dočasné rozdiely vyrovnať voči budúcemu základu dane. Pri výpočte odloženej dane sa použije sadzba dane z príjmov, o ktorej sa predpokladá, že bude platiť v čase vyrovnania odloženej dane.</t>
  </si>
  <si>
    <t>Informácie o vekovej štruktúre pohľadávok za obdobie k 31. marcu 2018:</t>
  </si>
  <si>
    <t>Informácie o rozdelení účtovného zisku za bezprostredne predchádzajúce účtovné obdobie</t>
  </si>
  <si>
    <t>Informácie o odloženom daňovom záväzku</t>
  </si>
  <si>
    <t>pohľadávky z obch. styku</t>
  </si>
  <si>
    <t>záväzky z obch. styku</t>
  </si>
  <si>
    <t>Informácie o mzdových nákladoch</t>
  </si>
  <si>
    <t>Osobné náklady, z toho:</t>
  </si>
  <si>
    <t>Mzdy</t>
  </si>
  <si>
    <t>Socíálne zabezpečenie</t>
  </si>
  <si>
    <t>Zdravotné a sociálne poistenie</t>
  </si>
  <si>
    <t>Záväzky voči prepojeným účtovným jednotkám</t>
  </si>
  <si>
    <t>Záväzky zo sociálneho fondu</t>
  </si>
  <si>
    <t>Ostatné záväzky z obchodného styku</t>
  </si>
  <si>
    <t>Záväzky voči zamestnancom</t>
  </si>
  <si>
    <t>Záväzky zo sociálneho poistenia</t>
  </si>
  <si>
    <t>Daňové záväzky a dotácie</t>
  </si>
  <si>
    <t>Iné záväzky</t>
  </si>
  <si>
    <t>Foss Fibre Optics, s.r.o. (until March 8th, 2018 "Optocon technologies s. r. o.", further as "the Company") is a limited liability company, established on 5 January 1994 and incorporated on 14 January 1994 with the Commercial Register of the District Court Bratislava I Section Sro Insert No. 6374/B Its registered office is Odborárska 52, 831 02 Bratislava, Slovak Republic and its registration number is 31365507.</t>
  </si>
  <si>
    <t>Annual depreciation rate in %</t>
  </si>
  <si>
    <t>4 - 12 years</t>
  </si>
  <si>
    <t>Deferred tax liability is recognized if exists. Deferred tax asset is recognized under condition of probable future economic benefits. Deferred tax is calculated using the tax rate applicable for periods when it shall be used.</t>
  </si>
  <si>
    <t>Value for immediately preceding accounting period</t>
  </si>
  <si>
    <t>Information on ageing structure of receivables as of 31 March 2018:</t>
  </si>
  <si>
    <t>Information on distribution of accounting profit or on settlement of accounting loss for preceeding accounting period:</t>
  </si>
  <si>
    <t>Long-term liabilities to connected entities</t>
  </si>
  <si>
    <t>Social fund payable</t>
  </si>
  <si>
    <t>Trade payables to connected entities</t>
  </si>
  <si>
    <t>Trade payables to group except for connected entities</t>
  </si>
  <si>
    <t>Payables to employees</t>
  </si>
  <si>
    <t>Social security payables</t>
  </si>
  <si>
    <t>Tax liabilities and subsidies</t>
  </si>
  <si>
    <t>Other short-term liabilities</t>
  </si>
  <si>
    <t xml:space="preserve">Information on deferred tax liability: </t>
  </si>
  <si>
    <t>Information on personnel expenses:</t>
  </si>
  <si>
    <t>Personnel expenses, of which:</t>
  </si>
  <si>
    <t>Payroll costs</t>
  </si>
  <si>
    <t>Social security expenses</t>
  </si>
  <si>
    <t>Other social expenses</t>
  </si>
  <si>
    <t>trade receivables</t>
  </si>
  <si>
    <t>trade payables</t>
  </si>
  <si>
    <t>Bezprostredne predchádzajúce obdobie</t>
  </si>
  <si>
    <t xml:space="preserve">Foss Fibre Optics, s.r.o. (do 8. marca 2018 Optocon technologies s. r. o., ďalej len „spoločnosť”) je spoločnosť s ručením obmedzeným, ktorá bola založená dňa 5. januára 1994. Dňa 14. januára 1994 bola zapísaná do Obchodného registra vedenom na Okresnom súde Bratislava I v Bratislave, oddiel Sro, vložka 6374/B. Spoločnosť sídli na Odborárskej 52, 831 02 Bratislava, Slovenská republika, identifikačné číslo 31365507.
. </t>
  </si>
  <si>
    <t>Informácie o počte zamestnancov:</t>
  </si>
  <si>
    <t>Spoločnosť vytvorila rezervy na nevyčerpané dovolenky, odmeny manažmentu a zamestnancov, daňové a audítorské služby.</t>
  </si>
  <si>
    <t>Výnosy Spoločnosti tvoria najmä tržby z predaja tovaru, výrobkov a služieb súvisiacich s hlavným predmetom činnosti Spoločnosti.</t>
  </si>
  <si>
    <t>Zníženie čistej realizačnej hodnoty zásob bolo zohľadnené vytvorením opravnej položky. Čistá realizačná hodnota zásob sa znížila predovšetkým v dôsledku nadmernosti zásob.</t>
  </si>
  <si>
    <t>Zákonný rezervný fond a nedeliteľný fond</t>
  </si>
  <si>
    <t>Vlastné imanie spolu</t>
  </si>
  <si>
    <t>Rezervný fond na vlastné akcie a vlastné podiely</t>
  </si>
  <si>
    <t>Štatutárne fondy</t>
  </si>
  <si>
    <t>Ostatné fondy</t>
  </si>
  <si>
    <r>
      <t>5.</t>
    </r>
    <r>
      <rPr>
        <b/>
        <sz val="7"/>
        <color theme="1"/>
        <rFont val="Times New Roman"/>
        <family val="1"/>
        <charset val="238"/>
      </rPr>
      <t>      </t>
    </r>
    <r>
      <rPr>
        <b/>
        <u/>
        <sz val="10"/>
        <color theme="1"/>
        <rFont val="Arial"/>
        <family val="2"/>
        <charset val="238"/>
      </rPr>
      <t>VŠEOBECNÉ ÚČTOVNÉ ZÁSADY A METÓDY</t>
    </r>
  </si>
  <si>
    <r>
      <t>6.</t>
    </r>
    <r>
      <rPr>
        <b/>
        <sz val="7"/>
        <color theme="1"/>
        <rFont val="Times New Roman"/>
        <family val="1"/>
        <charset val="238"/>
      </rPr>
      <t>      </t>
    </r>
    <r>
      <rPr>
        <b/>
        <u/>
        <sz val="10"/>
        <color theme="1"/>
        <rFont val="Arial"/>
        <family val="2"/>
        <charset val="238"/>
      </rPr>
      <t>DLHODOBÝ MAJETOK</t>
    </r>
  </si>
  <si>
    <r>
      <t xml:space="preserve">7.      </t>
    </r>
    <r>
      <rPr>
        <b/>
        <u/>
        <sz val="10"/>
        <color theme="1"/>
        <rFont val="Arial"/>
        <family val="2"/>
        <charset val="238"/>
      </rPr>
      <t>ZÁSOBY</t>
    </r>
  </si>
  <si>
    <r>
      <t xml:space="preserve">8.      </t>
    </r>
    <r>
      <rPr>
        <b/>
        <u/>
        <sz val="10"/>
        <color theme="1"/>
        <rFont val="Arial"/>
        <family val="2"/>
        <charset val="238"/>
      </rPr>
      <t>POHĽADÁVKY</t>
    </r>
  </si>
  <si>
    <r>
      <t xml:space="preserve">9.      </t>
    </r>
    <r>
      <rPr>
        <b/>
        <u/>
        <sz val="10"/>
        <color theme="1"/>
        <rFont val="Arial"/>
        <family val="2"/>
        <charset val="238"/>
      </rPr>
      <t>FINANČNÉ ÚČTY</t>
    </r>
  </si>
  <si>
    <r>
      <t xml:space="preserve">10.      </t>
    </r>
    <r>
      <rPr>
        <b/>
        <u/>
        <sz val="10"/>
        <color theme="1"/>
        <rFont val="Arial"/>
        <family val="2"/>
        <charset val="238"/>
      </rPr>
      <t>ČASOVÉ ROZLÍŠENIE</t>
    </r>
  </si>
  <si>
    <r>
      <t xml:space="preserve">11.      </t>
    </r>
    <r>
      <rPr>
        <b/>
        <u/>
        <sz val="10"/>
        <color theme="1"/>
        <rFont val="Arial"/>
        <family val="2"/>
        <charset val="238"/>
      </rPr>
      <t>VLASTNÉ IMANIE</t>
    </r>
  </si>
  <si>
    <r>
      <t xml:space="preserve">12.      </t>
    </r>
    <r>
      <rPr>
        <b/>
        <u/>
        <sz val="10"/>
        <color theme="1"/>
        <rFont val="Arial"/>
        <family val="2"/>
        <charset val="238"/>
      </rPr>
      <t>REZERVY</t>
    </r>
  </si>
  <si>
    <r>
      <t xml:space="preserve">13.      </t>
    </r>
    <r>
      <rPr>
        <b/>
        <u/>
        <sz val="10"/>
        <color theme="1"/>
        <rFont val="Arial"/>
        <family val="2"/>
        <charset val="238"/>
      </rPr>
      <t>ZÁVÄZKY</t>
    </r>
  </si>
  <si>
    <r>
      <t>14.     </t>
    </r>
    <r>
      <rPr>
        <b/>
        <u/>
        <sz val="10"/>
        <color theme="1"/>
        <rFont val="Arial"/>
        <family val="2"/>
        <charset val="238"/>
      </rPr>
      <t>ODLOŽENÁ DAŇ Z PRÍJMOV</t>
    </r>
  </si>
  <si>
    <r>
      <t>15.     </t>
    </r>
    <r>
      <rPr>
        <b/>
        <u/>
        <sz val="10"/>
        <color theme="1"/>
        <rFont val="Arial"/>
        <family val="2"/>
        <charset val="238"/>
      </rPr>
      <t>INFORMÁCIE O ZÁVAZKOCH ZO SOCIÁLNEHO FONDU</t>
    </r>
  </si>
  <si>
    <r>
      <t xml:space="preserve">16.      </t>
    </r>
    <r>
      <rPr>
        <b/>
        <u/>
        <sz val="10"/>
        <color theme="1"/>
        <rFont val="Arial"/>
        <family val="2"/>
        <charset val="238"/>
      </rPr>
      <t>BANKOVÉ ÚVERY A FINANČNÉ VÝPOMOCI</t>
    </r>
  </si>
  <si>
    <r>
      <t>17.     </t>
    </r>
    <r>
      <rPr>
        <b/>
        <u/>
        <sz val="10"/>
        <color theme="1"/>
        <rFont val="Arial"/>
        <family val="2"/>
        <charset val="238"/>
      </rPr>
      <t>ČASOVÉ ROZLÍŠENIE</t>
    </r>
  </si>
  <si>
    <r>
      <t>18.     </t>
    </r>
    <r>
      <rPr>
        <b/>
        <u/>
        <sz val="10"/>
        <color theme="1"/>
        <rFont val="Arial"/>
        <family val="2"/>
        <charset val="238"/>
      </rPr>
      <t>DERIVÁTY</t>
    </r>
  </si>
  <si>
    <r>
      <t>19.     </t>
    </r>
    <r>
      <rPr>
        <b/>
        <u/>
        <sz val="10"/>
        <color theme="1"/>
        <rFont val="Arial"/>
        <family val="2"/>
        <charset val="238"/>
      </rPr>
      <t>LÍZING (SPOLOČNOSŤ JE NÁJOMCOM)</t>
    </r>
  </si>
  <si>
    <r>
      <t>20.     </t>
    </r>
    <r>
      <rPr>
        <b/>
        <u/>
        <sz val="10"/>
        <color theme="1"/>
        <rFont val="Arial"/>
        <family val="2"/>
        <charset val="238"/>
      </rPr>
      <t xml:space="preserve">PODMIENENÉ ZÁVÄZKY A AKTÍVA, PODSÚVAHOVÉ POLOŽKY </t>
    </r>
  </si>
  <si>
    <r>
      <t>21.     </t>
    </r>
    <r>
      <rPr>
        <b/>
        <u/>
        <sz val="10"/>
        <color theme="1"/>
        <rFont val="Arial"/>
        <family val="2"/>
        <charset val="238"/>
      </rPr>
      <t>VÝNOSY A NÁKLADY</t>
    </r>
  </si>
  <si>
    <r>
      <t>22.     </t>
    </r>
    <r>
      <rPr>
        <b/>
        <u/>
        <sz val="10"/>
        <color theme="1"/>
        <rFont val="Arial"/>
        <family val="2"/>
        <charset val="238"/>
      </rPr>
      <t>INFORMÁCIE O SPRIAZNENÝCH OSOBÁCH</t>
    </r>
  </si>
  <si>
    <t>23.     INFORMÁCIE O ZMENÁCH VLASTNÉHO IMANIA</t>
  </si>
  <si>
    <r>
      <t>24.     </t>
    </r>
    <r>
      <rPr>
        <b/>
        <u/>
        <sz val="10"/>
        <color theme="1"/>
        <rFont val="Arial"/>
        <family val="2"/>
        <charset val="238"/>
      </rPr>
      <t xml:space="preserve">PREHĽAD O PEŇAŽNÝCH TOKOCH </t>
    </r>
  </si>
  <si>
    <r>
      <t>25.     </t>
    </r>
    <r>
      <rPr>
        <b/>
        <u/>
        <sz val="10"/>
        <color theme="1"/>
        <rFont val="Arial"/>
        <family val="2"/>
        <charset val="238"/>
      </rPr>
      <t>VÝZNAMNÉ UDALOSTI, KTORÉ NASTALI PO DNI, KU KTORÉMU SA ZOSTAVUJE ÚČTOVNÁ ZÁVIERKA</t>
    </r>
  </si>
  <si>
    <r>
      <t>4.</t>
    </r>
    <r>
      <rPr>
        <b/>
        <sz val="7"/>
        <color theme="1"/>
        <rFont val="Times New Roman"/>
        <family val="1"/>
        <charset val="238"/>
      </rPr>
      <t xml:space="preserve">       </t>
    </r>
    <r>
      <rPr>
        <b/>
        <u/>
        <sz val="10"/>
        <color theme="1"/>
        <rFont val="Arial"/>
        <family val="2"/>
        <charset val="238"/>
      </rPr>
      <t>DÁTUM SCHVÁLENIA AUDÍTORA SPOLOČNOSTI</t>
    </r>
  </si>
  <si>
    <r>
      <t>3.</t>
    </r>
    <r>
      <rPr>
        <b/>
        <sz val="7"/>
        <color theme="1"/>
        <rFont val="Times New Roman"/>
        <family val="1"/>
        <charset val="238"/>
      </rPr>
      <t xml:space="preserve">       </t>
    </r>
    <r>
      <rPr>
        <b/>
        <u/>
        <sz val="10"/>
        <color theme="1"/>
        <rFont val="Arial"/>
        <family val="2"/>
        <charset val="238"/>
      </rPr>
      <t>DÁTUM SCHVÁLENIA ÚČTOVNEJ ZÁVIERKY ZA PREDCHÁDZAJÚCE ÚČTOVNÉ OBDOBIE</t>
    </r>
  </si>
  <si>
    <t xml:space="preserve">Goodwill vznikol ako rozdiel medzi obstarávacou cenou a podielom spoločnosti na reálnej hodnote obstaraného identifikovateľného majetku a záväzkov v deň obstarania. Následne, pri posudzovaní výšky goodwillu, sa zisťuje v akej výške sa v budúcnosti v súvislosti s goodwillom zvýšia ekonomické úžitky. Ak budúce zvýšenie ekonomických úžitkov bude pravdepodobne nižšie než je výška goodwillu zaúčtovaná na účte 015 – Goodwill, príslušná časť goodwillu sa odpíše (testovanie na impairment). </t>
  </si>
  <si>
    <t>Spoločnosť neúčtovala o finančnom lízingu.</t>
  </si>
  <si>
    <t>Contingent asset is a possible asset that arises from past events, and whose existence will be confirmed only by the occurrence or non-occurrence of one or more uncertain future events not wholly within the control of the accounting entity.</t>
  </si>
  <si>
    <t>Contingent liability is:</t>
  </si>
  <si>
    <t>- a possible obligation depending on whether some uncertain future event occurs whose existence will be confirmed only by the occurrence or non-occurrence of one or more uncertain future events not wholly within the control of the entity, or
- a present obligation but payment is not probable or the amount cannot be measured reliably</t>
  </si>
  <si>
    <t>Reserve fund for own shares</t>
  </si>
  <si>
    <t>Statutory funds</t>
  </si>
  <si>
    <t>Other funds</t>
  </si>
  <si>
    <t>Revaluation reserves from assets and liabilities</t>
  </si>
  <si>
    <t>Revaluation reserves from investments</t>
  </si>
  <si>
    <t>Equity Total</t>
  </si>
  <si>
    <t>Consolidated financial statements for the whole Group are prepared by ultimate parent company. These consolidated financial statements are available at the registered office of ultimate parent company at 2 Chancellor Court, Occam Road, Surrey Research park, Guildford GU2 7AH, United Kingdom.</t>
  </si>
  <si>
    <r>
      <t>3.</t>
    </r>
    <r>
      <rPr>
        <b/>
        <sz val="7"/>
        <color theme="1"/>
        <rFont val="Times New Roman"/>
        <family val="1"/>
        <charset val="238"/>
      </rPr>
      <t xml:space="preserve">       </t>
    </r>
    <r>
      <rPr>
        <b/>
        <u/>
        <sz val="10"/>
        <color theme="1"/>
        <rFont val="Arial"/>
        <family val="2"/>
        <charset val="238"/>
      </rPr>
      <t>DATE OF APPROVAL OF THE FINANCIAL STATEMENTS FOR THE PREVIOUS ACCOUNTING PERIOD</t>
    </r>
  </si>
  <si>
    <r>
      <t>4.</t>
    </r>
    <r>
      <rPr>
        <b/>
        <sz val="7"/>
        <color theme="1"/>
        <rFont val="Times New Roman"/>
        <family val="1"/>
        <charset val="238"/>
      </rPr>
      <t xml:space="preserve">       </t>
    </r>
    <r>
      <rPr>
        <b/>
        <u/>
        <sz val="10"/>
        <color theme="1"/>
        <rFont val="Arial"/>
        <family val="2"/>
        <charset val="238"/>
      </rPr>
      <t xml:space="preserve">DATE OF APPROVAL OF THE COMPANY’S AUDITOR </t>
    </r>
  </si>
  <si>
    <r>
      <t>5.</t>
    </r>
    <r>
      <rPr>
        <b/>
        <sz val="7"/>
        <color theme="1"/>
        <rFont val="Times New Roman"/>
        <family val="1"/>
        <charset val="238"/>
      </rPr>
      <t>      </t>
    </r>
    <r>
      <rPr>
        <b/>
        <u/>
        <sz val="10"/>
        <color theme="1"/>
        <rFont val="Arial"/>
        <family val="2"/>
        <charset val="238"/>
      </rPr>
      <t>ACCOUNTING POLICIES AND METHODS</t>
    </r>
  </si>
  <si>
    <t>Goodwill / negative goodwill is the difference between the acquisition cost and the Company's share in the fair value of the identifiable assets acquired, less the liabilities assumed. If it is probable that any future increase of economic benefits will be lower than the amount of goodwill posted to acc. 015 - Goodwill, the relevant part of goodwill is written off (impairment testing).</t>
  </si>
  <si>
    <t>Acquired inventories are stated at cost, which includes the acquisition price and the related acquisition costs (such as customs duty, transport, insurance and commission) less discounts. A discount granted to inventories already sold or used is accounted for as the reduction of costs of inventories sold or used. The Company used method A for the accounting treatment of inventories. For stock withdrawal, the FIFO-method is used.</t>
  </si>
  <si>
    <t>If the acquisition or own cost of inventories is higher than their net realizable value at the balance sheet date, a valuation allowance for inventories is set up in the amount of the difference between their book value and their net realizable value. Net realizable value is the estimated sales price of inventories less the estimated costs for their completion and costs related to their sale.</t>
  </si>
  <si>
    <t xml:space="preserve">Provision is a liability related to existing commitment, resulting from past events and probably results in decrease of future economic benefits. Provisions are stated at the expected amount of liability at the balance sheet date.
Creation and release of provisions is booked to the relevant cost and liability accounts.
The Company set up provisions for unused holiday, management and employee bonuses and tax and audit services. </t>
  </si>
  <si>
    <t xml:space="preserve">The Company creates a reserve fund in line with § 67 of Commercial Code.  </t>
  </si>
  <si>
    <t>Sales revenues from own work and goods are stated net of VAT, discounts and deductions (rebates, bonuses, credit notes, etc.). Sales revenues are recognized at the date of delivery of goods or provision of services. 
The Company’s revenues primarily include revenues from the sale of merchandise, finished goods and services related to main activities of the Company.</t>
  </si>
  <si>
    <r>
      <t>6.</t>
    </r>
    <r>
      <rPr>
        <b/>
        <sz val="7"/>
        <color theme="1"/>
        <rFont val="Times New Roman"/>
        <family val="1"/>
        <charset val="238"/>
      </rPr>
      <t>      </t>
    </r>
    <r>
      <rPr>
        <b/>
        <u/>
        <sz val="10"/>
        <color theme="1"/>
        <rFont val="Arial"/>
        <family val="2"/>
        <charset val="238"/>
      </rPr>
      <t>NON-CURRENT ASSETS</t>
    </r>
  </si>
  <si>
    <t>A valuation allowance was set up to reflect a decrease in the net realisable value of inventories. The net realisable value of inventories was impaired mainly as a result of excessive inventories on stock.</t>
  </si>
  <si>
    <t>Many areas of Slovak tax law (such as transfer-pricing regulations) have not been sufficiently tested in practice, so there is some uncertainty as to how the tax authorities would apply them. The extent of this uncertainty cannot be quantified. The uncertainty will be reduced only if legal precedents or official interpretations are available. The Company’s management is not aware of any circumstances that may give rise to a future material expense in this respect.</t>
  </si>
  <si>
    <r>
      <t xml:space="preserve">7.      </t>
    </r>
    <r>
      <rPr>
        <b/>
        <u/>
        <sz val="10"/>
        <color theme="1"/>
        <rFont val="Arial"/>
        <family val="2"/>
        <charset val="238"/>
      </rPr>
      <t>INVENTORY</t>
    </r>
  </si>
  <si>
    <r>
      <t xml:space="preserve">8.      </t>
    </r>
    <r>
      <rPr>
        <b/>
        <u/>
        <sz val="10"/>
        <color theme="1"/>
        <rFont val="Arial"/>
        <family val="2"/>
        <charset val="238"/>
      </rPr>
      <t>RECEIVABLES</t>
    </r>
  </si>
  <si>
    <r>
      <t xml:space="preserve">9.      </t>
    </r>
    <r>
      <rPr>
        <b/>
        <u/>
        <sz val="10"/>
        <color theme="1"/>
        <rFont val="Arial"/>
        <family val="2"/>
        <charset val="238"/>
      </rPr>
      <t>FINANCIAL ASSETS</t>
    </r>
  </si>
  <si>
    <r>
      <t xml:space="preserve">12.      </t>
    </r>
    <r>
      <rPr>
        <b/>
        <u/>
        <sz val="10"/>
        <color theme="1"/>
        <rFont val="Arial"/>
        <family val="2"/>
        <charset val="238"/>
      </rPr>
      <t>PROVISIONS</t>
    </r>
  </si>
  <si>
    <r>
      <t xml:space="preserve">13.      </t>
    </r>
    <r>
      <rPr>
        <b/>
        <u/>
        <sz val="10"/>
        <color theme="1"/>
        <rFont val="Arial"/>
        <family val="2"/>
        <charset val="238"/>
      </rPr>
      <t>LIABILITIES</t>
    </r>
  </si>
  <si>
    <r>
      <t>14.     </t>
    </r>
    <r>
      <rPr>
        <b/>
        <u/>
        <sz val="10"/>
        <color theme="1"/>
        <rFont val="Arial"/>
        <family val="2"/>
        <charset val="238"/>
      </rPr>
      <t>DEFERRED INCOME TAX</t>
    </r>
  </si>
  <si>
    <r>
      <t>15.     </t>
    </r>
    <r>
      <rPr>
        <b/>
        <u/>
        <sz val="10"/>
        <color theme="1"/>
        <rFont val="Arial"/>
        <family val="2"/>
        <charset val="238"/>
      </rPr>
      <t>INFORMATION ON LIABILITIES FROM SOCIAL FUND</t>
    </r>
  </si>
  <si>
    <r>
      <t xml:space="preserve">16.      </t>
    </r>
    <r>
      <rPr>
        <b/>
        <u/>
        <sz val="10"/>
        <color theme="1"/>
        <rFont val="Arial"/>
        <family val="2"/>
        <charset val="238"/>
      </rPr>
      <t xml:space="preserve"> BANK LOANS AND BORROWINGS</t>
    </r>
  </si>
  <si>
    <r>
      <t>17.     </t>
    </r>
    <r>
      <rPr>
        <b/>
        <u/>
        <sz val="10"/>
        <color theme="1"/>
        <rFont val="Arial"/>
        <family val="2"/>
        <charset val="238"/>
      </rPr>
      <t>ACCRUALS AND DEFERRED INCOME</t>
    </r>
  </si>
  <si>
    <r>
      <t>18.     </t>
    </r>
    <r>
      <rPr>
        <b/>
        <u/>
        <sz val="10"/>
        <color theme="1"/>
        <rFont val="Arial"/>
        <family val="2"/>
        <charset val="238"/>
      </rPr>
      <t>DERIVATIVES</t>
    </r>
  </si>
  <si>
    <r>
      <t>19.     </t>
    </r>
    <r>
      <rPr>
        <b/>
        <u/>
        <sz val="10"/>
        <color theme="1"/>
        <rFont val="Arial"/>
        <family val="2"/>
        <charset val="238"/>
      </rPr>
      <t>LEASES (ACCOUNTING ENTITY IS THE LESSEE)</t>
    </r>
  </si>
  <si>
    <r>
      <t>20.     </t>
    </r>
    <r>
      <rPr>
        <b/>
        <u/>
        <sz val="10"/>
        <color theme="1"/>
        <rFont val="Arial"/>
        <family val="2"/>
        <charset val="238"/>
      </rPr>
      <t xml:space="preserve">CONTINGENT ASSETS AND CONTINGENT LIABILITIES, OFF-BALANCE SHEET ITEMS  </t>
    </r>
  </si>
  <si>
    <r>
      <t>21.     </t>
    </r>
    <r>
      <rPr>
        <b/>
        <u/>
        <sz val="10"/>
        <color theme="1"/>
        <rFont val="Arial"/>
        <family val="2"/>
        <charset val="238"/>
      </rPr>
      <t>REVENUES AND EXPENSES</t>
    </r>
  </si>
  <si>
    <r>
      <t>22.     </t>
    </r>
    <r>
      <rPr>
        <b/>
        <u/>
        <sz val="10"/>
        <color theme="1"/>
        <rFont val="Arial"/>
        <family val="2"/>
        <charset val="238"/>
      </rPr>
      <t>RELATED PARTY INFORMATION</t>
    </r>
  </si>
  <si>
    <t>23.     INFORMATION ON CHANGES IN EQUITY</t>
  </si>
  <si>
    <r>
      <t>24.     </t>
    </r>
    <r>
      <rPr>
        <b/>
        <u/>
        <sz val="10"/>
        <color theme="1"/>
        <rFont val="Arial"/>
        <family val="2"/>
        <charset val="238"/>
      </rPr>
      <t>CASH FLOW STATEMENT</t>
    </r>
  </si>
  <si>
    <r>
      <t>25.     </t>
    </r>
    <r>
      <rPr>
        <b/>
        <u/>
        <sz val="10"/>
        <color theme="1"/>
        <rFont val="Arial"/>
        <family val="2"/>
        <charset val="238"/>
      </rPr>
      <t>SUBSEQUENT EVENTS</t>
    </r>
  </si>
  <si>
    <t>office.sk@fossfibreoptics.com</t>
  </si>
  <si>
    <t>za rok končiaci: 31.3.2019</t>
  </si>
  <si>
    <t>Členovia štatutárnych orgánov k 31. marcu 2019:</t>
  </si>
  <si>
    <t>Účtovná závierka spoločnosti za predchádzajúce účtovné obdobie k 31. marcu 2018 bola schválená jediným spoločníkom spoločnosti dňa 31. mája 2018.</t>
  </si>
  <si>
    <t>Jediný spoločník Spoločnosti schválil dňa 23. novembra 2018 spoločnosť PricewaterhouseCoopers Slovensko, s.r.o. ako audítora účtovnej závierky za finančný rok končiaci 31. marca 2019.</t>
  </si>
  <si>
    <t xml:space="preserve">Účtovné zásady a metódy, ktoré spoločnosť používala pri zostavení účtovnej závierky za účtovné obdobia končiace k 31. marcu 2019 a k 31. marcu 2018 sú nasledovné: </t>
  </si>
  <si>
    <t>Spoločnosť vykazuje v majetku goodwill v účtovnej zostatkovej hodnote 1 184 644 EUR, ktorý vznikol v roku 2013 ako výsledok zlúčenia spoločnosti Optocon technologies s. r. o.  (od 8. marca 2018 Foss Fibre Optics, s.r.o.) a FOSS Slovakia s.r.o.</t>
  </si>
  <si>
    <t>Poistenie dlhodobého majetku je kryté globálnym kontraktom v rámci skupiny discoverIE Group plc. (poisťovňa Aon UK Limited).</t>
  </si>
  <si>
    <t>K pohľadávkam voči zamestnancom boli v období končiacom k 31. marcu 2019 vytvorené opravné položky na základe a predpokladu ich vymožiteľnosti.</t>
  </si>
  <si>
    <t>Pohľadávky voči spriazneným osobám ku koncu účtovného obdobia mali hodnotu 0 EUR.</t>
  </si>
  <si>
    <t>Informácie o vekovej štruktúre pohľadávok za obdobie k 31. marcu 2019:</t>
  </si>
  <si>
    <t>Štatutárny orgán navrhuje zisk po zdanení za finančný rok končiaci k 31. marcu 2019 preúčtovať v plnej výške na účet nerozdeleného zisku minulých rokov.</t>
  </si>
  <si>
    <t>Rozdelenie účtovného zisku spoločnosti za predchádzajúce účtovné obdobie k 31. marcu 2018 bolo schválené jediným spoločníkom spoločnosti dňa  31. mája 2018.</t>
  </si>
  <si>
    <t>Spoločnosť v účtovnom období končiacom 31. marca 2019 nepriznala žiadne odmeny členom štatutárnych orgánov. Taktiež neboli poskytnuté záruky alebo iné zabezpečenia, resp. pôžičky členom týchto orgánov.</t>
  </si>
  <si>
    <t>obdobie končiace 31. marca 2018.</t>
  </si>
  <si>
    <t xml:space="preserve">Na základe rozhodnutia jediného spoločníka zo dňa 31. mája 2018 jediný spoločník spoločnosti schválil rozdelenie zisku za </t>
  </si>
  <si>
    <t>Na základe rozhodnutí jediného spoločníka v bežnom účtovnom období vyplatila spoločnosť dividendy  vo výške 411 359 EUR.</t>
  </si>
  <si>
    <t>Po 31. marci 2019 nenastali také udalosti, ktoré majú významný vplyv na verné zobrazenie skutočností uvádzaných v tejto účtovnej závierke.</t>
  </si>
  <si>
    <t>1 200 000 EUR</t>
  </si>
  <si>
    <t>870 000 EUR</t>
  </si>
  <si>
    <t>Members of the statutory bodies as at 31 March 2019 were as follows:</t>
  </si>
  <si>
    <t>The sole shareholder approved the Company’s financial statements for the previous accounting period on 31 May 2018.</t>
  </si>
  <si>
    <t>On 23 November 2018 the sole shareholder approved PricewaterhouseCoopers Slovensko, s.r.o. as auditor of the Company's financial statements for the year ended 31 March 2019.</t>
  </si>
  <si>
    <t xml:space="preserve">The accounting policies and methods applied by the Company in preparing the financial statements for the periods ending 31/3/2018 and 31/3/2019 were as follows: </t>
  </si>
  <si>
    <t>10 years</t>
  </si>
  <si>
    <t>The Company recognizes goodwill in amount EUR 1,184,644, which originated in 2013 from merger of Optocon technologies s.r.o. (from March 8th Foss Fibre Optics, s.r.o.) and FOSS Slovakia s.r.o..</t>
  </si>
  <si>
    <t>Surplus, obsolete and slow-moving inventory is written down to its estimated net realizable value through provisions. Management determines a provision according to internal procedure.</t>
  </si>
  <si>
    <t>For accounting period ending 31 March 2019 the Company created provision for doubtful debts related to receivable from employee based on internal evaluation.</t>
  </si>
  <si>
    <t>Receivables from related parties as at 31 March 2019 are in amount of EUR 0.</t>
  </si>
  <si>
    <t>Information on ageing structure of receivables as of 31 March 2019:</t>
  </si>
  <si>
    <t>Statutory representative proposes to transfer whole profit after tax for the year ending 31 March 2019 to retained earnings.</t>
  </si>
  <si>
    <t>for the period ending 31 March 2018.</t>
  </si>
  <si>
    <t>Based on decision of sole shareholder dated 31 May 2018, the sole shareholder approved distribution of the profit</t>
  </si>
  <si>
    <t>Company for the financial year ending 31 March 2019 does not confer any remuneration for members of statutory bodies. In addition, no guarantees or loans have been provided to statutory bodies.</t>
  </si>
  <si>
    <t>On 31 May 2018, the sole shareholder approved distribution of the profit for the period ending 31 March 2018.</t>
  </si>
  <si>
    <t>Following the decisions of the sole shareholder, the Company paid dividends of EUR 411 359.</t>
  </si>
  <si>
    <t>No events occurred subsequent to 31 March 2019 that might have a material effect on the fair presentation of the matters disclosed in these financial statements.</t>
  </si>
  <si>
    <t>Table 1 - Cash Flow Statement - period ending 31 March 2019</t>
  </si>
  <si>
    <t>The Company has no intangible assets under the pledge.</t>
  </si>
  <si>
    <t>The company has no tangible assets under the pledge.</t>
  </si>
  <si>
    <t>Non current assets are insured under global contract within discoverIE Group plc. (insurer Aon UK Limited).</t>
  </si>
  <si>
    <r>
      <t xml:space="preserve">10.      </t>
    </r>
    <r>
      <rPr>
        <b/>
        <u/>
        <sz val="10"/>
        <color theme="1"/>
        <rFont val="Arial"/>
        <family val="2"/>
        <charset val="238"/>
      </rPr>
      <t xml:space="preserve">ACCRUALS AND PREPAYMENTS </t>
    </r>
  </si>
  <si>
    <r>
      <t xml:space="preserve">11.      </t>
    </r>
    <r>
      <rPr>
        <b/>
        <u/>
        <sz val="10"/>
        <color theme="1"/>
        <rFont val="Arial"/>
        <family val="2"/>
        <charset val="238"/>
      </rPr>
      <t>EQUITY</t>
    </r>
  </si>
  <si>
    <t>Záväzky voči spriazneným osobám sú v hodnote EUR 112.</t>
  </si>
  <si>
    <t>The Company has liabilities to related parties of EUR 112.</t>
  </si>
  <si>
    <t>Informácie o štruktúre spoločníkov k 31. marcu 2019 a k 31. marcu 2018:</t>
  </si>
  <si>
    <t>Information on the structure of owners/shareholders as at 31 March 2019 and 31 March 2018:</t>
  </si>
  <si>
    <t>Účtovníctvo vedie Spoločnosť na základe dodržania časovej a vecnej súvislosti nákladov a výnosov. Za základ sa berú všetky náklady a výnosy, ktoré sa vzťahujú na účtovné obdobie bez ohľadu na dátum ich platenia.</t>
  </si>
  <si>
    <t>Peňažné údaje v účtovnej závierke sú uvedené v celých EUR, pokiaľ nie je určené inak.</t>
  </si>
  <si>
    <t xml:space="preserve">Účtovné metódy a všeobecné účtovné zásady Spoločnosť aplikovala konzistentne s predchádzajúcim účtovným obdobím. </t>
  </si>
  <si>
    <t>Spoločnosť začala goodwill odpisovať od 1.1.2016 počas doby 7 rokov.</t>
  </si>
  <si>
    <t>e)    Opravné položky</t>
  </si>
  <si>
    <t>Opravné položky sa tvoria na základe zásady opatrnosti, ak je opodstatnené predpokladať, že došlo k zníženiu hodnoty majetku oproti jeho oceneniu v účtovníctve. Opravná položka sa účtuje v sume opodstatneného predpokladu zníženia hodnoty majetku oproti jeho oceneniu v účtovníctve.</t>
  </si>
  <si>
    <t>f)    Pohľadávky</t>
  </si>
  <si>
    <t>g)    Náklady budúcich období a príjmy budúcich období</t>
  </si>
  <si>
    <t xml:space="preserve">h)    Záväzky </t>
  </si>
  <si>
    <t xml:space="preserve">i)    Rezervy </t>
  </si>
  <si>
    <t>j)    Výdavky budúcich období a výnosy budúcich období</t>
  </si>
  <si>
    <t>k)    Vlastné imanie</t>
  </si>
  <si>
    <t>l)    Transakcie v cudzích menách</t>
  </si>
  <si>
    <t>m)    Výnosy</t>
  </si>
  <si>
    <t>n)   Daň z príjmu</t>
  </si>
  <si>
    <t>o)   Opravy chýb minulých účtovných období</t>
  </si>
  <si>
    <t>Odložené dane (odložená daňová pohľadávka a odložený daňový záväzok)  sa vzťahujú na:</t>
  </si>
  <si>
    <t>Daň z príjmov sa účtuje do nákladov Spoločnosti v období vzniku daňovej povinnosti a v priloženom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</si>
  <si>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Finančnými účtami  môže Spoločnosť voľne disponovať.</t>
  </si>
  <si>
    <t>Skutočnosti sledované na podsúvahových účtoch</t>
  </si>
  <si>
    <t>Majetok v nájme (operatívny prenájom)</t>
  </si>
  <si>
    <t>Ostatné výnosy z hospodárskej a finančnej činnosti</t>
  </si>
  <si>
    <t>Informácie o ostatných výnosoch z hospodárskej a finančnej činnosti</t>
  </si>
  <si>
    <t>Ostatné prevádzkové výnosy - factoring</t>
  </si>
  <si>
    <t>Účtovanie o odloženej dani sa nevzťahuje na goodwill alebo záporný goodwill pri jeho prvotnom zaúčtovaní. Účtovanie o odloženej dani sa vzťahuje na dočasný rozdiel ku goodwillu alebo zápornému goodwillu, ktorý vznikol po jeho prvotnom zaúčtovaní, napríklad z dôvodu rôznych daňových odpisov a účtovných odpisov, ak pri prvotnom účtovaní goodwillu alebo záporného goodwillu nevznikol dočasný rozdiel.</t>
  </si>
  <si>
    <t>Podmieneným majetkom sa rozumie možný majetok, ktorý vznikol v dôsledku minulých udalostí a ktorého existencia alebo vlastníctvo závisí od toho, či nastane alebo nenastane jedna alebo viac neistých udalostí v budúcnosti, ktorých vznik nezávisí od účtovnej jednotky.
Podmieneným záväzkom sa rozumie:
• možná povinnosť, ktorá vznikla ako dôsledok minulej udalosti a ktorej existencia závisí od toho, či nastane alebo nenastane jedna alebo viac neistých udalostí v budúcnosti, ktorých vznik nezávisí od účtovnej jednotky, alebo
• povinnosť, ktorá vznikla ako dôsledok minulej udalosti, ale ktorá sa nevykazuje v súvahe, pretože nie je pravdepodobné, že na splnenie tejto povinnosti bude potrebný úbytok ekonomických úžitkov, alebo výška tejto povinnosti sa nedá spoľahlivo oceniť.
Vzhľadom na to, že viaceré oblasti slovenského daňového práva (napr. legislatíva ohľadom transferového oceňovania) doteraz neboli dostatočne overené praxou, existuje neistota v tom, ako ich budú daňové orgány aplikovať. Mieru tejto neistoty nie je možné kvantifikovať a zanikne až potom, keď budú k dispozícii právne precedensy príp. oficiálne interpretácie príslušných orgánov. Vedenie Spoločnosti si nie je vedomé žiadnych okolností, v dôsledku ktorých by jej vznikol v budúcnosti významný náklad.</t>
  </si>
  <si>
    <t>Spoločnosť je súčasťou skupiny discoverIE Group plc. Materskou spoločnosťou spoločnosti je FOSS AS FIBEROPTISK SYSTEMSALG a materskou spoločnosťou celej skupiny je discoverIE Group plc., ktorá zostavuje konsolidovanú účtovnú závierku podľa právnych predpisov EU, do ktorej je zahrnovaná spoločnosť Foss Fibre Optics, s.r.o. (do 8. marca 2018 Optocon technologies s. r. o.). Konsolidovanú účtovnú závierku za najväčšiu skupinu podnikov zostavuje spoločnosť discoverIE Group plc. Táto účtovná závierka je k nahliadnutiu v sídle uvedenej spoločnosti discoverIE Group plc.; 2 Chancellor Court; Occam Road; Surrey Research Park; Guildford GU2 7AH; Veľká Británia.</t>
  </si>
  <si>
    <t xml:space="preserve">The Company is a part of discoverIE Group plc. The parent company is FOSS AS FIBEROPTISK SYSTEMSALG and the ultimate parent company is discoverIE Group plc.  discoverIE Group plc. is preparing the consolidated financial statements under EU regulations, which include the accounting entity and all its subsidiaries.
</t>
  </si>
  <si>
    <t xml:space="preserve">The financial statements were prepared in accordance with Act No. 431/2002 Coll. on Accounting as amended, on a going-concern basis and are presented as ordinary financial statements. </t>
  </si>
  <si>
    <t>The Company keeps its books on the accrual basis of accounting which means that all revenues and costs are recognized when generated or incurred (and not when cash is received or paid), and they are recorded in the books and reported in the financial statements of the periods to which they relate.</t>
  </si>
  <si>
    <t>All monetary amounts in the financial statements are stated in whole euros, unless stated otherwise.</t>
  </si>
  <si>
    <t xml:space="preserve">The Company consistently applied the accounting methods and the general accounting principles. </t>
  </si>
  <si>
    <t>The Company started amortization of goodwill from 1.1.2016 for the period of seven years.</t>
  </si>
  <si>
    <t xml:space="preserve">e)    Valuation allowances </t>
  </si>
  <si>
    <t>Valuation allowances are recorded based on the accounting principle of prudence if it can be justifiably assumed that the value of an asset has been impaired when compared to its value in the books. A valuation allowance is recognized in the amount of a justified assumption for an impairment of an asset when compared to its value in the books.</t>
  </si>
  <si>
    <t>f)    Receivables</t>
  </si>
  <si>
    <t>g)    Deferred Expenses and Accrued Revenues</t>
  </si>
  <si>
    <t xml:space="preserve">h)    Liabilities </t>
  </si>
  <si>
    <t>i)    Provisions</t>
  </si>
  <si>
    <t>j)    Deferred Revenues and Accrued Expenses</t>
  </si>
  <si>
    <t>k)    Equity</t>
  </si>
  <si>
    <t>l)    Foreign Currency Transactions</t>
  </si>
  <si>
    <t>m)    Revenues</t>
  </si>
  <si>
    <t>n)   Income Tax</t>
  </si>
  <si>
    <t>o)   Correction of misstatements from previous periods</t>
  </si>
  <si>
    <t>Deferred taxes (deferred tax asset and deferred tax liability) relate to:</t>
  </si>
  <si>
    <t>Corporate income tax is expensed in the period when the tax liability arises. In the accompanying income statement, the tax expense is calculated on the basis of the profit/(loss) before taxes adjusted for tax-deductible and tax non-deductible items due to permanent and temporary adjustments to the tax base and any tax losses carried forward. The tax liability is stated net of corporate income tax advances that the Company paid during the year. If corporate income tax advances paid during the year exceed the tax liability for the period, the Company records an income tax receivable.</t>
  </si>
  <si>
    <t>Deferred tax is not applied on goodwill or negative goodwill on initial recognition. Deferred tax is applied to temporary differences related to goodwill or negative goodwill when the differences arise after its initial recognition (e.g. due to different tax and book depreciation charges) if no temporary differences arose on the initial recognition of goodwill or negative goodwill.</t>
  </si>
  <si>
    <t>Financial accounts are available for the Company’s use in full.</t>
  </si>
  <si>
    <t>Off-balance sheet accounts</t>
  </si>
  <si>
    <t>Assets under operating lease</t>
  </si>
  <si>
    <t>Horeuvedené čiastky predstavujú výšku ročnej platby za prenajatý majetok a operatívny prenájom.</t>
  </si>
  <si>
    <t>The information above presents the annual operating lease and rental payments.</t>
  </si>
  <si>
    <t>Operating income and financial income</t>
  </si>
  <si>
    <t>Information on operating and financial income:</t>
  </si>
  <si>
    <t>Non tax write off debts - factoring</t>
  </si>
  <si>
    <t>Other operating revenues - factoring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</si>
</sst>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_-* #,##0.00\ _S_k_-;\-* #,##0.00\ _S_k_-;_-* &quot;-&quot;??\ _S_k_-;_-@_-"/>
    <numFmt numFmtId="165" formatCode="0.0%"/>
    <numFmt numFmtId="166" formatCode="&quot;=round(&quot;0&quot;;0)&quot;"/>
    <numFmt numFmtId="167" formatCode="#,##0.0"/>
    <numFmt numFmtId="168" formatCode="#,##0;\-#,##0;&quot;&quot;"/>
    <numFmt numFmtId="169" formatCode="[&lt;=9999999]###\ ##\ ##;##\ ##\ ##\ ##"/>
    <numFmt numFmtId="170" formatCode="[$-41B]mmmmm;@"/>
    <numFmt numFmtId="171" formatCode="_*\ #,##0__;_(* \-#,##0__;_(&quot;&quot;_);_(@_)"/>
    <numFmt numFmtId="172" formatCode="d/m/yyyy;@"/>
    <numFmt numFmtId="173" formatCode="00"/>
    <numFmt numFmtId="174" formatCode="dd\.mm\.yyyy"/>
    <numFmt numFmtId="175" formatCode="#,##0\ [$EUR]"/>
    <numFmt numFmtId="176" formatCode="#,##0&quot; &quot;;\(#,##0\);\-&quot;  &quot;"/>
    <numFmt numFmtId="177" formatCode="_-* #,##0.00_-;\-* #,##0.00_-;_-* &quot;-&quot;??_-;_-@_-"/>
    <numFmt numFmtId="178" formatCode="_([$€]* #,##0.00_);_([$€]* \(#,##0.00\);_([$€]* &quot;-&quot;??_);_(@_)"/>
    <numFmt numFmtId="179" formatCode="#,###,##0.00;\(#,###,##0.00\)"/>
    <numFmt numFmtId="180" formatCode="&quot;£&quot;#,###,##0.00;\(&quot;£&quot;#,###,##0.00\)"/>
    <numFmt numFmtId="181" formatCode="#,##0.00%;\(#,##0.00%\)"/>
  </numFmts>
  <fonts count="135">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1"/>
      <name val="Arial CE"/>
      <family val="2"/>
      <charset val="238"/>
    </font>
    <font>
      <sz val="11"/>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sz val="8"/>
      <color theme="1"/>
      <name val="Calibri"/>
      <family val="2"/>
      <charset val="238"/>
      <scheme val="minor"/>
    </font>
    <font>
      <i/>
      <sz val="8"/>
      <color indexed="10"/>
      <name val="Arial"/>
      <family val="2"/>
    </font>
    <font>
      <b/>
      <i/>
      <sz val="8"/>
      <color indexed="10"/>
      <name val="Arial"/>
      <family val="2"/>
    </font>
    <font>
      <b/>
      <sz val="8"/>
      <name val="Tahoma"/>
      <family val="2"/>
      <charset val="238"/>
    </font>
    <font>
      <sz val="8"/>
      <name val="Tahoma"/>
      <family val="2"/>
      <charset val="238"/>
    </font>
    <font>
      <i/>
      <sz val="8.5"/>
      <name val="Arial"/>
      <family val="2"/>
      <charset val="238"/>
    </font>
    <font>
      <i/>
      <sz val="7"/>
      <name val="Arial"/>
      <family val="2"/>
      <charset val="238"/>
    </font>
    <font>
      <sz val="14"/>
      <name val="Arial"/>
      <family val="2"/>
      <charset val="238"/>
    </font>
    <font>
      <sz val="10"/>
      <name val="MS Sans Serif"/>
      <family val="2"/>
      <charset val="238"/>
    </font>
    <font>
      <vertAlign val="superscript"/>
      <sz val="14"/>
      <name val="Arial"/>
      <family val="2"/>
      <charset val="238"/>
    </font>
    <font>
      <sz val="8"/>
      <color rgb="FF000000"/>
      <name val="Arial"/>
      <family val="2"/>
      <charset val="238"/>
    </font>
    <font>
      <sz val="10"/>
      <name val="Helv"/>
      <charset val="238"/>
    </font>
    <font>
      <sz val="8"/>
      <color rgb="FFFF0000"/>
      <name val="Arial"/>
      <family val="2"/>
      <charset val="238"/>
    </font>
    <font>
      <sz val="8"/>
      <color rgb="FFFF0000"/>
      <name val="Arial"/>
      <family val="2"/>
    </font>
    <font>
      <b/>
      <sz val="8"/>
      <color indexed="12"/>
      <name val="Arial"/>
      <family val="2"/>
    </font>
    <font>
      <u/>
      <sz val="10"/>
      <color theme="10"/>
      <name val="Arial CE"/>
      <charset val="238"/>
    </font>
    <font>
      <i/>
      <sz val="8"/>
      <color theme="10"/>
      <name val="Arial CE"/>
      <charset val="238"/>
    </font>
    <font>
      <i/>
      <sz val="8"/>
      <name val="Arial"/>
      <family val="2"/>
    </font>
    <font>
      <b/>
      <sz val="12"/>
      <name val="Calibri"/>
      <family val="2"/>
      <charset val="238"/>
    </font>
    <font>
      <sz val="7.5"/>
      <name val="Arial"/>
      <family val="2"/>
    </font>
    <font>
      <sz val="11.5"/>
      <color rgb="FF000000"/>
      <name val="Times New Roman"/>
      <family val="1"/>
      <charset val="238"/>
    </font>
    <font>
      <sz val="11.5"/>
      <name val="Times New Roman"/>
      <family val="1"/>
      <charset val="238"/>
    </font>
    <font>
      <b/>
      <sz val="8"/>
      <color rgb="FF000000"/>
      <name val="Arial"/>
      <family val="2"/>
      <charset val="238"/>
    </font>
    <font>
      <sz val="12"/>
      <name val="Arial MT"/>
    </font>
    <font>
      <sz val="11"/>
      <color indexed="8"/>
      <name val="Calibri"/>
      <family val="2"/>
    </font>
    <font>
      <sz val="11"/>
      <color theme="1"/>
      <name val="Calibri"/>
      <family val="2"/>
      <scheme val="minor"/>
    </font>
    <font>
      <sz val="11"/>
      <color indexed="9"/>
      <name val="Calibri"/>
      <family val="2"/>
    </font>
    <font>
      <sz val="10.25"/>
      <name val="Arial"/>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1"/>
      <color indexed="62"/>
      <name val="Calibri"/>
      <family val="2"/>
    </font>
    <font>
      <i/>
      <sz val="11"/>
      <color indexed="23"/>
      <name val="Calibri"/>
      <family val="2"/>
    </font>
    <font>
      <sz val="10"/>
      <color indexed="0"/>
      <name val="Arial"/>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8"/>
      <color indexed="62"/>
      <name val="Cambria"/>
      <family val="2"/>
    </font>
    <font>
      <b/>
      <sz val="11"/>
      <color indexed="8"/>
      <name val="Calibri"/>
      <family val="2"/>
    </font>
    <font>
      <sz val="8"/>
      <color theme="1"/>
      <name val="Arial"/>
      <family val="2"/>
    </font>
    <font>
      <b/>
      <sz val="14"/>
      <name val="Arial CE"/>
      <charset val="238"/>
    </font>
    <font>
      <u/>
      <sz val="11"/>
      <color theme="10"/>
      <name val="Calibri"/>
      <family val="2"/>
      <charset val="238"/>
      <scheme val="minor"/>
    </font>
    <font>
      <sz val="10"/>
      <color rgb="FF000000"/>
      <name val="Arial"/>
      <family val="2"/>
      <charset val="238"/>
    </font>
  </fonts>
  <fills count="3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FFF99"/>
        <bgColor indexed="64"/>
      </patternFill>
    </fill>
    <fill>
      <patternFill patternType="solid">
        <fgColor rgb="FFCCFF9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55"/>
      </patternFill>
    </fill>
    <fill>
      <patternFill patternType="solid">
        <fgColor indexed="43"/>
      </patternFill>
    </fill>
    <fill>
      <patternFill patternType="solid">
        <fgColor rgb="FF92D050"/>
        <bgColor indexed="64"/>
      </patternFill>
    </fill>
  </fills>
  <borders count="158">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thin">
        <color indexed="64"/>
      </right>
      <top/>
      <bottom/>
      <diagonal/>
    </border>
    <border>
      <left style="hair">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right/>
      <top/>
      <bottom style="medium">
        <color auto="1"/>
      </bottom>
      <diagonal/>
    </border>
  </borders>
  <cellStyleXfs count="226">
    <xf numFmtId="0" fontId="0" fillId="0" borderId="0"/>
    <xf numFmtId="9" fontId="15" fillId="0" borderId="0" applyFont="0" applyFill="0" applyBorder="0" applyAlignment="0" applyProtection="0"/>
    <xf numFmtId="0" fontId="23" fillId="0" borderId="0"/>
    <xf numFmtId="9" fontId="23" fillId="0" borderId="0" applyFont="0" applyFill="0" applyBorder="0" applyAlignment="0" applyProtection="0"/>
    <xf numFmtId="0" fontId="14" fillId="0" borderId="0"/>
    <xf numFmtId="0" fontId="27" fillId="0" borderId="0"/>
    <xf numFmtId="0" fontId="33" fillId="0" borderId="0"/>
    <xf numFmtId="0" fontId="34" fillId="0" borderId="0"/>
    <xf numFmtId="0" fontId="27" fillId="0" borderId="0"/>
    <xf numFmtId="0" fontId="71" fillId="0" borderId="0"/>
    <xf numFmtId="0" fontId="27" fillId="0" borderId="0"/>
    <xf numFmtId="0" fontId="78" fillId="0" borderId="0" applyNumberFormat="0" applyFill="0" applyBorder="0" applyAlignment="0" applyProtection="0">
      <alignment vertical="top"/>
      <protection locked="0"/>
    </xf>
    <xf numFmtId="0" fontId="8" fillId="0" borderId="0"/>
    <xf numFmtId="164" fontId="23" fillId="0" borderId="0" applyFont="0" applyFill="0" applyBorder="0" applyAlignment="0" applyProtection="0"/>
    <xf numFmtId="0" fontId="27" fillId="0" borderId="0"/>
    <xf numFmtId="0" fontId="68" fillId="0" borderId="0"/>
    <xf numFmtId="0" fontId="93" fillId="0" borderId="0"/>
    <xf numFmtId="0" fontId="27" fillId="0" borderId="0"/>
    <xf numFmtId="0" fontId="27" fillId="0" borderId="0"/>
    <xf numFmtId="0" fontId="95" fillId="0" borderId="0">
      <alignment horizontal="left" vertical="top"/>
    </xf>
    <xf numFmtId="0" fontId="95" fillId="0" borderId="0">
      <alignment horizontal="right" vertical="top"/>
    </xf>
    <xf numFmtId="0" fontId="96" fillId="0" borderId="0"/>
    <xf numFmtId="0" fontId="100" fillId="0" borderId="0" applyNumberFormat="0" applyFill="0" applyBorder="0" applyAlignment="0" applyProtection="0">
      <alignment vertical="top"/>
      <protection locked="0"/>
    </xf>
    <xf numFmtId="0" fontId="27" fillId="0" borderId="0"/>
    <xf numFmtId="0" fontId="7" fillId="0" borderId="0"/>
    <xf numFmtId="0" fontId="15" fillId="0" borderId="0"/>
    <xf numFmtId="0" fontId="15" fillId="0" borderId="0"/>
    <xf numFmtId="0" fontId="15" fillId="0" borderId="0"/>
    <xf numFmtId="0" fontId="15" fillId="0" borderId="0"/>
    <xf numFmtId="0" fontId="108" fillId="0" borderId="0"/>
    <xf numFmtId="0" fontId="109" fillId="12" borderId="0" applyNumberFormat="0" applyBorder="0" applyAlignment="0" applyProtection="0"/>
    <xf numFmtId="0" fontId="109" fillId="13" borderId="0" applyNumberFormat="0" applyBorder="0" applyAlignment="0" applyProtection="0"/>
    <xf numFmtId="0" fontId="109" fillId="14" borderId="0" applyNumberFormat="0" applyBorder="0" applyAlignment="0" applyProtection="0"/>
    <xf numFmtId="0" fontId="109" fillId="15" borderId="0" applyNumberFormat="0" applyBorder="0" applyAlignment="0" applyProtection="0"/>
    <xf numFmtId="0" fontId="109" fillId="16" borderId="0" applyNumberFormat="0" applyBorder="0" applyAlignment="0" applyProtection="0"/>
    <xf numFmtId="0" fontId="109" fillId="17" borderId="0" applyNumberFormat="0" applyBorder="0" applyAlignment="0" applyProtection="0"/>
    <xf numFmtId="0" fontId="109" fillId="12" borderId="0" applyNumberFormat="0" applyBorder="0" applyAlignment="0" applyProtection="0"/>
    <xf numFmtId="0" fontId="109" fillId="12" borderId="0" applyNumberFormat="0" applyBorder="0" applyAlignment="0" applyProtection="0"/>
    <xf numFmtId="0" fontId="109" fillId="12" borderId="0" applyNumberFormat="0" applyBorder="0" applyAlignment="0" applyProtection="0"/>
    <xf numFmtId="0" fontId="109" fillId="13" borderId="0" applyNumberFormat="0" applyBorder="0" applyAlignment="0" applyProtection="0"/>
    <xf numFmtId="0" fontId="109" fillId="13" borderId="0" applyNumberFormat="0" applyBorder="0" applyAlignment="0" applyProtection="0"/>
    <xf numFmtId="0" fontId="109" fillId="13" borderId="0" applyNumberFormat="0" applyBorder="0" applyAlignment="0" applyProtection="0"/>
    <xf numFmtId="0" fontId="109" fillId="14" borderId="0" applyNumberFormat="0" applyBorder="0" applyAlignment="0" applyProtection="0"/>
    <xf numFmtId="0" fontId="109" fillId="14" borderId="0" applyNumberFormat="0" applyBorder="0" applyAlignment="0" applyProtection="0"/>
    <xf numFmtId="0" fontId="109" fillId="14"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6" borderId="0" applyNumberFormat="0" applyBorder="0" applyAlignment="0" applyProtection="0"/>
    <xf numFmtId="0" fontId="109" fillId="16" borderId="0" applyNumberFormat="0" applyBorder="0" applyAlignment="0" applyProtection="0"/>
    <xf numFmtId="0" fontId="109" fillId="16" borderId="0" applyNumberFormat="0" applyBorder="0" applyAlignment="0" applyProtection="0"/>
    <xf numFmtId="0" fontId="109" fillId="17" borderId="0" applyNumberFormat="0" applyBorder="0" applyAlignment="0" applyProtection="0"/>
    <xf numFmtId="0" fontId="109" fillId="17" borderId="0" applyNumberFormat="0" applyBorder="0" applyAlignment="0" applyProtection="0"/>
    <xf numFmtId="0" fontId="109" fillId="17" borderId="0" applyNumberFormat="0" applyBorder="0" applyAlignment="0" applyProtection="0"/>
    <xf numFmtId="0" fontId="109" fillId="18" borderId="0" applyNumberFormat="0" applyBorder="0" applyAlignment="0" applyProtection="0"/>
    <xf numFmtId="0" fontId="109" fillId="19" borderId="0" applyNumberFormat="0" applyBorder="0" applyAlignment="0" applyProtection="0"/>
    <xf numFmtId="0" fontId="109" fillId="20" borderId="0" applyNumberFormat="0" applyBorder="0" applyAlignment="0" applyProtection="0"/>
    <xf numFmtId="0" fontId="109" fillId="15" borderId="0" applyNumberFormat="0" applyBorder="0" applyAlignment="0" applyProtection="0"/>
    <xf numFmtId="0" fontId="109" fillId="18" borderId="0" applyNumberFormat="0" applyBorder="0" applyAlignment="0" applyProtection="0"/>
    <xf numFmtId="0" fontId="109" fillId="21"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20" borderId="0" applyNumberFormat="0" applyBorder="0" applyAlignment="0" applyProtection="0"/>
    <xf numFmtId="0" fontId="109" fillId="20" borderId="0" applyNumberFormat="0" applyBorder="0" applyAlignment="0" applyProtection="0"/>
    <xf numFmtId="0" fontId="109" fillId="20" borderId="0" applyNumberFormat="0" applyBorder="0" applyAlignment="0" applyProtection="0"/>
    <xf numFmtId="0" fontId="110" fillId="20"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21" borderId="0" applyNumberFormat="0" applyBorder="0" applyAlignment="0" applyProtection="0"/>
    <xf numFmtId="0" fontId="109" fillId="21" borderId="0" applyNumberFormat="0" applyBorder="0" applyAlignment="0" applyProtection="0"/>
    <xf numFmtId="0" fontId="109" fillId="21" borderId="0" applyNumberFormat="0" applyBorder="0" applyAlignment="0" applyProtection="0"/>
    <xf numFmtId="0" fontId="111" fillId="22" borderId="0" applyNumberFormat="0" applyBorder="0" applyAlignment="0" applyProtection="0"/>
    <xf numFmtId="0" fontId="111" fillId="19" borderId="0" applyNumberFormat="0" applyBorder="0" applyAlignment="0" applyProtection="0"/>
    <xf numFmtId="0" fontId="111" fillId="20"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5" borderId="0" applyNumberFormat="0" applyBorder="0" applyAlignment="0" applyProtection="0"/>
    <xf numFmtId="0" fontId="111" fillId="22" borderId="0" applyNumberFormat="0" applyBorder="0" applyAlignment="0" applyProtection="0"/>
    <xf numFmtId="0" fontId="111" fillId="22" borderId="0" applyNumberFormat="0" applyBorder="0" applyAlignment="0" applyProtection="0"/>
    <xf numFmtId="0" fontId="111" fillId="22"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5" borderId="0" applyNumberFormat="0" applyBorder="0" applyAlignment="0" applyProtection="0"/>
    <xf numFmtId="0" fontId="111" fillId="25" borderId="0" applyNumberFormat="0" applyBorder="0" applyAlignment="0" applyProtection="0"/>
    <xf numFmtId="0" fontId="111" fillId="25" borderId="0" applyNumberFormat="0" applyBorder="0" applyAlignment="0" applyProtection="0"/>
    <xf numFmtId="0" fontId="111" fillId="26" borderId="0" applyNumberFormat="0" applyBorder="0" applyAlignment="0" applyProtection="0"/>
    <xf numFmtId="0" fontId="111" fillId="26" borderId="0" applyNumberFormat="0" applyBorder="0" applyAlignment="0" applyProtection="0"/>
    <xf numFmtId="0" fontId="111" fillId="26" borderId="0" applyNumberFormat="0" applyBorder="0" applyAlignment="0" applyProtection="0"/>
    <xf numFmtId="0" fontId="111" fillId="27" borderId="0" applyNumberFormat="0" applyBorder="0" applyAlignment="0" applyProtection="0"/>
    <xf numFmtId="0" fontId="111" fillId="27" borderId="0" applyNumberFormat="0" applyBorder="0" applyAlignment="0" applyProtection="0"/>
    <xf numFmtId="0" fontId="111" fillId="27" borderId="0" applyNumberFormat="0" applyBorder="0" applyAlignment="0" applyProtection="0"/>
    <xf numFmtId="0" fontId="111" fillId="28" borderId="0" applyNumberFormat="0" applyBorder="0" applyAlignment="0" applyProtection="0"/>
    <xf numFmtId="0" fontId="111" fillId="28" borderId="0" applyNumberFormat="0" applyBorder="0" applyAlignment="0" applyProtection="0"/>
    <xf numFmtId="0" fontId="111" fillId="28"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9" borderId="0" applyNumberFormat="0" applyBorder="0" applyAlignment="0" applyProtection="0"/>
    <xf numFmtId="0" fontId="111" fillId="29" borderId="0" applyNumberFormat="0" applyBorder="0" applyAlignment="0" applyProtection="0"/>
    <xf numFmtId="0" fontId="111" fillId="29" borderId="0" applyNumberFormat="0" applyBorder="0" applyAlignment="0" applyProtection="0"/>
    <xf numFmtId="0" fontId="108" fillId="0" borderId="0"/>
    <xf numFmtId="0" fontId="68" fillId="0" borderId="0"/>
    <xf numFmtId="0" fontId="112" fillId="0" borderId="0"/>
    <xf numFmtId="0" fontId="113" fillId="0" borderId="0" applyNumberFormat="0" applyFill="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5" fillId="30" borderId="147" applyNumberFormat="0" applyAlignment="0" applyProtection="0"/>
    <xf numFmtId="0" fontId="115" fillId="30" borderId="147" applyNumberFormat="0" applyAlignment="0" applyProtection="0"/>
    <xf numFmtId="0" fontId="115" fillId="30" borderId="147" applyNumberFormat="0" applyAlignment="0" applyProtection="0"/>
    <xf numFmtId="0" fontId="115" fillId="30" borderId="147" applyNumberFormat="0" applyAlignment="0" applyProtection="0"/>
    <xf numFmtId="0" fontId="116" fillId="0" borderId="148" applyNumberFormat="0" applyFill="0" applyAlignment="0" applyProtection="0"/>
    <xf numFmtId="177" fontId="68" fillId="0" borderId="0" applyFont="0" applyFill="0" applyBorder="0" applyAlignment="0" applyProtection="0"/>
    <xf numFmtId="0" fontId="68" fillId="31" borderId="149" applyNumberFormat="0" applyFont="0" applyAlignment="0" applyProtection="0"/>
    <xf numFmtId="0" fontId="117" fillId="17" borderId="147" applyNumberFormat="0" applyAlignment="0" applyProtection="0"/>
    <xf numFmtId="178" fontId="68" fillId="0" borderId="0" applyFon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179" fontId="119" fillId="0" borderId="0"/>
    <xf numFmtId="180" fontId="119" fillId="0" borderId="0"/>
    <xf numFmtId="181" fontId="119" fillId="0" borderId="0"/>
    <xf numFmtId="0" fontId="120" fillId="14" borderId="0" applyNumberFormat="0" applyBorder="0" applyAlignment="0" applyProtection="0"/>
    <xf numFmtId="0" fontId="120" fillId="14" borderId="0" applyNumberFormat="0" applyBorder="0" applyAlignment="0" applyProtection="0"/>
    <xf numFmtId="0" fontId="120" fillId="14" borderId="0" applyNumberFormat="0" applyBorder="0" applyAlignment="0" applyProtection="0"/>
    <xf numFmtId="0" fontId="121" fillId="0" borderId="150" applyNumberFormat="0" applyFill="0" applyAlignment="0" applyProtection="0"/>
    <xf numFmtId="0" fontId="121" fillId="0" borderId="150" applyNumberFormat="0" applyFill="0" applyAlignment="0" applyProtection="0"/>
    <xf numFmtId="0" fontId="121" fillId="0" borderId="150" applyNumberFormat="0" applyFill="0" applyAlignment="0" applyProtection="0"/>
    <xf numFmtId="0" fontId="122" fillId="0" borderId="151" applyNumberFormat="0" applyFill="0" applyAlignment="0" applyProtection="0"/>
    <xf numFmtId="0" fontId="122" fillId="0" borderId="151" applyNumberFormat="0" applyFill="0" applyAlignment="0" applyProtection="0"/>
    <xf numFmtId="0" fontId="122" fillId="0" borderId="151" applyNumberFormat="0" applyFill="0" applyAlignment="0" applyProtection="0"/>
    <xf numFmtId="0" fontId="123" fillId="0" borderId="152" applyNumberFormat="0" applyFill="0" applyAlignment="0" applyProtection="0"/>
    <xf numFmtId="0" fontId="123" fillId="0" borderId="152" applyNumberFormat="0" applyFill="0" applyAlignment="0" applyProtection="0"/>
    <xf numFmtId="0" fontId="123" fillId="0" borderId="152" applyNumberFormat="0" applyFill="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32" borderId="153" applyNumberFormat="0" applyAlignment="0" applyProtection="0"/>
    <xf numFmtId="0" fontId="124" fillId="32" borderId="153" applyNumberFormat="0" applyAlignment="0" applyProtection="0"/>
    <xf numFmtId="0" fontId="124" fillId="32" borderId="153" applyNumberFormat="0" applyAlignment="0" applyProtection="0"/>
    <xf numFmtId="0" fontId="117" fillId="17" borderId="147" applyNumberFormat="0" applyAlignment="0" applyProtection="0"/>
    <xf numFmtId="0" fontId="117" fillId="17" borderId="147" applyNumberFormat="0" applyAlignment="0" applyProtection="0"/>
    <xf numFmtId="0" fontId="117" fillId="17" borderId="147" applyNumberFormat="0" applyAlignment="0" applyProtection="0"/>
    <xf numFmtId="0" fontId="114" fillId="13" borderId="0" applyNumberFormat="0" applyBorder="0" applyAlignment="0" applyProtection="0"/>
    <xf numFmtId="0" fontId="116" fillId="0" borderId="148" applyNumberFormat="0" applyFill="0" applyAlignment="0" applyProtection="0"/>
    <xf numFmtId="0" fontId="116" fillId="0" borderId="148" applyNumberFormat="0" applyFill="0" applyAlignment="0" applyProtection="0"/>
    <xf numFmtId="0" fontId="116" fillId="0" borderId="148" applyNumberFormat="0" applyFill="0" applyAlignment="0" applyProtection="0"/>
    <xf numFmtId="0" fontId="125" fillId="33" borderId="0" applyNumberFormat="0" applyBorder="0" applyAlignment="0" applyProtection="0"/>
    <xf numFmtId="0" fontId="125" fillId="33" borderId="0" applyNumberFormat="0" applyBorder="0" applyAlignment="0" applyProtection="0"/>
    <xf numFmtId="0" fontId="125" fillId="33" borderId="0" applyNumberFormat="0" applyBorder="0" applyAlignment="0" applyProtection="0"/>
    <xf numFmtId="0" fontId="125" fillId="33" borderId="0" applyNumberFormat="0" applyBorder="0" applyAlignment="0" applyProtection="0"/>
    <xf numFmtId="0" fontId="110" fillId="0" borderId="0"/>
    <xf numFmtId="0" fontId="109" fillId="0" borderId="0"/>
    <xf numFmtId="0" fontId="68" fillId="0" borderId="0"/>
    <xf numFmtId="0" fontId="68" fillId="0" borderId="0"/>
    <xf numFmtId="0" fontId="126" fillId="0" borderId="0"/>
    <xf numFmtId="0" fontId="109" fillId="0" borderId="0"/>
    <xf numFmtId="0" fontId="110" fillId="0" borderId="0"/>
    <xf numFmtId="0" fontId="68" fillId="0" borderId="0"/>
    <xf numFmtId="0" fontId="15" fillId="0" borderId="0"/>
    <xf numFmtId="0" fontId="109" fillId="31" borderId="149" applyNumberFormat="0" applyFont="0" applyAlignment="0" applyProtection="0"/>
    <xf numFmtId="0" fontId="109" fillId="31" borderId="149" applyNumberFormat="0" applyFont="0" applyAlignment="0" applyProtection="0"/>
    <xf numFmtId="0" fontId="109" fillId="31" borderId="149" applyNumberFormat="0" applyFont="0" applyAlignment="0" applyProtection="0"/>
    <xf numFmtId="0" fontId="127" fillId="30" borderId="154" applyNumberFormat="0" applyAlignment="0" applyProtection="0"/>
    <xf numFmtId="0" fontId="127" fillId="30" borderId="154" applyNumberFormat="0" applyAlignment="0" applyProtection="0"/>
    <xf numFmtId="0" fontId="127" fillId="30" borderId="154" applyNumberFormat="0" applyAlignment="0" applyProtection="0"/>
    <xf numFmtId="9" fontId="109" fillId="0" borderId="0" applyFont="0" applyFill="0" applyBorder="0" applyAlignment="0" applyProtection="0"/>
    <xf numFmtId="0" fontId="120" fillId="14" borderId="0" applyNumberFormat="0" applyBorder="0" applyAlignment="0" applyProtection="0"/>
    <xf numFmtId="0" fontId="127" fillId="30" borderId="154" applyNumberFormat="0" applyAlignment="0" applyProtection="0"/>
    <xf numFmtId="37" fontId="108" fillId="0" borderId="0"/>
    <xf numFmtId="0" fontId="119" fillId="0" borderId="0"/>
    <xf numFmtId="0" fontId="11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1" fillId="0" borderId="150" applyNumberFormat="0" applyFill="0" applyAlignment="0" applyProtection="0"/>
    <xf numFmtId="0" fontId="122" fillId="0" borderId="151" applyNumberFormat="0" applyFill="0" applyAlignment="0" applyProtection="0"/>
    <xf numFmtId="0" fontId="123" fillId="0" borderId="152" applyNumberFormat="0" applyFill="0" applyAlignment="0" applyProtection="0"/>
    <xf numFmtId="0" fontId="123" fillId="0" borderId="0" applyNumberFormat="0" applyFill="0" applyBorder="0" applyAlignment="0" applyProtection="0"/>
    <xf numFmtId="0" fontId="129" fillId="0" borderId="0" applyNumberFormat="0" applyFill="0" applyBorder="0" applyAlignment="0" applyProtection="0"/>
    <xf numFmtId="0" fontId="130" fillId="0" borderId="155" applyNumberFormat="0" applyFill="0" applyAlignment="0" applyProtection="0"/>
    <xf numFmtId="0" fontId="130" fillId="0" borderId="155" applyNumberFormat="0" applyFill="0" applyAlignment="0" applyProtection="0"/>
    <xf numFmtId="0" fontId="130" fillId="0" borderId="155" applyNumberFormat="0" applyFill="0" applyAlignment="0" applyProtection="0"/>
    <xf numFmtId="0" fontId="124" fillId="32" borderId="153" applyNumberFormat="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27" fillId="0" borderId="0">
      <alignment vertical="center"/>
    </xf>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1" fillId="0" borderId="0"/>
    <xf numFmtId="0" fontId="15" fillId="0" borderId="0"/>
    <xf numFmtId="0" fontId="116" fillId="0" borderId="156" applyNumberFormat="0" applyFill="0" applyAlignment="0" applyProtection="0"/>
    <xf numFmtId="0" fontId="116" fillId="0" borderId="156" applyNumberFormat="0" applyFill="0" applyAlignment="0" applyProtection="0"/>
    <xf numFmtId="0" fontId="116" fillId="0" borderId="156" applyNumberFormat="0" applyFill="0" applyAlignment="0" applyProtection="0"/>
    <xf numFmtId="0" fontId="116" fillId="0" borderId="156" applyNumberFormat="0" applyFill="0" applyAlignment="0" applyProtection="0"/>
    <xf numFmtId="0" fontId="7" fillId="0" borderId="0"/>
    <xf numFmtId="0" fontId="133" fillId="0" borderId="0" applyNumberFormat="0" applyFill="0" applyBorder="0" applyAlignment="0" applyProtection="0"/>
  </cellStyleXfs>
  <cellXfs count="2773">
    <xf numFmtId="0" fontId="0" fillId="0" borderId="0" xfId="0"/>
    <xf numFmtId="0" fontId="16" fillId="0" borderId="0" xfId="0" applyFont="1" applyAlignment="1">
      <alignment horizontal="left"/>
    </xf>
    <xf numFmtId="0" fontId="17" fillId="0" borderId="0" xfId="0" applyFont="1"/>
    <xf numFmtId="0" fontId="16" fillId="0" borderId="0" xfId="0" applyFont="1" applyAlignment="1">
      <alignment horizontal="justify"/>
    </xf>
    <xf numFmtId="0" fontId="0" fillId="0" borderId="0" xfId="0" applyAlignment="1">
      <alignment wrapText="1"/>
    </xf>
    <xf numFmtId="0" fontId="17" fillId="0" borderId="0" xfId="0" applyFont="1" applyAlignment="1">
      <alignment horizontal="left"/>
    </xf>
    <xf numFmtId="0" fontId="17" fillId="0" borderId="0" xfId="0" applyFont="1" applyAlignment="1">
      <alignment horizontal="justify"/>
    </xf>
    <xf numFmtId="0" fontId="0" fillId="0" borderId="43" xfId="0" applyBorder="1" applyAlignment="1">
      <alignment horizontal="center"/>
    </xf>
    <xf numFmtId="0" fontId="0" fillId="0" borderId="43" xfId="0" applyBorder="1"/>
    <xf numFmtId="0" fontId="18" fillId="0" borderId="0" xfId="0" applyFo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0" fillId="0" borderId="3" xfId="0" applyFont="1" applyBorder="1" applyAlignment="1">
      <alignment vertical="center" wrapText="1"/>
    </xf>
    <xf numFmtId="3" fontId="20" fillId="0" borderId="4" xfId="0" applyNumberFormat="1" applyFont="1" applyBorder="1" applyAlignment="1">
      <alignment horizontal="right" vertical="center" wrapText="1"/>
    </xf>
    <xf numFmtId="0" fontId="20" fillId="0" borderId="5" xfId="0" applyFont="1" applyBorder="1" applyAlignment="1">
      <alignment vertical="center" wrapText="1"/>
    </xf>
    <xf numFmtId="3" fontId="20" fillId="0" borderId="6" xfId="0" applyNumberFormat="1" applyFont="1" applyBorder="1" applyAlignment="1">
      <alignment horizontal="right" vertical="center" wrapText="1"/>
    </xf>
    <xf numFmtId="0" fontId="20" fillId="0" borderId="7" xfId="0" applyFont="1" applyBorder="1" applyAlignment="1">
      <alignment vertical="center" wrapText="1"/>
    </xf>
    <xf numFmtId="3" fontId="20" fillId="0" borderId="8" xfId="0" applyNumberFormat="1" applyFont="1" applyBorder="1" applyAlignment="1">
      <alignment horizontal="right" vertical="center" wrapText="1"/>
    </xf>
    <xf numFmtId="0" fontId="20" fillId="0" borderId="0" xfId="0" applyFont="1"/>
    <xf numFmtId="0" fontId="19" fillId="0" borderId="1" xfId="0" applyFont="1" applyBorder="1" applyAlignment="1">
      <alignment horizontal="center" vertical="center" wrapText="1"/>
    </xf>
    <xf numFmtId="0" fontId="20" fillId="0" borderId="0" xfId="0" applyFont="1" applyAlignment="1">
      <alignment vertical="center"/>
    </xf>
    <xf numFmtId="0" fontId="19" fillId="0" borderId="8" xfId="0" applyFont="1" applyBorder="1" applyAlignment="1">
      <alignment horizontal="center" vertical="center" wrapText="1"/>
    </xf>
    <xf numFmtId="3" fontId="20" fillId="0" borderId="13" xfId="0" applyNumberFormat="1" applyFont="1" applyBorder="1" applyAlignment="1">
      <alignment horizontal="right" vertical="center" wrapText="1"/>
    </xf>
    <xf numFmtId="9" fontId="20" fillId="0" borderId="13" xfId="1" applyFont="1" applyBorder="1" applyAlignment="1">
      <alignment horizontal="right" vertical="center" wrapText="1"/>
    </xf>
    <xf numFmtId="9" fontId="20" fillId="0" borderId="6" xfId="1" applyFont="1" applyBorder="1" applyAlignment="1">
      <alignment horizontal="right" vertical="center" wrapText="1"/>
    </xf>
    <xf numFmtId="0" fontId="19" fillId="0" borderId="7" xfId="0" applyFont="1" applyBorder="1" applyAlignment="1">
      <alignment vertical="center" wrapText="1"/>
    </xf>
    <xf numFmtId="3" fontId="20" fillId="0" borderId="14" xfId="0" applyNumberFormat="1" applyFont="1" applyBorder="1" applyAlignment="1">
      <alignment horizontal="right" vertical="center" wrapText="1"/>
    </xf>
    <xf numFmtId="9" fontId="20" fillId="0" borderId="14" xfId="0" applyNumberFormat="1" applyFont="1" applyBorder="1" applyAlignment="1">
      <alignment horizontal="right" vertical="center" wrapText="1"/>
    </xf>
    <xf numFmtId="9" fontId="20" fillId="0" borderId="14" xfId="1" applyFont="1" applyBorder="1" applyAlignment="1">
      <alignment horizontal="right" vertical="center" wrapText="1"/>
    </xf>
    <xf numFmtId="9" fontId="20" fillId="0" borderId="8" xfId="1" applyFont="1" applyBorder="1" applyAlignment="1">
      <alignment horizontal="right" vertical="center" wrapText="1"/>
    </xf>
    <xf numFmtId="0" fontId="19" fillId="0" borderId="7" xfId="0" applyFont="1" applyBorder="1" applyAlignment="1">
      <alignment horizontal="center" vertical="center" wrapText="1"/>
    </xf>
    <xf numFmtId="0" fontId="20" fillId="0" borderId="13" xfId="0" applyFont="1" applyBorder="1" applyAlignment="1">
      <alignment vertical="center" wrapText="1"/>
    </xf>
    <xf numFmtId="9" fontId="20" fillId="0" borderId="13" xfId="1" applyNumberFormat="1" applyFont="1" applyBorder="1" applyAlignment="1">
      <alignment horizontal="right" vertical="center" wrapText="1"/>
    </xf>
    <xf numFmtId="9" fontId="20" fillId="0" borderId="6" xfId="1" applyNumberFormat="1" applyFont="1" applyBorder="1" applyAlignment="1">
      <alignment horizontal="right" vertical="center" wrapText="1"/>
    </xf>
    <xf numFmtId="0" fontId="20" fillId="0" borderId="14" xfId="0" applyFont="1" applyBorder="1" applyAlignment="1">
      <alignment horizontal="center" vertical="center" wrapText="1"/>
    </xf>
    <xf numFmtId="9" fontId="20" fillId="0" borderId="14" xfId="1" applyNumberFormat="1" applyFont="1" applyBorder="1" applyAlignment="1">
      <alignment horizontal="right" vertical="center" wrapText="1"/>
    </xf>
    <xf numFmtId="9" fontId="20" fillId="0" borderId="8" xfId="1" applyNumberFormat="1" applyFont="1" applyBorder="1" applyAlignment="1">
      <alignment horizontal="right" vertical="center" wrapText="1"/>
    </xf>
    <xf numFmtId="0" fontId="0" fillId="0" borderId="0" xfId="0" applyAlignment="1">
      <alignment vertical="center"/>
    </xf>
    <xf numFmtId="0" fontId="19" fillId="0" borderId="10" xfId="0" applyFont="1" applyBorder="1" applyAlignment="1">
      <alignment horizontal="center" vertical="center" wrapText="1"/>
    </xf>
    <xf numFmtId="0" fontId="0" fillId="0" borderId="0" xfId="0" applyAlignment="1"/>
    <xf numFmtId="0" fontId="19" fillId="0" borderId="12" xfId="0" applyFont="1" applyBorder="1" applyAlignment="1">
      <alignment horizontal="center" vertical="center" wrapText="1"/>
    </xf>
    <xf numFmtId="0" fontId="20" fillId="0" borderId="15" xfId="0" applyFont="1" applyBorder="1" applyAlignment="1">
      <alignment vertical="center" wrapText="1"/>
    </xf>
    <xf numFmtId="0" fontId="20" fillId="0" borderId="11" xfId="0" applyFont="1" applyBorder="1" applyAlignment="1">
      <alignment vertical="center" wrapText="1"/>
    </xf>
    <xf numFmtId="0" fontId="20" fillId="0" borderId="10" xfId="0" applyFont="1" applyBorder="1" applyAlignment="1">
      <alignment vertical="center" wrapText="1"/>
    </xf>
    <xf numFmtId="0" fontId="19" fillId="0" borderId="5" xfId="0" applyFont="1" applyBorder="1" applyAlignment="1">
      <alignment vertical="center" wrapText="1"/>
    </xf>
    <xf numFmtId="3" fontId="20" fillId="0" borderId="16" xfId="0" applyNumberFormat="1" applyFont="1" applyBorder="1" applyAlignment="1">
      <alignment horizontal="right" vertical="center" wrapText="1"/>
    </xf>
    <xf numFmtId="3" fontId="20" fillId="0" borderId="17" xfId="0" applyNumberFormat="1" applyFont="1" applyBorder="1" applyAlignment="1">
      <alignment horizontal="right" vertical="center" wrapText="1"/>
    </xf>
    <xf numFmtId="3" fontId="20" fillId="0" borderId="18" xfId="0" applyNumberFormat="1" applyFont="1" applyBorder="1" applyAlignment="1">
      <alignment horizontal="right" vertical="center" wrapText="1"/>
    </xf>
    <xf numFmtId="0" fontId="20" fillId="0" borderId="0" xfId="0" applyFont="1" applyAlignment="1">
      <alignment vertical="center" wrapText="1"/>
    </xf>
    <xf numFmtId="0" fontId="20" fillId="0" borderId="0" xfId="0" applyFont="1" applyAlignment="1">
      <alignment horizontal="left" vertical="center"/>
    </xf>
    <xf numFmtId="0" fontId="19" fillId="0" borderId="2" xfId="0" applyFont="1" applyBorder="1" applyAlignment="1">
      <alignment horizontal="center" vertical="center" wrapText="1"/>
    </xf>
    <xf numFmtId="0" fontId="19" fillId="0" borderId="10" xfId="0" applyFont="1" applyBorder="1" applyAlignment="1">
      <alignment horizontal="center" vertical="center"/>
    </xf>
    <xf numFmtId="0" fontId="19" fillId="0" borderId="15" xfId="0" applyFont="1" applyBorder="1" applyAlignment="1">
      <alignment vertical="center"/>
    </xf>
    <xf numFmtId="0" fontId="19" fillId="0" borderId="11" xfId="0" applyFont="1" applyBorder="1" applyAlignment="1">
      <alignment vertical="center" wrapText="1"/>
    </xf>
    <xf numFmtId="0" fontId="19" fillId="0" borderId="10" xfId="0" applyFont="1" applyBorder="1" applyAlignment="1">
      <alignment vertical="center" wrapText="1"/>
    </xf>
    <xf numFmtId="9" fontId="20" fillId="0" borderId="13" xfId="1" applyFont="1" applyBorder="1" applyAlignment="1">
      <alignment horizontal="center" vertical="center" wrapText="1"/>
    </xf>
    <xf numFmtId="9" fontId="20" fillId="0" borderId="14" xfId="1" applyFont="1" applyBorder="1" applyAlignment="1">
      <alignment horizontal="center" vertical="center" wrapText="1"/>
    </xf>
    <xf numFmtId="0" fontId="19" fillId="0" borderId="28" xfId="0" applyFont="1" applyBorder="1" applyAlignment="1">
      <alignment horizontal="center" vertical="center" wrapText="1"/>
    </xf>
    <xf numFmtId="3" fontId="19" fillId="0" borderId="14" xfId="0" applyNumberFormat="1" applyFont="1" applyBorder="1" applyAlignment="1">
      <alignment horizontal="right" vertical="center" wrapText="1"/>
    </xf>
    <xf numFmtId="0" fontId="19" fillId="0" borderId="32" xfId="0" applyFont="1" applyBorder="1" applyAlignment="1">
      <alignment horizontal="center" vertical="center" wrapText="1"/>
    </xf>
    <xf numFmtId="3" fontId="19" fillId="0" borderId="8" xfId="0" applyNumberFormat="1" applyFont="1" applyBorder="1" applyAlignment="1">
      <alignment horizontal="right" vertical="center" wrapText="1"/>
    </xf>
    <xf numFmtId="0" fontId="20" fillId="0" borderId="14" xfId="0" applyFont="1" applyBorder="1" applyAlignment="1">
      <alignment horizontal="right" vertical="center" wrapText="1"/>
    </xf>
    <xf numFmtId="0" fontId="20" fillId="0" borderId="13" xfId="0" applyFont="1" applyBorder="1" applyAlignment="1">
      <alignment horizontal="center" vertical="center" wrapText="1"/>
    </xf>
    <xf numFmtId="0" fontId="19" fillId="0" borderId="0" xfId="0" applyFont="1" applyAlignment="1">
      <alignment horizontal="justify"/>
    </xf>
    <xf numFmtId="0" fontId="19" fillId="0" borderId="15" xfId="0" applyFont="1" applyBorder="1" applyAlignment="1">
      <alignment vertical="center" wrapText="1"/>
    </xf>
    <xf numFmtId="3" fontId="20" fillId="0" borderId="13" xfId="0" applyNumberFormat="1" applyFont="1" applyBorder="1" applyAlignment="1">
      <alignment horizontal="right" vertical="center" wrapText="1" indent="1"/>
    </xf>
    <xf numFmtId="3" fontId="20" fillId="0" borderId="6" xfId="0" applyNumberFormat="1" applyFont="1" applyBorder="1" applyAlignment="1">
      <alignment horizontal="right" vertical="center" wrapText="1" indent="1"/>
    </xf>
    <xf numFmtId="3" fontId="19" fillId="0" borderId="14" xfId="0" applyNumberFormat="1" applyFont="1" applyBorder="1" applyAlignment="1">
      <alignment horizontal="right" vertical="center" wrapText="1" indent="1"/>
    </xf>
    <xf numFmtId="3" fontId="19" fillId="0" borderId="8" xfId="0" applyNumberFormat="1" applyFont="1" applyBorder="1" applyAlignment="1">
      <alignment horizontal="right" vertical="center" wrapText="1" inden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20" fillId="0" borderId="5" xfId="0" applyFont="1" applyBorder="1" applyAlignment="1">
      <alignment vertical="center"/>
    </xf>
    <xf numFmtId="0" fontId="19" fillId="0" borderId="7" xfId="0" applyFont="1" applyBorder="1" applyAlignment="1">
      <alignment vertical="center"/>
    </xf>
    <xf numFmtId="0" fontId="19" fillId="0" borderId="32" xfId="0" applyFont="1" applyBorder="1" applyAlignment="1">
      <alignment vertical="center" wrapText="1"/>
    </xf>
    <xf numFmtId="0" fontId="20" fillId="0" borderId="3" xfId="0" applyFont="1" applyBorder="1" applyAlignment="1">
      <alignment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3" fontId="20" fillId="0" borderId="4" xfId="0" applyNumberFormat="1" applyFont="1" applyBorder="1" applyAlignment="1">
      <alignment horizontal="right" vertical="center"/>
    </xf>
    <xf numFmtId="3" fontId="20" fillId="0" borderId="8" xfId="0" applyNumberFormat="1" applyFont="1" applyBorder="1" applyAlignment="1">
      <alignment horizontal="right" vertical="center"/>
    </xf>
    <xf numFmtId="3" fontId="20" fillId="0" borderId="13" xfId="0" applyNumberFormat="1" applyFont="1" applyBorder="1" applyAlignment="1">
      <alignment horizontal="right" vertical="center"/>
    </xf>
    <xf numFmtId="3" fontId="20" fillId="0" borderId="6" xfId="0" applyNumberFormat="1" applyFont="1" applyBorder="1" applyAlignment="1">
      <alignment horizontal="right" vertical="center"/>
    </xf>
    <xf numFmtId="3" fontId="19" fillId="0" borderId="14" xfId="0" applyNumberFormat="1" applyFont="1" applyBorder="1" applyAlignment="1">
      <alignment horizontal="right" vertical="center"/>
    </xf>
    <xf numFmtId="3" fontId="19" fillId="0" borderId="8" xfId="0" applyNumberFormat="1" applyFont="1" applyBorder="1" applyAlignment="1">
      <alignment horizontal="right" vertical="center"/>
    </xf>
    <xf numFmtId="0" fontId="19" fillId="0" borderId="10" xfId="0" applyFont="1" applyBorder="1" applyAlignment="1">
      <alignment vertical="center"/>
    </xf>
    <xf numFmtId="0" fontId="19" fillId="0" borderId="32" xfId="0" applyFont="1" applyBorder="1" applyAlignment="1">
      <alignment horizontal="center" vertical="center"/>
    </xf>
    <xf numFmtId="3" fontId="20" fillId="0" borderId="14" xfId="0" applyNumberFormat="1" applyFont="1" applyBorder="1" applyAlignment="1">
      <alignment horizontal="right" vertical="center"/>
    </xf>
    <xf numFmtId="0" fontId="19" fillId="0" borderId="7" xfId="0" applyFont="1" applyBorder="1" applyAlignment="1">
      <alignment horizontal="left" vertical="center" wrapText="1"/>
    </xf>
    <xf numFmtId="0" fontId="19" fillId="0" borderId="11" xfId="0" applyFont="1" applyBorder="1" applyAlignment="1">
      <alignment vertical="center"/>
    </xf>
    <xf numFmtId="0" fontId="19" fillId="0" borderId="8" xfId="0" applyFont="1" applyBorder="1" applyAlignment="1">
      <alignment horizontal="center" vertical="center"/>
    </xf>
    <xf numFmtId="0" fontId="20" fillId="0" borderId="8" xfId="0" applyFont="1" applyBorder="1" applyAlignment="1">
      <alignment horizontal="right" vertical="center"/>
    </xf>
    <xf numFmtId="0" fontId="20" fillId="0" borderId="30" xfId="0" applyFont="1" applyBorder="1" applyAlignment="1">
      <alignment vertical="center" wrapText="1"/>
    </xf>
    <xf numFmtId="0" fontId="20" fillId="0" borderId="46" xfId="0" applyFont="1" applyBorder="1" applyAlignment="1">
      <alignment vertical="center" wrapText="1"/>
    </xf>
    <xf numFmtId="0" fontId="19" fillId="0" borderId="14" xfId="0" applyFont="1" applyBorder="1" applyAlignment="1">
      <alignment horizontal="center" vertical="center" wrapText="1"/>
    </xf>
    <xf numFmtId="0" fontId="20" fillId="0" borderId="13" xfId="0" applyFont="1" applyBorder="1" applyAlignment="1">
      <alignment horizontal="right" vertical="center"/>
    </xf>
    <xf numFmtId="0" fontId="20" fillId="0" borderId="6" xfId="0" applyFont="1" applyBorder="1" applyAlignment="1">
      <alignment horizontal="right" vertical="center"/>
    </xf>
    <xf numFmtId="0" fontId="20" fillId="0" borderId="14" xfId="0" applyFont="1" applyBorder="1" applyAlignment="1">
      <alignment horizontal="right" vertical="center"/>
    </xf>
    <xf numFmtId="0" fontId="20" fillId="0" borderId="0" xfId="0" applyFont="1" applyBorder="1" applyAlignment="1">
      <alignment vertical="center" wrapText="1"/>
    </xf>
    <xf numFmtId="0" fontId="20" fillId="0" borderId="0" xfId="0" applyFont="1" applyBorder="1" applyAlignment="1">
      <alignment horizontal="right" vertical="center"/>
    </xf>
    <xf numFmtId="0" fontId="20" fillId="0" borderId="48" xfId="0" applyFont="1" applyBorder="1" applyAlignment="1">
      <alignment horizontal="right" vertical="center"/>
    </xf>
    <xf numFmtId="0" fontId="19" fillId="0" borderId="0" xfId="0" applyFont="1" applyAlignment="1">
      <alignment vertical="center"/>
    </xf>
    <xf numFmtId="0" fontId="19" fillId="0" borderId="25" xfId="0" applyFont="1" applyBorder="1" applyAlignment="1">
      <alignment vertical="center"/>
    </xf>
    <xf numFmtId="0" fontId="19" fillId="0" borderId="33" xfId="0" applyFont="1" applyBorder="1" applyAlignment="1">
      <alignment vertical="center"/>
    </xf>
    <xf numFmtId="0" fontId="19" fillId="0" borderId="20" xfId="0" applyFont="1" applyBorder="1" applyAlignment="1">
      <alignment horizontal="center" vertical="center" wrapText="1"/>
    </xf>
    <xf numFmtId="0" fontId="19" fillId="0" borderId="5" xfId="0" applyFont="1" applyBorder="1" applyAlignment="1">
      <alignment vertical="center"/>
    </xf>
    <xf numFmtId="0" fontId="19" fillId="0" borderId="9" xfId="0" applyFont="1" applyBorder="1" applyAlignment="1">
      <alignment vertical="center" wrapText="1"/>
    </xf>
    <xf numFmtId="0" fontId="19" fillId="0" borderId="34" xfId="0" applyFont="1" applyBorder="1" applyAlignment="1">
      <alignment vertical="center" wrapText="1"/>
    </xf>
    <xf numFmtId="3" fontId="20" fillId="0" borderId="13" xfId="0" applyNumberFormat="1" applyFont="1" applyBorder="1" applyAlignment="1">
      <alignment horizontal="center" vertical="center"/>
    </xf>
    <xf numFmtId="3" fontId="20" fillId="0" borderId="14" xfId="0" applyNumberFormat="1" applyFont="1" applyBorder="1" applyAlignment="1">
      <alignment horizontal="center" vertical="center"/>
    </xf>
    <xf numFmtId="0" fontId="20" fillId="0" borderId="5" xfId="0" applyFont="1" applyBorder="1" applyAlignment="1">
      <alignment horizontal="left" vertical="center"/>
    </xf>
    <xf numFmtId="0" fontId="20" fillId="0" borderId="7" xfId="0" applyFont="1" applyBorder="1" applyAlignment="1">
      <alignment horizontal="left" vertical="center"/>
    </xf>
    <xf numFmtId="0" fontId="20" fillId="0" borderId="13" xfId="0" applyFont="1" applyBorder="1" applyAlignment="1">
      <alignment horizontal="center" vertical="center"/>
    </xf>
    <xf numFmtId="0" fontId="19" fillId="0" borderId="27" xfId="0" applyFont="1" applyBorder="1" applyAlignment="1">
      <alignment horizontal="center" vertical="center"/>
    </xf>
    <xf numFmtId="0" fontId="20" fillId="0" borderId="14" xfId="0" applyFont="1" applyBorder="1" applyAlignment="1">
      <alignment horizontal="center" vertical="center"/>
    </xf>
    <xf numFmtId="9" fontId="20" fillId="0" borderId="13" xfId="1" applyFont="1" applyBorder="1" applyAlignment="1">
      <alignment horizontal="right" vertical="center"/>
    </xf>
    <xf numFmtId="0" fontId="19" fillId="0" borderId="27" xfId="0" applyFont="1" applyBorder="1" applyAlignment="1">
      <alignment horizontal="right" vertical="center"/>
    </xf>
    <xf numFmtId="0" fontId="19" fillId="0" borderId="26" xfId="0" applyFont="1" applyBorder="1" applyAlignment="1">
      <alignment horizontal="right" vertical="center"/>
    </xf>
    <xf numFmtId="9" fontId="20" fillId="0" borderId="14" xfId="1" applyFont="1" applyBorder="1" applyAlignment="1">
      <alignment horizontal="right" vertical="center"/>
    </xf>
    <xf numFmtId="14" fontId="20" fillId="0" borderId="13" xfId="0" applyNumberFormat="1" applyFont="1" applyBorder="1" applyAlignment="1">
      <alignment horizontal="right" vertical="center"/>
    </xf>
    <xf numFmtId="9" fontId="20" fillId="0" borderId="6" xfId="1" applyFont="1" applyBorder="1" applyAlignment="1">
      <alignment horizontal="right" vertical="center"/>
    </xf>
    <xf numFmtId="0" fontId="20" fillId="0" borderId="34" xfId="0" applyFont="1" applyBorder="1" applyAlignment="1">
      <alignment vertical="center" wrapText="1"/>
    </xf>
    <xf numFmtId="3" fontId="20" fillId="0" borderId="17" xfId="0" applyNumberFormat="1" applyFont="1" applyBorder="1" applyAlignment="1">
      <alignment horizontal="right" vertical="center"/>
    </xf>
    <xf numFmtId="3" fontId="20" fillId="0" borderId="24" xfId="0" applyNumberFormat="1" applyFont="1" applyBorder="1" applyAlignment="1">
      <alignment horizontal="right" vertical="center"/>
    </xf>
    <xf numFmtId="0" fontId="20" fillId="0" borderId="9" xfId="0" applyFont="1" applyBorder="1" applyAlignment="1">
      <alignment vertical="center" wrapText="1"/>
    </xf>
    <xf numFmtId="0" fontId="20" fillId="0" borderId="6" xfId="0" applyFont="1" applyBorder="1" applyAlignment="1">
      <alignment horizontal="center" vertical="center"/>
    </xf>
    <xf numFmtId="0" fontId="20" fillId="0" borderId="8" xfId="0" applyFont="1" applyBorder="1" applyAlignment="1">
      <alignment horizontal="center" vertical="center"/>
    </xf>
    <xf numFmtId="3" fontId="21" fillId="0" borderId="6" xfId="0" applyNumberFormat="1" applyFont="1" applyBorder="1" applyAlignment="1">
      <alignment horizontal="right" vertical="center"/>
    </xf>
    <xf numFmtId="3" fontId="20" fillId="0" borderId="12" xfId="0" applyNumberFormat="1" applyFont="1" applyBorder="1" applyAlignment="1">
      <alignment horizontal="right" vertical="center"/>
    </xf>
    <xf numFmtId="3" fontId="20" fillId="0" borderId="26" xfId="0" applyNumberFormat="1" applyFont="1" applyBorder="1" applyAlignment="1">
      <alignment horizontal="right" vertical="center"/>
    </xf>
    <xf numFmtId="0" fontId="21" fillId="0" borderId="5" xfId="0" applyFont="1" applyBorder="1" applyAlignment="1">
      <alignment vertical="center" wrapText="1"/>
    </xf>
    <xf numFmtId="0" fontId="20" fillId="0" borderId="28" xfId="0" applyFont="1" applyBorder="1" applyAlignment="1">
      <alignment vertical="center" wrapText="1"/>
    </xf>
    <xf numFmtId="0" fontId="20" fillId="0" borderId="33" xfId="0" applyFont="1" applyBorder="1" applyAlignment="1">
      <alignment vertical="center" wrapText="1"/>
    </xf>
    <xf numFmtId="0" fontId="0" fillId="0" borderId="0" xfId="0" applyAlignment="1">
      <alignment horizontal="center"/>
    </xf>
    <xf numFmtId="0" fontId="20" fillId="0" borderId="39" xfId="0" applyFont="1" applyBorder="1" applyAlignment="1">
      <alignment horizontal="left" vertical="center"/>
    </xf>
    <xf numFmtId="0" fontId="20" fillId="0" borderId="41" xfId="0" applyFont="1" applyBorder="1" applyAlignment="1">
      <alignment horizontal="left" vertical="center"/>
    </xf>
    <xf numFmtId="0" fontId="20" fillId="0" borderId="42" xfId="0" applyFont="1" applyBorder="1" applyAlignment="1">
      <alignment horizontal="left" vertical="center"/>
    </xf>
    <xf numFmtId="0" fontId="20" fillId="0" borderId="40"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left" vertical="center"/>
    </xf>
    <xf numFmtId="0" fontId="20" fillId="0" borderId="5" xfId="0" applyFont="1" applyBorder="1" applyAlignment="1">
      <alignment horizontal="left" vertical="center" wrapText="1"/>
    </xf>
    <xf numFmtId="0" fontId="20" fillId="0" borderId="7" xfId="0" applyFont="1" applyBorder="1" applyAlignment="1">
      <alignment horizontal="left" vertical="center" wrapText="1"/>
    </xf>
    <xf numFmtId="0" fontId="19" fillId="0" borderId="5" xfId="0" applyFont="1" applyBorder="1" applyAlignment="1">
      <alignment horizontal="left" vertical="center" wrapText="1"/>
    </xf>
    <xf numFmtId="0" fontId="20" fillId="0" borderId="7" xfId="0" applyFont="1" applyBorder="1" applyAlignment="1">
      <alignment vertical="center"/>
    </xf>
    <xf numFmtId="3" fontId="20" fillId="0" borderId="49" xfId="0" applyNumberFormat="1" applyFont="1" applyBorder="1" applyAlignment="1">
      <alignment horizontal="right" vertical="center"/>
    </xf>
    <xf numFmtId="3" fontId="20" fillId="0" borderId="16" xfId="0" applyNumberFormat="1" applyFont="1" applyBorder="1" applyAlignment="1">
      <alignment horizontal="right" vertical="center"/>
    </xf>
    <xf numFmtId="3" fontId="20" fillId="0" borderId="31" xfId="0" applyNumberFormat="1" applyFont="1" applyBorder="1" applyAlignment="1">
      <alignment horizontal="right" vertical="center"/>
    </xf>
    <xf numFmtId="3" fontId="20" fillId="0" borderId="18" xfId="0" applyNumberFormat="1" applyFont="1" applyBorder="1" applyAlignment="1">
      <alignment horizontal="right" vertical="center"/>
    </xf>
    <xf numFmtId="3" fontId="20" fillId="0" borderId="50" xfId="0" applyNumberFormat="1" applyFont="1" applyBorder="1" applyAlignment="1">
      <alignment horizontal="right" vertical="center"/>
    </xf>
    <xf numFmtId="3" fontId="19" fillId="0" borderId="18" xfId="0" applyNumberFormat="1" applyFont="1" applyBorder="1" applyAlignment="1">
      <alignment horizontal="right" vertical="center"/>
    </xf>
    <xf numFmtId="3" fontId="19" fillId="0" borderId="50" xfId="0" applyNumberFormat="1" applyFont="1" applyBorder="1" applyAlignment="1">
      <alignment horizontal="right" vertical="center"/>
    </xf>
    <xf numFmtId="0" fontId="19" fillId="0" borderId="7" xfId="0" applyFont="1" applyBorder="1" applyAlignment="1">
      <alignment horizontal="left" vertical="center"/>
    </xf>
    <xf numFmtId="3" fontId="19" fillId="0" borderId="13" xfId="0" applyNumberFormat="1" applyFont="1" applyBorder="1" applyAlignment="1">
      <alignment horizontal="right" vertical="center"/>
    </xf>
    <xf numFmtId="3" fontId="19" fillId="0" borderId="6" xfId="0" applyNumberFormat="1" applyFont="1" applyBorder="1" applyAlignment="1">
      <alignment horizontal="right" vertical="center"/>
    </xf>
    <xf numFmtId="3" fontId="20" fillId="0" borderId="29" xfId="0" applyNumberFormat="1" applyFont="1" applyBorder="1" applyAlignment="1">
      <alignment horizontal="right" vertical="center"/>
    </xf>
    <xf numFmtId="3" fontId="20" fillId="0" borderId="53" xfId="0" applyNumberFormat="1" applyFont="1" applyBorder="1" applyAlignment="1">
      <alignment horizontal="right" vertical="center"/>
    </xf>
    <xf numFmtId="0" fontId="20" fillId="0" borderId="9" xfId="0" applyFont="1" applyBorder="1" applyAlignment="1">
      <alignment vertical="center"/>
    </xf>
    <xf numFmtId="0" fontId="20" fillId="0" borderId="34" xfId="0" applyFont="1" applyBorder="1" applyAlignment="1">
      <alignment vertical="center"/>
    </xf>
    <xf numFmtId="0" fontId="20" fillId="0" borderId="28" xfId="0" applyFont="1" applyBorder="1" applyAlignment="1">
      <alignment vertical="center"/>
    </xf>
    <xf numFmtId="0" fontId="20" fillId="0" borderId="33" xfId="0" applyFont="1" applyBorder="1" applyAlignment="1">
      <alignment vertical="center"/>
    </xf>
    <xf numFmtId="0" fontId="19" fillId="0" borderId="26" xfId="0" applyFont="1" applyBorder="1" applyAlignment="1">
      <alignment horizontal="center" vertical="center" wrapText="1"/>
    </xf>
    <xf numFmtId="0" fontId="20" fillId="0" borderId="0" xfId="0" applyFont="1" applyAlignment="1">
      <alignment horizontal="left" vertical="center" wrapText="1"/>
    </xf>
    <xf numFmtId="3" fontId="20" fillId="0" borderId="45" xfId="0" applyNumberFormat="1" applyFont="1" applyBorder="1" applyAlignment="1">
      <alignment horizontal="right" vertical="center"/>
    </xf>
    <xf numFmtId="3" fontId="20" fillId="0" borderId="44" xfId="0" applyNumberFormat="1" applyFont="1" applyBorder="1" applyAlignment="1">
      <alignment horizontal="right" vertical="center"/>
    </xf>
    <xf numFmtId="3" fontId="20" fillId="0" borderId="52" xfId="0" applyNumberFormat="1" applyFont="1" applyBorder="1" applyAlignment="1">
      <alignment horizontal="right" vertical="center"/>
    </xf>
    <xf numFmtId="3" fontId="20" fillId="0" borderId="9" xfId="0" applyNumberFormat="1" applyFont="1" applyBorder="1" applyAlignment="1">
      <alignment horizontal="right" vertical="center"/>
    </xf>
    <xf numFmtId="0" fontId="20" fillId="0" borderId="17" xfId="0" applyFont="1" applyBorder="1" applyAlignment="1">
      <alignment horizontal="right" vertical="center"/>
    </xf>
    <xf numFmtId="0" fontId="20" fillId="0" borderId="24" xfId="0" applyFont="1" applyBorder="1" applyAlignment="1">
      <alignment horizontal="right" vertical="center"/>
    </xf>
    <xf numFmtId="9" fontId="20" fillId="0" borderId="8" xfId="1" applyFont="1" applyBorder="1" applyAlignment="1">
      <alignment horizontal="right" vertical="center"/>
    </xf>
    <xf numFmtId="3" fontId="20" fillId="0" borderId="6" xfId="0" applyNumberFormat="1" applyFont="1" applyBorder="1" applyAlignment="1">
      <alignment horizontal="center" vertical="center"/>
    </xf>
    <xf numFmtId="3" fontId="20" fillId="0" borderId="36" xfId="0" applyNumberFormat="1" applyFont="1" applyBorder="1" applyAlignment="1">
      <alignment horizontal="right" vertical="center"/>
    </xf>
    <xf numFmtId="3" fontId="20" fillId="0" borderId="37" xfId="0" applyNumberFormat="1" applyFont="1" applyBorder="1" applyAlignment="1">
      <alignment horizontal="right" vertical="center"/>
    </xf>
    <xf numFmtId="3" fontId="20" fillId="0" borderId="38" xfId="0" applyNumberFormat="1" applyFont="1" applyBorder="1" applyAlignment="1">
      <alignment horizontal="right" vertical="center"/>
    </xf>
    <xf numFmtId="0" fontId="19" fillId="0" borderId="0" xfId="0" applyFont="1" applyAlignment="1">
      <alignment horizontal="justify" vertical="center"/>
    </xf>
    <xf numFmtId="3" fontId="20" fillId="0" borderId="38" xfId="0" applyNumberFormat="1" applyFont="1" applyBorder="1" applyAlignment="1">
      <alignment horizontal="right" vertical="center" wrapText="1"/>
    </xf>
    <xf numFmtId="3" fontId="20" fillId="0" borderId="26" xfId="0" applyNumberFormat="1" applyFont="1" applyBorder="1" applyAlignment="1">
      <alignment horizontal="right" vertical="center" wrapText="1"/>
    </xf>
    <xf numFmtId="0" fontId="19" fillId="0" borderId="7"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24" fillId="0" borderId="0" xfId="2" applyFont="1"/>
    <xf numFmtId="0" fontId="23" fillId="0" borderId="0" xfId="2"/>
    <xf numFmtId="0" fontId="24" fillId="0" borderId="0" xfId="2" applyNumberFormat="1" applyFont="1" applyAlignment="1"/>
    <xf numFmtId="49" fontId="24" fillId="0" borderId="0" xfId="2" applyNumberFormat="1" applyFont="1" applyAlignment="1" applyProtection="1"/>
    <xf numFmtId="0" fontId="24" fillId="0" borderId="0" xfId="2" applyNumberFormat="1" applyFont="1" applyBorder="1" applyAlignment="1"/>
    <xf numFmtId="0" fontId="24" fillId="0" borderId="0" xfId="2" applyNumberFormat="1" applyFont="1" applyBorder="1" applyAlignment="1">
      <alignment horizontal="left"/>
    </xf>
    <xf numFmtId="0" fontId="24" fillId="0" borderId="0" xfId="2" applyNumberFormat="1" applyFont="1" applyAlignment="1">
      <alignment horizontal="left" vertical="center"/>
    </xf>
    <xf numFmtId="0" fontId="24" fillId="0" borderId="0" xfId="2" applyFont="1" applyAlignment="1">
      <alignment vertical="center"/>
    </xf>
    <xf numFmtId="0" fontId="22" fillId="0" borderId="0" xfId="2" applyFont="1"/>
    <xf numFmtId="0" fontId="23" fillId="0" borderId="0" xfId="2" applyAlignment="1">
      <alignment horizontal="right"/>
    </xf>
    <xf numFmtId="0" fontId="25" fillId="3" borderId="0" xfId="2" applyFont="1" applyFill="1" applyAlignment="1">
      <alignment horizontal="centerContinuous"/>
    </xf>
    <xf numFmtId="0" fontId="24" fillId="3" borderId="0" xfId="2" applyFont="1" applyFill="1" applyAlignment="1">
      <alignment horizontal="centerContinuous"/>
    </xf>
    <xf numFmtId="9" fontId="23" fillId="0" borderId="0" xfId="2" applyNumberFormat="1"/>
    <xf numFmtId="165" fontId="23" fillId="0" borderId="0" xfId="2" applyNumberFormat="1"/>
    <xf numFmtId="10" fontId="23" fillId="0" borderId="0" xfId="2" applyNumberFormat="1"/>
    <xf numFmtId="10" fontId="27" fillId="0" borderId="0" xfId="3" applyNumberFormat="1" applyFont="1" applyFill="1"/>
    <xf numFmtId="0" fontId="26" fillId="0" borderId="0" xfId="2" applyFont="1" applyAlignment="1">
      <alignment horizontal="left"/>
    </xf>
    <xf numFmtId="0" fontId="24" fillId="0" borderId="0" xfId="2" applyFont="1" applyAlignment="1">
      <alignment horizontal="centerContinuous"/>
    </xf>
    <xf numFmtId="0" fontId="24" fillId="3" borderId="55" xfId="2" applyFont="1" applyFill="1" applyBorder="1" applyAlignment="1">
      <alignment horizontal="center"/>
    </xf>
    <xf numFmtId="0" fontId="24" fillId="3" borderId="57" xfId="2" applyFont="1" applyFill="1" applyBorder="1" applyAlignment="1">
      <alignment horizontal="centerContinuous"/>
    </xf>
    <xf numFmtId="0" fontId="24" fillId="3" borderId="57" xfId="2" applyFont="1" applyFill="1" applyBorder="1" applyAlignment="1">
      <alignment horizontal="center" wrapText="1"/>
    </xf>
    <xf numFmtId="0" fontId="24" fillId="0" borderId="0" xfId="2" applyFont="1" applyAlignment="1">
      <alignment horizontal="center"/>
    </xf>
    <xf numFmtId="0" fontId="24" fillId="3" borderId="59" xfId="2" applyFont="1" applyFill="1" applyBorder="1" applyAlignment="1">
      <alignment horizontal="center" vertical="top"/>
    </xf>
    <xf numFmtId="0" fontId="24" fillId="3" borderId="0" xfId="2" applyFont="1" applyFill="1" applyBorder="1" applyAlignment="1">
      <alignment horizontal="center" vertical="top"/>
    </xf>
    <xf numFmtId="0" fontId="24" fillId="0" borderId="0" xfId="2" applyFont="1" applyAlignment="1">
      <alignment horizontal="center" vertical="top"/>
    </xf>
    <xf numFmtId="0" fontId="24" fillId="3" borderId="60" xfId="2" applyFont="1" applyFill="1" applyBorder="1" applyAlignment="1">
      <alignment horizontal="center" vertical="center"/>
    </xf>
    <xf numFmtId="0" fontId="25" fillId="2" borderId="0" xfId="2" applyFont="1" applyFill="1" applyAlignment="1">
      <alignment vertical="center"/>
    </xf>
    <xf numFmtId="0" fontId="25" fillId="2" borderId="62" xfId="2" quotePrefix="1" applyFont="1" applyFill="1" applyBorder="1" applyAlignment="1" applyProtection="1">
      <alignment horizontal="center" vertical="center"/>
    </xf>
    <xf numFmtId="3" fontId="25" fillId="0" borderId="0" xfId="2" applyNumberFormat="1" applyFont="1" applyAlignment="1">
      <alignment vertical="center"/>
    </xf>
    <xf numFmtId="0" fontId="25" fillId="0" borderId="0" xfId="2" applyFont="1" applyAlignment="1">
      <alignment vertical="center"/>
    </xf>
    <xf numFmtId="0" fontId="25" fillId="2" borderId="62" xfId="2" applyFont="1" applyFill="1" applyBorder="1" applyAlignment="1" applyProtection="1">
      <alignment vertical="center"/>
    </xf>
    <xf numFmtId="0" fontId="25" fillId="2" borderId="62" xfId="2" applyFont="1" applyFill="1" applyBorder="1" applyAlignment="1" applyProtection="1">
      <alignment horizontal="left" vertical="center"/>
    </xf>
    <xf numFmtId="0" fontId="24" fillId="3" borderId="62" xfId="2" applyFont="1" applyFill="1" applyBorder="1" applyAlignment="1" applyProtection="1">
      <alignment horizontal="left" vertical="center"/>
    </xf>
    <xf numFmtId="0" fontId="24" fillId="0" borderId="62" xfId="2" quotePrefix="1" applyFont="1" applyBorder="1" applyAlignment="1" applyProtection="1">
      <alignment horizontal="center" vertical="center"/>
    </xf>
    <xf numFmtId="166" fontId="24" fillId="0" borderId="0" xfId="2" applyNumberFormat="1" applyFont="1" applyAlignment="1">
      <alignment vertical="center"/>
    </xf>
    <xf numFmtId="0" fontId="24" fillId="2" borderId="62" xfId="2" applyFont="1" applyFill="1" applyBorder="1" applyAlignment="1" applyProtection="1">
      <alignment horizontal="left" vertical="center"/>
    </xf>
    <xf numFmtId="0" fontId="25" fillId="3" borderId="62" xfId="2" applyFont="1" applyFill="1" applyBorder="1" applyAlignment="1" applyProtection="1">
      <alignment horizontal="left" vertical="center"/>
    </xf>
    <xf numFmtId="3" fontId="29" fillId="0" borderId="0" xfId="2" applyNumberFormat="1" applyFont="1" applyAlignment="1">
      <alignment vertical="center" wrapText="1"/>
    </xf>
    <xf numFmtId="0" fontId="31" fillId="0" borderId="0" xfId="2" applyFont="1" applyAlignment="1">
      <alignment vertical="center"/>
    </xf>
    <xf numFmtId="0" fontId="24" fillId="0" borderId="62" xfId="2" applyFont="1" applyFill="1" applyBorder="1" applyAlignment="1" applyProtection="1">
      <alignment horizontal="left" vertical="center"/>
    </xf>
    <xf numFmtId="0" fontId="24" fillId="0" borderId="62" xfId="2" quotePrefix="1" applyFont="1" applyFill="1" applyBorder="1" applyAlignment="1" applyProtection="1">
      <alignment horizontal="center" vertical="center"/>
    </xf>
    <xf numFmtId="0" fontId="24" fillId="2" borderId="62" xfId="2" applyFont="1" applyFill="1" applyBorder="1" applyAlignment="1" applyProtection="1">
      <alignment vertical="center"/>
    </xf>
    <xf numFmtId="0" fontId="24" fillId="2" borderId="62" xfId="2" applyFont="1" applyFill="1" applyBorder="1" applyAlignment="1" applyProtection="1">
      <alignment horizontal="center" vertical="center"/>
    </xf>
    <xf numFmtId="0" fontId="24" fillId="3" borderId="0" xfId="2" applyFont="1" applyFill="1" applyAlignment="1">
      <alignment vertical="center"/>
    </xf>
    <xf numFmtId="167" fontId="24" fillId="0" borderId="0" xfId="2" applyNumberFormat="1" applyFont="1" applyAlignment="1">
      <alignment vertical="center"/>
    </xf>
    <xf numFmtId="0" fontId="24" fillId="3" borderId="55" xfId="2" applyFont="1" applyFill="1" applyBorder="1" applyAlignment="1" applyProtection="1">
      <alignment horizontal="center" vertical="center"/>
    </xf>
    <xf numFmtId="167" fontId="24" fillId="3" borderId="55" xfId="2" applyNumberFormat="1" applyFont="1" applyFill="1" applyBorder="1" applyAlignment="1" applyProtection="1">
      <alignment horizontal="center" vertical="center"/>
    </xf>
    <xf numFmtId="167" fontId="24" fillId="3" borderId="0" xfId="2" applyNumberFormat="1" applyFont="1" applyFill="1" applyAlignment="1">
      <alignment vertical="center"/>
    </xf>
    <xf numFmtId="0" fontId="24" fillId="3" borderId="59" xfId="2" applyFont="1" applyFill="1" applyBorder="1" applyAlignment="1" applyProtection="1">
      <alignment horizontal="center" vertical="center"/>
    </xf>
    <xf numFmtId="167" fontId="24" fillId="3" borderId="59" xfId="2" applyNumberFormat="1" applyFont="1" applyFill="1" applyBorder="1" applyAlignment="1" applyProtection="1">
      <alignment horizontal="center" vertical="center"/>
    </xf>
    <xf numFmtId="0" fontId="24" fillId="3" borderId="60" xfId="2" applyFont="1" applyFill="1" applyBorder="1" applyAlignment="1" applyProtection="1">
      <alignment horizontal="center" vertical="center"/>
    </xf>
    <xf numFmtId="1" fontId="24" fillId="3" borderId="60" xfId="2" applyNumberFormat="1" applyFont="1" applyFill="1" applyBorder="1" applyAlignment="1" applyProtection="1">
      <alignment horizontal="center" vertical="center"/>
    </xf>
    <xf numFmtId="0" fontId="24" fillId="0" borderId="0" xfId="2" applyFont="1" applyAlignment="1">
      <alignment vertical="top"/>
    </xf>
    <xf numFmtId="37" fontId="25" fillId="2" borderId="62" xfId="2" applyNumberFormat="1" applyFont="1" applyFill="1" applyBorder="1" applyAlignment="1" applyProtection="1">
      <alignment vertical="center"/>
    </xf>
    <xf numFmtId="37" fontId="25" fillId="2" borderId="62" xfId="2" quotePrefix="1" applyNumberFormat="1" applyFont="1" applyFill="1" applyBorder="1" applyAlignment="1" applyProtection="1">
      <alignment horizontal="center" vertical="center"/>
    </xf>
    <xf numFmtId="167" fontId="25" fillId="3" borderId="0" xfId="2" applyNumberFormat="1" applyFont="1" applyFill="1" applyAlignment="1">
      <alignment vertical="center"/>
    </xf>
    <xf numFmtId="37" fontId="24" fillId="3" borderId="62" xfId="2" applyNumberFormat="1" applyFont="1" applyFill="1" applyBorder="1" applyAlignment="1" applyProtection="1">
      <alignment vertical="center"/>
    </xf>
    <xf numFmtId="37" fontId="24" fillId="0" borderId="62" xfId="2" quotePrefix="1" applyNumberFormat="1" applyFont="1" applyBorder="1" applyAlignment="1" applyProtection="1">
      <alignment horizontal="center" vertical="center"/>
    </xf>
    <xf numFmtId="37" fontId="25" fillId="5" borderId="62" xfId="2" applyNumberFormat="1" applyFont="1" applyFill="1" applyBorder="1" applyAlignment="1" applyProtection="1">
      <alignment vertical="center"/>
    </xf>
    <xf numFmtId="37" fontId="25" fillId="5" borderId="62" xfId="2" quotePrefix="1" applyNumberFormat="1" applyFont="1" applyFill="1" applyBorder="1" applyAlignment="1" applyProtection="1">
      <alignment horizontal="center" vertical="center"/>
    </xf>
    <xf numFmtId="0" fontId="25" fillId="3" borderId="0" xfId="2" applyFont="1" applyFill="1" applyAlignment="1">
      <alignment vertical="center"/>
    </xf>
    <xf numFmtId="167" fontId="32" fillId="3" borderId="0" xfId="2" applyNumberFormat="1" applyFont="1" applyFill="1" applyAlignment="1">
      <alignment vertical="center"/>
    </xf>
    <xf numFmtId="37" fontId="24" fillId="4" borderId="62" xfId="2" applyNumberFormat="1" applyFont="1" applyFill="1" applyBorder="1" applyAlignment="1" applyProtection="1">
      <alignment vertical="center"/>
    </xf>
    <xf numFmtId="37" fontId="24" fillId="4" borderId="62" xfId="2" quotePrefix="1" applyNumberFormat="1" applyFont="1" applyFill="1" applyBorder="1" applyAlignment="1" applyProtection="1">
      <alignment horizontal="center" vertical="center"/>
    </xf>
    <xf numFmtId="37" fontId="28" fillId="2" borderId="62" xfId="2" applyNumberFormat="1" applyFont="1" applyFill="1" applyBorder="1" applyAlignment="1" applyProtection="1">
      <alignment vertical="center"/>
    </xf>
    <xf numFmtId="37" fontId="28" fillId="2" borderId="62" xfId="2" quotePrefix="1" applyNumberFormat="1" applyFont="1" applyFill="1" applyBorder="1" applyAlignment="1" applyProtection="1">
      <alignment horizontal="center" vertical="center"/>
    </xf>
    <xf numFmtId="37" fontId="24" fillId="2" borderId="62" xfId="2" applyNumberFormat="1" applyFont="1" applyFill="1" applyBorder="1" applyAlignment="1" applyProtection="1">
      <alignment vertical="center"/>
    </xf>
    <xf numFmtId="37" fontId="24" fillId="2" borderId="62" xfId="2" quotePrefix="1" applyNumberFormat="1" applyFont="1" applyFill="1" applyBorder="1" applyAlignment="1" applyProtection="1">
      <alignment horizontal="center" vertical="center"/>
    </xf>
    <xf numFmtId="0" fontId="24" fillId="0" borderId="0" xfId="2" applyFont="1" applyAlignment="1" applyProtection="1">
      <alignment horizontal="left"/>
    </xf>
    <xf numFmtId="0" fontId="24" fillId="0" borderId="0" xfId="2" applyFont="1" applyAlignment="1" applyProtection="1">
      <alignment horizontal="center"/>
    </xf>
    <xf numFmtId="37" fontId="24" fillId="0" borderId="0" xfId="2" applyNumberFormat="1" applyFont="1" applyProtection="1"/>
    <xf numFmtId="0" fontId="25" fillId="0" borderId="0" xfId="2" applyNumberFormat="1" applyFont="1" applyAlignment="1" applyProtection="1"/>
    <xf numFmtId="0" fontId="24" fillId="0" borderId="0" xfId="2" applyNumberFormat="1" applyFont="1" applyBorder="1" applyAlignment="1">
      <alignment vertical="center"/>
    </xf>
    <xf numFmtId="3" fontId="24" fillId="0" borderId="0" xfId="2" applyNumberFormat="1" applyFont="1" applyBorder="1" applyAlignment="1">
      <alignment horizontal="right" vertical="center"/>
    </xf>
    <xf numFmtId="15" fontId="24" fillId="0" borderId="0" xfId="2" applyNumberFormat="1" applyFont="1" applyBorder="1" applyAlignment="1">
      <alignment horizontal="left" vertical="center"/>
    </xf>
    <xf numFmtId="0" fontId="25" fillId="0" borderId="0" xfId="2" applyFont="1"/>
    <xf numFmtId="3" fontId="24" fillId="3" borderId="0" xfId="2" applyNumberFormat="1" applyFont="1" applyFill="1" applyAlignment="1">
      <alignment horizontal="centerContinuous"/>
    </xf>
    <xf numFmtId="0" fontId="24" fillId="3" borderId="0" xfId="2" applyFont="1" applyFill="1" applyBorder="1" applyAlignment="1">
      <alignment horizontal="centerContinuous"/>
    </xf>
    <xf numFmtId="0" fontId="26" fillId="0" borderId="0" xfId="2" applyFont="1" applyAlignment="1">
      <alignment horizontal="centerContinuous"/>
    </xf>
    <xf numFmtId="3" fontId="24" fillId="0" borderId="0" xfId="2" applyNumberFormat="1" applyFont="1" applyAlignment="1">
      <alignment horizontal="centerContinuous"/>
    </xf>
    <xf numFmtId="0" fontId="24" fillId="0" borderId="61" xfId="2" applyFont="1" applyBorder="1" applyAlignment="1">
      <alignment horizontal="centerContinuous"/>
    </xf>
    <xf numFmtId="0" fontId="24" fillId="0" borderId="55" xfId="2" applyFont="1" applyBorder="1" applyAlignment="1">
      <alignment horizontal="center"/>
    </xf>
    <xf numFmtId="0" fontId="24" fillId="0" borderId="56" xfId="2" applyFont="1" applyBorder="1" applyAlignment="1">
      <alignment horizontal="center"/>
    </xf>
    <xf numFmtId="3" fontId="24" fillId="0" borderId="56" xfId="2" applyNumberFormat="1" applyFont="1" applyBorder="1" applyAlignment="1">
      <alignment horizontal="centerContinuous"/>
    </xf>
    <xf numFmtId="0" fontId="24" fillId="0" borderId="57" xfId="2" applyFont="1" applyBorder="1" applyAlignment="1">
      <alignment horizontal="centerContinuous"/>
    </xf>
    <xf numFmtId="0" fontId="24" fillId="0" borderId="59" xfId="2" applyFont="1" applyBorder="1" applyAlignment="1">
      <alignment horizontal="center" vertical="top"/>
    </xf>
    <xf numFmtId="0" fontId="24" fillId="0" borderId="0" xfId="2" applyFont="1" applyBorder="1" applyAlignment="1">
      <alignment horizontal="center" vertical="top"/>
    </xf>
    <xf numFmtId="3" fontId="24" fillId="0" borderId="55" xfId="2" applyNumberFormat="1" applyFont="1" applyBorder="1" applyAlignment="1">
      <alignment horizontal="center" vertical="top"/>
    </xf>
    <xf numFmtId="0" fontId="24" fillId="0" borderId="55" xfId="2" applyFont="1" applyBorder="1" applyAlignment="1">
      <alignment horizontal="center" vertical="top"/>
    </xf>
    <xf numFmtId="0" fontId="24" fillId="0" borderId="60" xfId="2" applyFont="1" applyBorder="1" applyAlignment="1">
      <alignment horizontal="center"/>
    </xf>
    <xf numFmtId="0" fontId="24" fillId="0" borderId="61" xfId="2" applyFont="1" applyBorder="1" applyAlignment="1">
      <alignment horizontal="center"/>
    </xf>
    <xf numFmtId="3" fontId="24" fillId="0" borderId="60" xfId="2" applyNumberFormat="1" applyFont="1" applyBorder="1" applyAlignment="1">
      <alignment horizontal="center"/>
    </xf>
    <xf numFmtId="0" fontId="24" fillId="3" borderId="62" xfId="2" applyFont="1" applyFill="1" applyBorder="1" applyAlignment="1">
      <alignment vertical="center"/>
    </xf>
    <xf numFmtId="0" fontId="24" fillId="0" borderId="62" xfId="2" applyFont="1" applyBorder="1" applyAlignment="1">
      <alignment vertical="center"/>
    </xf>
    <xf numFmtId="0" fontId="24" fillId="0" borderId="62" xfId="2" quotePrefix="1" applyFont="1" applyBorder="1" applyAlignment="1">
      <alignment horizontal="center" vertical="center"/>
    </xf>
    <xf numFmtId="0" fontId="35" fillId="2" borderId="62" xfId="2" applyFont="1" applyFill="1" applyBorder="1" applyAlignment="1">
      <alignment vertical="center"/>
    </xf>
    <xf numFmtId="0" fontId="35" fillId="2" borderId="62" xfId="2" quotePrefix="1" applyFont="1" applyFill="1" applyBorder="1" applyAlignment="1">
      <alignment horizontal="center" vertical="center"/>
    </xf>
    <xf numFmtId="0" fontId="35" fillId="0" borderId="0" xfId="2" applyFont="1" applyAlignment="1">
      <alignment vertical="center"/>
    </xf>
    <xf numFmtId="0" fontId="25" fillId="2" borderId="62" xfId="2" applyFont="1" applyFill="1" applyBorder="1" applyAlignment="1">
      <alignment vertical="center"/>
    </xf>
    <xf numFmtId="0" fontId="25" fillId="2" borderId="62" xfId="2" quotePrefix="1" applyFont="1" applyFill="1" applyBorder="1" applyAlignment="1">
      <alignment horizontal="center" vertical="center"/>
    </xf>
    <xf numFmtId="0" fontId="24" fillId="2" borderId="62" xfId="2" applyFont="1" applyFill="1" applyBorder="1" applyAlignment="1">
      <alignment vertical="center"/>
    </xf>
    <xf numFmtId="0" fontId="28" fillId="2" borderId="62" xfId="2" applyFont="1" applyFill="1" applyBorder="1" applyAlignment="1">
      <alignment vertical="center"/>
    </xf>
    <xf numFmtId="0" fontId="24" fillId="2" borderId="62" xfId="2" quotePrefix="1" applyFont="1" applyFill="1" applyBorder="1" applyAlignment="1">
      <alignment horizontal="center" vertical="center"/>
    </xf>
    <xf numFmtId="0" fontId="24" fillId="0" borderId="62" xfId="2" applyFont="1" applyFill="1" applyBorder="1" applyAlignment="1">
      <alignment vertical="center"/>
    </xf>
    <xf numFmtId="0" fontId="35" fillId="2" borderId="62" xfId="2" applyFont="1" applyFill="1" applyBorder="1" applyAlignment="1">
      <alignment vertical="center" wrapText="1"/>
    </xf>
    <xf numFmtId="0" fontId="28" fillId="2" borderId="62" xfId="2" quotePrefix="1" applyFont="1" applyFill="1" applyBorder="1" applyAlignment="1">
      <alignment horizontal="center" vertical="center"/>
    </xf>
    <xf numFmtId="49" fontId="24" fillId="0" borderId="62" xfId="2" applyNumberFormat="1" applyFont="1" applyFill="1" applyBorder="1" applyAlignment="1">
      <alignment vertical="center"/>
    </xf>
    <xf numFmtId="0" fontId="35" fillId="3" borderId="0" xfId="2" applyFont="1" applyFill="1" applyAlignment="1">
      <alignment vertical="center"/>
    </xf>
    <xf numFmtId="49" fontId="24" fillId="2" borderId="62" xfId="2" applyNumberFormat="1" applyFont="1" applyFill="1" applyBorder="1" applyAlignment="1">
      <alignment vertical="center"/>
    </xf>
    <xf numFmtId="0" fontId="25" fillId="5" borderId="62" xfId="2" applyFont="1" applyFill="1" applyBorder="1" applyAlignment="1">
      <alignment vertical="center"/>
    </xf>
    <xf numFmtId="0" fontId="35" fillId="5" borderId="62" xfId="2" applyFont="1" applyFill="1" applyBorder="1" applyAlignment="1">
      <alignment vertical="center"/>
    </xf>
    <xf numFmtId="0" fontId="28" fillId="5" borderId="62" xfId="2" quotePrefix="1" applyFont="1" applyFill="1" applyBorder="1" applyAlignment="1">
      <alignment horizontal="center" vertical="center"/>
    </xf>
    <xf numFmtId="3" fontId="24" fillId="0" borderId="0" xfId="2" applyNumberFormat="1" applyFont="1"/>
    <xf numFmtId="0" fontId="36" fillId="0" borderId="0" xfId="7" applyFont="1" applyAlignment="1">
      <alignment horizontal="left"/>
    </xf>
    <xf numFmtId="0" fontId="37" fillId="0" borderId="0" xfId="6" applyFont="1" applyFill="1" applyAlignment="1">
      <alignment horizontal="center"/>
    </xf>
    <xf numFmtId="0" fontId="36" fillId="0" borderId="0" xfId="7" applyFont="1"/>
    <xf numFmtId="0" fontId="38" fillId="0" borderId="0" xfId="7" applyFont="1"/>
    <xf numFmtId="0" fontId="38" fillId="0" borderId="0" xfId="7" applyNumberFormat="1" applyFont="1"/>
    <xf numFmtId="0" fontId="39" fillId="0" borderId="0" xfId="7" applyFont="1"/>
    <xf numFmtId="0" fontId="40" fillId="0" borderId="0" xfId="7" applyFont="1"/>
    <xf numFmtId="0" fontId="41" fillId="0" borderId="0" xfId="7" applyFont="1" applyAlignment="1">
      <alignment horizontal="center"/>
    </xf>
    <xf numFmtId="0" fontId="42" fillId="0" borderId="0" xfId="7" applyFont="1" applyAlignment="1">
      <alignment horizontal="center"/>
    </xf>
    <xf numFmtId="0" fontId="43" fillId="0" borderId="0" xfId="7" applyFont="1" applyAlignment="1">
      <alignment horizontal="left"/>
    </xf>
    <xf numFmtId="0" fontId="38" fillId="0" borderId="0" xfId="7" applyFont="1" applyAlignment="1">
      <alignment horizontal="center"/>
    </xf>
    <xf numFmtId="0" fontId="44" fillId="0" borderId="0" xfId="7" applyFont="1" applyAlignment="1">
      <alignment horizontal="left"/>
    </xf>
    <xf numFmtId="0" fontId="43" fillId="0" borderId="0" xfId="7" applyFont="1" applyBorder="1" applyAlignment="1">
      <alignment horizontal="center"/>
    </xf>
    <xf numFmtId="0" fontId="43" fillId="0" borderId="0" xfId="7" applyFont="1" applyBorder="1" applyAlignment="1">
      <alignment horizontal="left"/>
    </xf>
    <xf numFmtId="0" fontId="46" fillId="0" borderId="0" xfId="7" applyFont="1"/>
    <xf numFmtId="0" fontId="46" fillId="0" borderId="0" xfId="7" applyFont="1" applyFill="1" applyBorder="1" applyAlignment="1">
      <alignment horizontal="left"/>
    </xf>
    <xf numFmtId="0" fontId="42" fillId="0" borderId="66" xfId="7" applyFont="1" applyFill="1" applyBorder="1" applyAlignment="1">
      <alignment horizontal="left" vertical="center"/>
    </xf>
    <xf numFmtId="168" fontId="42" fillId="5" borderId="43" xfId="7" applyNumberFormat="1" applyFont="1" applyFill="1" applyBorder="1" applyAlignment="1">
      <alignment horizontal="right" vertical="center"/>
    </xf>
    <xf numFmtId="0" fontId="38" fillId="0" borderId="66" xfId="7" applyFont="1" applyFill="1" applyBorder="1" applyAlignment="1">
      <alignment horizontal="left"/>
    </xf>
    <xf numFmtId="0" fontId="38" fillId="0" borderId="43" xfId="7" applyFont="1" applyFill="1" applyBorder="1" applyAlignment="1">
      <alignment horizontal="left"/>
    </xf>
    <xf numFmtId="168" fontId="38" fillId="0" borderId="43" xfId="7" applyNumberFormat="1" applyFont="1" applyFill="1" applyBorder="1" applyAlignment="1">
      <alignment horizontal="right"/>
    </xf>
    <xf numFmtId="0" fontId="38" fillId="0" borderId="66" xfId="7" applyFont="1" applyBorder="1" applyAlignment="1">
      <alignment horizontal="left"/>
    </xf>
    <xf numFmtId="0" fontId="38" fillId="0" borderId="43" xfId="7" applyFont="1" applyBorder="1" applyAlignment="1">
      <alignment horizontal="left"/>
    </xf>
    <xf numFmtId="168" fontId="38" fillId="0" borderId="43" xfId="5" applyNumberFormat="1" applyFont="1" applyFill="1" applyBorder="1" applyAlignment="1">
      <alignment horizontal="right" vertical="center"/>
    </xf>
    <xf numFmtId="0" fontId="46" fillId="0" borderId="0" xfId="7" applyFont="1" applyBorder="1" applyAlignment="1">
      <alignment horizontal="left"/>
    </xf>
    <xf numFmtId="168" fontId="38" fillId="0" borderId="43" xfId="7" applyNumberFormat="1" applyFont="1" applyBorder="1" applyAlignment="1">
      <alignment horizontal="right"/>
    </xf>
    <xf numFmtId="0" fontId="38" fillId="0" borderId="0" xfId="7" applyNumberFormat="1" applyFont="1" applyFill="1"/>
    <xf numFmtId="0" fontId="45" fillId="0" borderId="0" xfId="7" applyFont="1" applyFill="1" applyBorder="1" applyAlignment="1">
      <alignment horizontal="left"/>
    </xf>
    <xf numFmtId="0" fontId="42" fillId="0" borderId="0" xfId="7" applyNumberFormat="1" applyFont="1" applyFill="1"/>
    <xf numFmtId="0" fontId="45" fillId="0" borderId="0" xfId="7" applyFont="1" applyFill="1"/>
    <xf numFmtId="168" fontId="38" fillId="3" borderId="43" xfId="5" applyNumberFormat="1" applyFont="1" applyFill="1" applyBorder="1" applyAlignment="1">
      <alignment horizontal="right" vertical="center"/>
    </xf>
    <xf numFmtId="3" fontId="46" fillId="0" borderId="0" xfId="7" applyNumberFormat="1" applyFont="1" applyFill="1" applyBorder="1"/>
    <xf numFmtId="3" fontId="38" fillId="0" borderId="0" xfId="7" applyNumberFormat="1" applyFont="1" applyFill="1" applyBorder="1"/>
    <xf numFmtId="0" fontId="38" fillId="0" borderId="0" xfId="7" applyFont="1" applyFill="1" applyBorder="1"/>
    <xf numFmtId="0" fontId="46" fillId="0" borderId="0" xfId="7" applyFont="1" applyFill="1" applyAlignment="1">
      <alignment horizontal="left"/>
    </xf>
    <xf numFmtId="0" fontId="46" fillId="0" borderId="0" xfId="7" applyFont="1" applyFill="1"/>
    <xf numFmtId="3" fontId="38" fillId="0" borderId="0" xfId="7" applyNumberFormat="1" applyFont="1" applyFill="1"/>
    <xf numFmtId="0" fontId="38" fillId="0" borderId="0" xfId="7" applyFont="1" applyFill="1"/>
    <xf numFmtId="0" fontId="47" fillId="6" borderId="0" xfId="7" applyFont="1" applyFill="1"/>
    <xf numFmtId="3" fontId="48" fillId="6" borderId="0" xfId="7" applyNumberFormat="1" applyFont="1" applyFill="1"/>
    <xf numFmtId="0" fontId="36" fillId="0" borderId="0" xfId="7" applyFont="1" applyFill="1" applyAlignment="1">
      <alignment horizontal="left"/>
    </xf>
    <xf numFmtId="0" fontId="36" fillId="0" borderId="0" xfId="7" applyFont="1" applyFill="1"/>
    <xf numFmtId="0" fontId="36" fillId="0" borderId="0" xfId="7" applyFont="1" applyFill="1" applyBorder="1" applyAlignment="1">
      <alignment horizontal="left"/>
    </xf>
    <xf numFmtId="3" fontId="0" fillId="0" borderId="0" xfId="0" applyNumberFormat="1"/>
    <xf numFmtId="0" fontId="0" fillId="0" borderId="75" xfId="0" applyBorder="1"/>
    <xf numFmtId="0" fontId="0" fillId="0" borderId="0" xfId="0" applyBorder="1"/>
    <xf numFmtId="3" fontId="0" fillId="0" borderId="0" xfId="0" applyNumberFormat="1" applyBorder="1"/>
    <xf numFmtId="3" fontId="0" fillId="0" borderId="75" xfId="0" applyNumberFormat="1" applyBorder="1"/>
    <xf numFmtId="0" fontId="18" fillId="0" borderId="77" xfId="0" applyFont="1" applyBorder="1" applyAlignment="1">
      <alignment horizontal="center"/>
    </xf>
    <xf numFmtId="0" fontId="0" fillId="0" borderId="77" xfId="0" applyBorder="1"/>
    <xf numFmtId="3" fontId="0" fillId="0" borderId="77" xfId="0" applyNumberFormat="1" applyBorder="1"/>
    <xf numFmtId="0" fontId="0" fillId="0" borderId="76" xfId="0" applyBorder="1"/>
    <xf numFmtId="0" fontId="18" fillId="0" borderId="75" xfId="0" applyFont="1" applyBorder="1"/>
    <xf numFmtId="0" fontId="0" fillId="0" borderId="77" xfId="0" applyBorder="1" applyAlignment="1">
      <alignment wrapText="1"/>
    </xf>
    <xf numFmtId="0" fontId="18" fillId="0" borderId="0" xfId="0" applyFont="1" applyBorder="1" applyAlignment="1"/>
    <xf numFmtId="0" fontId="19" fillId="0" borderId="78" xfId="0" applyFont="1" applyBorder="1" applyAlignment="1">
      <alignment horizontal="center" vertical="center" wrapText="1"/>
    </xf>
    <xf numFmtId="0" fontId="19" fillId="0" borderId="79" xfId="0" applyFont="1" applyBorder="1" applyAlignment="1">
      <alignment horizontal="center" vertical="center" wrapText="1"/>
    </xf>
    <xf numFmtId="0" fontId="18" fillId="0" borderId="76" xfId="0" applyFont="1" applyBorder="1" applyAlignment="1"/>
    <xf numFmtId="3" fontId="0" fillId="0" borderId="76" xfId="0" applyNumberFormat="1" applyBorder="1"/>
    <xf numFmtId="0" fontId="18" fillId="0" borderId="76" xfId="0" applyFont="1" applyBorder="1" applyAlignment="1">
      <alignment horizontal="center"/>
    </xf>
    <xf numFmtId="0" fontId="19" fillId="0" borderId="0" xfId="0" applyFont="1" applyBorder="1" applyAlignment="1">
      <alignment horizontal="center" vertical="center" wrapText="1"/>
    </xf>
    <xf numFmtId="3" fontId="20" fillId="0" borderId="83" xfId="0" applyNumberFormat="1" applyFont="1" applyBorder="1" applyAlignment="1">
      <alignment horizontal="right" vertical="center"/>
    </xf>
    <xf numFmtId="3" fontId="20" fillId="0" borderId="30" xfId="0" applyNumberFormat="1" applyFont="1" applyBorder="1" applyAlignment="1">
      <alignment horizontal="right" vertical="center"/>
    </xf>
    <xf numFmtId="3" fontId="20" fillId="0" borderId="46" xfId="0" applyNumberFormat="1" applyFont="1" applyBorder="1" applyAlignment="1">
      <alignment horizontal="right" vertical="center"/>
    </xf>
    <xf numFmtId="3" fontId="0" fillId="0" borderId="80" xfId="0" applyNumberFormat="1" applyBorder="1"/>
    <xf numFmtId="0" fontId="20" fillId="0" borderId="77" xfId="0" applyFont="1" applyBorder="1" applyAlignment="1">
      <alignment vertical="center"/>
    </xf>
    <xf numFmtId="0" fontId="20" fillId="0" borderId="75" xfId="0" applyFont="1" applyBorder="1" applyAlignment="1">
      <alignment vertical="center"/>
    </xf>
    <xf numFmtId="0" fontId="20" fillId="0" borderId="76" xfId="0" applyFont="1" applyBorder="1" applyAlignment="1">
      <alignment vertical="center"/>
    </xf>
    <xf numFmtId="3" fontId="20" fillId="0" borderId="76" xfId="0" applyNumberFormat="1" applyFont="1" applyBorder="1" applyAlignment="1">
      <alignment vertical="center"/>
    </xf>
    <xf numFmtId="0" fontId="20" fillId="7" borderId="76" xfId="0" applyFont="1" applyFill="1" applyBorder="1" applyAlignment="1">
      <alignment vertical="center"/>
    </xf>
    <xf numFmtId="0" fontId="0" fillId="0" borderId="0" xfId="0" applyBorder="1" applyAlignment="1">
      <alignment wrapText="1"/>
    </xf>
    <xf numFmtId="0" fontId="0" fillId="0" borderId="75" xfId="0" applyBorder="1" applyAlignment="1">
      <alignment wrapText="1"/>
    </xf>
    <xf numFmtId="0" fontId="0" fillId="0" borderId="76" xfId="0" applyBorder="1" applyAlignment="1">
      <alignment wrapText="1"/>
    </xf>
    <xf numFmtId="0" fontId="0" fillId="0" borderId="77" xfId="0" applyBorder="1" applyAlignment="1">
      <alignment horizontal="center"/>
    </xf>
    <xf numFmtId="3" fontId="20" fillId="0" borderId="77" xfId="0" applyNumberFormat="1" applyFont="1" applyBorder="1" applyAlignment="1">
      <alignment vertical="center"/>
    </xf>
    <xf numFmtId="0" fontId="20" fillId="7" borderId="77" xfId="0" applyFont="1" applyFill="1" applyBorder="1" applyAlignment="1">
      <alignment vertical="center"/>
    </xf>
    <xf numFmtId="3" fontId="20" fillId="0" borderId="75" xfId="0" applyNumberFormat="1" applyFont="1" applyBorder="1" applyAlignment="1">
      <alignment vertical="center"/>
    </xf>
    <xf numFmtId="0" fontId="20" fillId="7" borderId="75" xfId="0" applyFont="1" applyFill="1" applyBorder="1" applyAlignment="1">
      <alignment vertical="center"/>
    </xf>
    <xf numFmtId="0" fontId="16" fillId="0" borderId="0" xfId="0" applyFont="1" applyAlignment="1">
      <alignment horizontal="left" vertical="center"/>
    </xf>
    <xf numFmtId="0" fontId="0" fillId="0" borderId="77" xfId="0" applyNumberFormat="1" applyBorder="1" applyAlignment="1">
      <alignment horizontal="centerContinuous"/>
    </xf>
    <xf numFmtId="0" fontId="0" fillId="0" borderId="75" xfId="0" applyNumberFormat="1" applyBorder="1" applyAlignment="1">
      <alignment horizontal="centerContinuous"/>
    </xf>
    <xf numFmtId="0" fontId="19" fillId="0" borderId="32" xfId="0" applyNumberFormat="1" applyFont="1" applyBorder="1" applyAlignment="1">
      <alignment horizontal="centerContinuous" vertical="center" wrapText="1"/>
    </xf>
    <xf numFmtId="0" fontId="0" fillId="0" borderId="75" xfId="0" applyNumberFormat="1" applyBorder="1" applyAlignment="1">
      <alignment horizontal="right"/>
    </xf>
    <xf numFmtId="0" fontId="0" fillId="0" borderId="77" xfId="0" applyNumberFormat="1" applyBorder="1" applyAlignment="1">
      <alignment horizontal="right"/>
    </xf>
    <xf numFmtId="0" fontId="25" fillId="0" borderId="0" xfId="2" applyNumberFormat="1" applyFont="1" applyAlignment="1">
      <alignment horizontal="center"/>
    </xf>
    <xf numFmtId="0" fontId="25" fillId="0" borderId="0" xfId="2" applyFont="1" applyAlignment="1">
      <alignment horizontal="right"/>
    </xf>
    <xf numFmtId="0" fontId="16" fillId="0" borderId="0" xfId="0" applyFont="1" applyAlignment="1">
      <alignment horizontal="left" wrapText="1"/>
    </xf>
    <xf numFmtId="0" fontId="0" fillId="7" borderId="75" xfId="0" applyFill="1" applyBorder="1"/>
    <xf numFmtId="0" fontId="0" fillId="7" borderId="77" xfId="0" applyFill="1" applyBorder="1"/>
    <xf numFmtId="3" fontId="0" fillId="0" borderId="75" xfId="0" applyNumberFormat="1" applyFill="1" applyBorder="1"/>
    <xf numFmtId="3" fontId="0" fillId="0" borderId="77" xfId="0" applyNumberFormat="1" applyFill="1" applyBorder="1"/>
    <xf numFmtId="0" fontId="0" fillId="0" borderId="75" xfId="0" applyFill="1" applyBorder="1"/>
    <xf numFmtId="0" fontId="0" fillId="0" borderId="77" xfId="0" applyFill="1" applyBorder="1"/>
    <xf numFmtId="0" fontId="0" fillId="0" borderId="75" xfId="0" applyBorder="1" applyAlignment="1">
      <alignment horizontal="center"/>
    </xf>
    <xf numFmtId="0" fontId="0" fillId="0" borderId="86" xfId="0" applyBorder="1"/>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3" fontId="0" fillId="7" borderId="76" xfId="0" applyNumberFormat="1" applyFill="1" applyBorder="1"/>
    <xf numFmtId="0" fontId="19" fillId="0" borderId="7" xfId="0" applyFont="1" applyBorder="1" applyAlignment="1">
      <alignment horizontal="center" vertical="center" wrapText="1"/>
    </xf>
    <xf numFmtId="0" fontId="27" fillId="0" borderId="0" xfId="8" applyFill="1" applyAlignment="1">
      <alignment vertical="center"/>
    </xf>
    <xf numFmtId="0" fontId="60" fillId="0" borderId="0" xfId="8" applyFont="1" applyFill="1" applyAlignment="1">
      <alignment horizontal="left" vertical="center"/>
    </xf>
    <xf numFmtId="0" fontId="64" fillId="0" borderId="0" xfId="8" applyFont="1" applyFill="1" applyAlignment="1">
      <alignment horizontal="left" vertical="center"/>
    </xf>
    <xf numFmtId="0" fontId="64" fillId="0" borderId="13" xfId="8" applyFont="1" applyFill="1" applyBorder="1" applyAlignment="1">
      <alignment horizontal="left" vertical="center"/>
    </xf>
    <xf numFmtId="0" fontId="64" fillId="0" borderId="97" xfId="8" applyFont="1" applyFill="1" applyBorder="1" applyAlignment="1">
      <alignment horizontal="left" vertical="center"/>
    </xf>
    <xf numFmtId="0" fontId="60" fillId="0" borderId="97" xfId="8" applyFont="1" applyFill="1" applyBorder="1" applyAlignment="1">
      <alignment horizontal="left" vertical="center"/>
    </xf>
    <xf numFmtId="0" fontId="60" fillId="0" borderId="96" xfId="8" applyFont="1" applyFill="1" applyBorder="1" applyAlignment="1">
      <alignment horizontal="left" vertical="center"/>
    </xf>
    <xf numFmtId="0" fontId="57" fillId="0" borderId="0" xfId="8" applyFont="1" applyFill="1" applyAlignment="1">
      <alignment horizontal="left" vertical="center"/>
    </xf>
    <xf numFmtId="0" fontId="64" fillId="0" borderId="29" xfId="8" applyFont="1" applyFill="1" applyBorder="1" applyAlignment="1">
      <alignment horizontal="left" vertical="center"/>
    </xf>
    <xf numFmtId="0" fontId="64" fillId="0" borderId="0" xfId="8" applyFont="1" applyFill="1" applyBorder="1" applyAlignment="1">
      <alignment horizontal="left" vertical="center"/>
    </xf>
    <xf numFmtId="0" fontId="57" fillId="0" borderId="0" xfId="8" applyFont="1" applyFill="1" applyBorder="1" applyAlignment="1">
      <alignment horizontal="left" vertical="center"/>
    </xf>
    <xf numFmtId="0" fontId="57" fillId="0" borderId="95" xfId="8" applyFont="1" applyFill="1" applyBorder="1" applyAlignment="1">
      <alignment horizontal="left" vertical="center"/>
    </xf>
    <xf numFmtId="0" fontId="60" fillId="0" borderId="0" xfId="8" applyFont="1" applyFill="1" applyBorder="1" applyAlignment="1">
      <alignment horizontal="left" vertical="center"/>
    </xf>
    <xf numFmtId="0" fontId="60" fillId="0" borderId="95" xfId="8" applyFont="1" applyFill="1" applyBorder="1" applyAlignment="1">
      <alignment horizontal="left" vertical="center"/>
    </xf>
    <xf numFmtId="0" fontId="27" fillId="0" borderId="0" xfId="8" applyFill="1" applyBorder="1" applyAlignment="1">
      <alignment vertical="center"/>
    </xf>
    <xf numFmtId="0" fontId="27" fillId="0" borderId="95" xfId="8" applyFill="1" applyBorder="1" applyAlignment="1">
      <alignment vertical="center"/>
    </xf>
    <xf numFmtId="0" fontId="64" fillId="0" borderId="94" xfId="8" applyFont="1" applyFill="1" applyBorder="1" applyAlignment="1">
      <alignment horizontal="left" vertical="center"/>
    </xf>
    <xf numFmtId="0" fontId="64" fillId="0" borderId="93" xfId="8" applyFont="1" applyFill="1" applyBorder="1" applyAlignment="1">
      <alignment horizontal="left" vertical="center"/>
    </xf>
    <xf numFmtId="0" fontId="57" fillId="0" borderId="93" xfId="8" applyFont="1" applyFill="1" applyBorder="1" applyAlignment="1">
      <alignment horizontal="left" vertical="center"/>
    </xf>
    <xf numFmtId="0" fontId="70" fillId="0" borderId="92" xfId="8" applyFont="1" applyFill="1" applyBorder="1" applyAlignment="1">
      <alignment horizontal="left" vertical="center"/>
    </xf>
    <xf numFmtId="0" fontId="57" fillId="0" borderId="105" xfId="8" applyFont="1" applyFill="1" applyBorder="1" applyAlignment="1">
      <alignment horizontal="left" vertical="center"/>
    </xf>
    <xf numFmtId="0" fontId="57" fillId="0" borderId="97" xfId="8" applyFont="1" applyFill="1" applyBorder="1" applyAlignment="1">
      <alignment horizontal="left" vertical="center"/>
    </xf>
    <xf numFmtId="0" fontId="57" fillId="0" borderId="96" xfId="8" applyFont="1" applyFill="1" applyBorder="1" applyAlignment="1">
      <alignment horizontal="left" vertical="center"/>
    </xf>
    <xf numFmtId="0" fontId="27" fillId="0" borderId="77" xfId="8" applyBorder="1" applyAlignment="1">
      <alignment horizontal="center" vertical="center"/>
    </xf>
    <xf numFmtId="0" fontId="27" fillId="0" borderId="0" xfId="8" applyAlignment="1">
      <alignment horizontal="center" vertical="center"/>
    </xf>
    <xf numFmtId="0" fontId="60" fillId="0" borderId="75" xfId="8" applyFont="1" applyFill="1" applyBorder="1" applyAlignment="1">
      <alignment horizontal="center" vertical="center"/>
    </xf>
    <xf numFmtId="0" fontId="60" fillId="0" borderId="77" xfId="8" applyFont="1" applyFill="1" applyBorder="1" applyAlignment="1">
      <alignment horizontal="center" vertical="center"/>
    </xf>
    <xf numFmtId="1" fontId="64" fillId="0" borderId="0" xfId="8" applyNumberFormat="1" applyFont="1" applyFill="1" applyBorder="1" applyAlignment="1">
      <alignment horizontal="center" vertical="center"/>
    </xf>
    <xf numFmtId="169" fontId="64" fillId="0" borderId="0" xfId="8" applyNumberFormat="1" applyFont="1" applyFill="1" applyBorder="1" applyAlignment="1">
      <alignment horizontal="center" vertical="center"/>
    </xf>
    <xf numFmtId="170" fontId="64" fillId="0" borderId="0" xfId="8" applyNumberFormat="1" applyFont="1" applyFill="1" applyBorder="1" applyAlignment="1">
      <alignment horizontal="center" vertical="center"/>
    </xf>
    <xf numFmtId="170" fontId="64" fillId="0" borderId="95" xfId="8" applyNumberFormat="1" applyFont="1" applyFill="1" applyBorder="1" applyAlignment="1">
      <alignment horizontal="center" vertical="center"/>
    </xf>
    <xf numFmtId="0" fontId="27" fillId="0" borderId="29" xfId="8" applyFill="1" applyBorder="1" applyAlignment="1"/>
    <xf numFmtId="0" fontId="27" fillId="0" borderId="0" xfId="8" applyFill="1" applyBorder="1" applyAlignment="1"/>
    <xf numFmtId="0" fontId="60" fillId="0" borderId="75" xfId="8" applyFont="1" applyFill="1" applyBorder="1" applyAlignment="1">
      <alignment vertical="top" wrapText="1"/>
    </xf>
    <xf numFmtId="0" fontId="60" fillId="0" borderId="77" xfId="8" applyFont="1" applyFill="1" applyBorder="1" applyAlignment="1">
      <alignment vertical="top" wrapText="1"/>
    </xf>
    <xf numFmtId="0" fontId="60" fillId="0" borderId="0" xfId="8" applyFont="1" applyFill="1" applyBorder="1" applyAlignment="1">
      <alignment vertical="top" wrapText="1"/>
    </xf>
    <xf numFmtId="0" fontId="60" fillId="0" borderId="0" xfId="8" applyFont="1" applyFill="1" applyBorder="1" applyAlignment="1">
      <alignment vertical="center" wrapText="1"/>
    </xf>
    <xf numFmtId="0" fontId="60" fillId="0" borderId="77" xfId="8" applyFont="1" applyFill="1" applyBorder="1" applyAlignment="1">
      <alignment vertical="center" wrapText="1"/>
    </xf>
    <xf numFmtId="1" fontId="60" fillId="0" borderId="0" xfId="8" applyNumberFormat="1" applyFont="1" applyFill="1" applyBorder="1" applyAlignment="1">
      <alignment horizontal="left" vertical="center"/>
    </xf>
    <xf numFmtId="0" fontId="60" fillId="0" borderId="85" xfId="8" applyFont="1" applyFill="1" applyBorder="1" applyAlignment="1">
      <alignment vertical="center" wrapText="1"/>
    </xf>
    <xf numFmtId="1" fontId="60" fillId="0" borderId="99" xfId="8" applyNumberFormat="1" applyFont="1" applyFill="1" applyBorder="1" applyAlignment="1">
      <alignment horizontal="left" vertical="center"/>
    </xf>
    <xf numFmtId="0" fontId="60" fillId="0" borderId="99" xfId="8" applyFont="1" applyFill="1" applyBorder="1" applyAlignment="1">
      <alignment horizontal="left" vertical="center"/>
    </xf>
    <xf numFmtId="0" fontId="60" fillId="0" borderId="98" xfId="8" applyFont="1" applyFill="1" applyBorder="1" applyAlignment="1">
      <alignment horizontal="left" vertical="center"/>
    </xf>
    <xf numFmtId="0" fontId="59" fillId="0" borderId="77" xfId="8" applyFont="1" applyFill="1" applyBorder="1" applyAlignment="1">
      <alignment horizontal="center" vertical="center" wrapText="1"/>
    </xf>
    <xf numFmtId="0" fontId="69" fillId="0" borderId="0" xfId="8" applyFont="1" applyFill="1" applyAlignment="1">
      <alignment horizontal="left" vertical="center"/>
    </xf>
    <xf numFmtId="0" fontId="69" fillId="0" borderId="103" xfId="8" applyFont="1" applyFill="1" applyBorder="1" applyAlignment="1">
      <alignment horizontal="left" vertical="center"/>
    </xf>
    <xf numFmtId="0" fontId="27" fillId="0" borderId="93" xfId="8" applyFill="1" applyBorder="1" applyAlignment="1">
      <alignment vertical="center"/>
    </xf>
    <xf numFmtId="0" fontId="60" fillId="0" borderId="92" xfId="8" applyFont="1" applyFill="1" applyBorder="1" applyAlignment="1">
      <alignment vertical="center"/>
    </xf>
    <xf numFmtId="0" fontId="64" fillId="0" borderId="13" xfId="8" applyFont="1" applyFill="1" applyBorder="1" applyAlignment="1">
      <alignment horizontal="center" vertical="center"/>
    </xf>
    <xf numFmtId="0" fontId="64" fillId="0" borderId="97" xfId="8" applyFont="1" applyFill="1" applyBorder="1" applyAlignment="1">
      <alignment horizontal="center" vertical="center"/>
    </xf>
    <xf numFmtId="0" fontId="64" fillId="0" borderId="96" xfId="8" applyFont="1" applyFill="1" applyBorder="1" applyAlignment="1">
      <alignment horizontal="center" vertical="center"/>
    </xf>
    <xf numFmtId="0" fontId="64" fillId="0" borderId="0" xfId="8" applyFont="1" applyFill="1" applyBorder="1" applyAlignment="1">
      <alignment horizontal="center" vertical="center"/>
    </xf>
    <xf numFmtId="0" fontId="64" fillId="0" borderId="0" xfId="8" applyFont="1" applyFill="1" applyBorder="1" applyAlignment="1">
      <alignment vertical="center"/>
    </xf>
    <xf numFmtId="0" fontId="67" fillId="0" borderId="0" xfId="8" applyFont="1" applyFill="1" applyBorder="1" applyAlignment="1">
      <alignment vertical="center"/>
    </xf>
    <xf numFmtId="0" fontId="64" fillId="0" borderId="95" xfId="8" applyFont="1" applyFill="1" applyBorder="1" applyAlignment="1">
      <alignment vertical="center"/>
    </xf>
    <xf numFmtId="0" fontId="60" fillId="0" borderId="0" xfId="8" applyFont="1" applyFill="1" applyBorder="1" applyAlignment="1">
      <alignment vertical="center"/>
    </xf>
    <xf numFmtId="0" fontId="60" fillId="0" borderId="95" xfId="8" applyFont="1" applyFill="1" applyBorder="1" applyAlignment="1">
      <alignment vertical="center"/>
    </xf>
    <xf numFmtId="0" fontId="68" fillId="0" borderId="0" xfId="8" applyFont="1" applyFill="1" applyAlignment="1">
      <alignment vertical="center"/>
    </xf>
    <xf numFmtId="0" fontId="64" fillId="0" borderId="29" xfId="8" applyFont="1" applyFill="1" applyBorder="1" applyAlignment="1">
      <alignment horizontal="center" vertical="center"/>
    </xf>
    <xf numFmtId="0" fontId="64" fillId="0" borderId="95" xfId="8" applyFont="1" applyFill="1" applyBorder="1" applyAlignment="1">
      <alignment horizontal="center" vertical="center"/>
    </xf>
    <xf numFmtId="0" fontId="61" fillId="0" borderId="0" xfId="8" applyFont="1" applyFill="1" applyAlignment="1">
      <alignment vertical="center"/>
    </xf>
    <xf numFmtId="0" fontId="65" fillId="0" borderId="102" xfId="8" applyFont="1" applyFill="1" applyBorder="1" applyAlignment="1">
      <alignment horizontal="left" vertical="center"/>
    </xf>
    <xf numFmtId="0" fontId="65" fillId="0" borderId="88" xfId="8" applyFont="1" applyFill="1" applyBorder="1" applyAlignment="1">
      <alignment horizontal="left" vertical="center"/>
    </xf>
    <xf numFmtId="0" fontId="61" fillId="0" borderId="88" xfId="8" applyFont="1" applyFill="1" applyBorder="1" applyAlignment="1">
      <alignment vertical="center"/>
    </xf>
    <xf numFmtId="0" fontId="61" fillId="0" borderId="101" xfId="8" applyFont="1" applyFill="1" applyBorder="1" applyAlignment="1">
      <alignment vertical="center"/>
    </xf>
    <xf numFmtId="0" fontId="59" fillId="0" borderId="100" xfId="8" applyFont="1" applyFill="1" applyBorder="1" applyAlignment="1">
      <alignment horizontal="center" vertical="center"/>
    </xf>
    <xf numFmtId="0" fontId="59" fillId="0" borderId="99" xfId="8" applyFont="1" applyFill="1" applyBorder="1" applyAlignment="1">
      <alignment horizontal="center" vertical="center"/>
    </xf>
    <xf numFmtId="0" fontId="59" fillId="0" borderId="98" xfId="8" applyFont="1" applyFill="1" applyBorder="1" applyAlignment="1">
      <alignment horizontal="center" vertical="center"/>
    </xf>
    <xf numFmtId="0" fontId="65" fillId="0" borderId="100" xfId="8" applyFont="1" applyFill="1" applyBorder="1" applyAlignment="1">
      <alignment horizontal="left" vertical="center"/>
    </xf>
    <xf numFmtId="0" fontId="65" fillId="0" borderId="99" xfId="8" applyFont="1" applyFill="1" applyBorder="1" applyAlignment="1">
      <alignment horizontal="left" vertical="center"/>
    </xf>
    <xf numFmtId="0" fontId="65" fillId="0" borderId="99" xfId="8" applyFont="1" applyFill="1" applyBorder="1" applyAlignment="1">
      <alignment vertical="center"/>
    </xf>
    <xf numFmtId="0" fontId="65" fillId="0" borderId="98" xfId="8" applyFont="1" applyFill="1" applyBorder="1" applyAlignment="1">
      <alignment vertical="center"/>
    </xf>
    <xf numFmtId="0" fontId="63" fillId="0" borderId="0" xfId="8" applyFont="1" applyFill="1" applyAlignment="1">
      <alignment horizontal="left" vertical="center"/>
    </xf>
    <xf numFmtId="0" fontId="63" fillId="0" borderId="93" xfId="8" applyFont="1" applyFill="1" applyBorder="1" applyAlignment="1">
      <alignment horizontal="left" vertical="center"/>
    </xf>
    <xf numFmtId="0" fontId="60" fillId="0" borderId="92" xfId="8" applyFont="1" applyFill="1" applyBorder="1" applyAlignment="1">
      <alignment horizontal="left" vertical="center"/>
    </xf>
    <xf numFmtId="0" fontId="63" fillId="0" borderId="0" xfId="8" applyFont="1" applyFill="1" applyBorder="1" applyAlignment="1">
      <alignment horizontal="left" vertical="center"/>
    </xf>
    <xf numFmtId="0" fontId="60" fillId="0" borderId="97" xfId="8" applyFont="1" applyFill="1" applyBorder="1" applyAlignment="1">
      <alignment horizontal="left"/>
    </xf>
    <xf numFmtId="0" fontId="63" fillId="0" borderId="97" xfId="8" applyFont="1" applyFill="1" applyBorder="1" applyAlignment="1">
      <alignment horizontal="left" vertical="center"/>
    </xf>
    <xf numFmtId="0" fontId="63" fillId="0" borderId="13" xfId="8" applyFont="1" applyFill="1" applyBorder="1" applyAlignment="1">
      <alignment horizontal="left" vertical="center"/>
    </xf>
    <xf numFmtId="0" fontId="64" fillId="0" borderId="96" xfId="8" applyFont="1" applyFill="1" applyBorder="1" applyAlignment="1">
      <alignment horizontal="left" vertical="center"/>
    </xf>
    <xf numFmtId="0" fontId="60" fillId="0" borderId="0" xfId="8" applyFont="1" applyFill="1" applyBorder="1" applyAlignment="1">
      <alignment horizontal="left"/>
    </xf>
    <xf numFmtId="0" fontId="63" fillId="0" borderId="29" xfId="8" applyFont="1" applyFill="1" applyBorder="1" applyAlignment="1">
      <alignment horizontal="left" vertical="center"/>
    </xf>
    <xf numFmtId="0" fontId="64" fillId="0" borderId="0" xfId="8" applyFont="1" applyFill="1" applyBorder="1" applyAlignment="1">
      <alignment horizontal="left"/>
    </xf>
    <xf numFmtId="0" fontId="26" fillId="0" borderId="0" xfId="8" applyFont="1" applyFill="1" applyBorder="1" applyAlignment="1">
      <alignment horizontal="left"/>
    </xf>
    <xf numFmtId="0" fontId="59" fillId="0" borderId="0" xfId="8" applyFont="1" applyFill="1" applyBorder="1" applyAlignment="1">
      <alignment horizontal="center" vertical="center"/>
    </xf>
    <xf numFmtId="0" fontId="64" fillId="0" borderId="0" xfId="8" applyFont="1" applyFill="1" applyBorder="1" applyAlignment="1">
      <alignment horizontal="center"/>
    </xf>
    <xf numFmtId="0" fontId="64" fillId="0" borderId="95" xfId="8" applyFont="1" applyFill="1" applyBorder="1" applyAlignment="1" applyProtection="1">
      <alignment horizontal="center" vertical="center"/>
      <protection locked="0"/>
    </xf>
    <xf numFmtId="0" fontId="63" fillId="0" borderId="96" xfId="8" applyFont="1" applyFill="1" applyBorder="1" applyAlignment="1">
      <alignment horizontal="left"/>
    </xf>
    <xf numFmtId="0" fontId="66" fillId="0" borderId="0" xfId="8" applyFont="1" applyFill="1" applyBorder="1" applyAlignment="1">
      <alignment horizontal="center" vertical="center"/>
    </xf>
    <xf numFmtId="0" fontId="63" fillId="0" borderId="94" xfId="8" applyFont="1" applyFill="1" applyBorder="1" applyAlignment="1">
      <alignment horizontal="left" vertical="center"/>
    </xf>
    <xf numFmtId="0" fontId="60" fillId="0" borderId="93" xfId="8" applyFont="1" applyFill="1" applyBorder="1" applyAlignment="1">
      <alignment horizontal="left" vertical="center"/>
    </xf>
    <xf numFmtId="0" fontId="65" fillId="0" borderId="93" xfId="8" applyFont="1" applyFill="1" applyBorder="1" applyAlignment="1">
      <alignment horizontal="left" vertical="center"/>
    </xf>
    <xf numFmtId="0" fontId="62" fillId="0" borderId="0" xfId="8" applyFont="1" applyFill="1" applyAlignment="1">
      <alignment horizontal="left" vertical="center"/>
    </xf>
    <xf numFmtId="0" fontId="62" fillId="0" borderId="13" xfId="8" applyFont="1" applyFill="1" applyBorder="1" applyAlignment="1">
      <alignment horizontal="left" vertical="center"/>
    </xf>
    <xf numFmtId="0" fontId="62" fillId="0" borderId="97" xfId="8" applyFont="1" applyFill="1" applyBorder="1" applyAlignment="1">
      <alignment horizontal="left" vertical="center"/>
    </xf>
    <xf numFmtId="0" fontId="62" fillId="0" borderId="96" xfId="8" applyFont="1" applyFill="1" applyBorder="1" applyAlignment="1">
      <alignment horizontal="left" vertical="center"/>
    </xf>
    <xf numFmtId="0" fontId="60" fillId="0" borderId="29" xfId="8" applyFont="1" applyFill="1" applyBorder="1" applyAlignment="1">
      <alignment horizontal="left" vertical="center"/>
    </xf>
    <xf numFmtId="0" fontId="61" fillId="0" borderId="0" xfId="8" applyFont="1" applyFill="1" applyAlignment="1">
      <alignment horizontal="left" vertical="center"/>
    </xf>
    <xf numFmtId="0" fontId="61" fillId="0" borderId="94" xfId="8" applyFont="1" applyFill="1" applyBorder="1" applyAlignment="1">
      <alignment horizontal="left" vertical="center"/>
    </xf>
    <xf numFmtId="0" fontId="61" fillId="0" borderId="93" xfId="8" applyFont="1" applyFill="1" applyBorder="1" applyAlignment="1">
      <alignment horizontal="left" vertical="center"/>
    </xf>
    <xf numFmtId="0" fontId="61" fillId="0" borderId="92" xfId="8" applyFont="1" applyFill="1" applyBorder="1" applyAlignment="1">
      <alignment horizontal="left" vertical="center"/>
    </xf>
    <xf numFmtId="0" fontId="27" fillId="0" borderId="17" xfId="8" applyFill="1" applyBorder="1" applyAlignment="1">
      <alignment vertical="center"/>
    </xf>
    <xf numFmtId="0" fontId="27" fillId="0" borderId="91" xfId="8" applyFill="1" applyBorder="1" applyAlignment="1">
      <alignment vertical="center"/>
    </xf>
    <xf numFmtId="0" fontId="60" fillId="0" borderId="91" xfId="8" quotePrefix="1" applyFont="1" applyFill="1" applyBorder="1" applyAlignment="1">
      <alignment horizontal="left" vertical="center"/>
    </xf>
    <xf numFmtId="0" fontId="59" fillId="0" borderId="91" xfId="8" applyFont="1" applyFill="1" applyBorder="1" applyAlignment="1">
      <alignment horizontal="center" vertical="center"/>
    </xf>
    <xf numFmtId="0" fontId="57" fillId="0" borderId="90" xfId="8" applyFont="1" applyFill="1" applyBorder="1" applyAlignment="1">
      <alignment vertical="center"/>
    </xf>
    <xf numFmtId="0" fontId="58" fillId="0" borderId="0" xfId="8" applyFont="1" applyFill="1" applyAlignment="1">
      <alignment horizontal="left" vertical="center"/>
    </xf>
    <xf numFmtId="0" fontId="27" fillId="0" borderId="89" xfId="8" applyFont="1" applyFill="1" applyBorder="1" applyAlignment="1">
      <alignment horizontal="left" vertical="center"/>
    </xf>
    <xf numFmtId="0" fontId="57" fillId="0" borderId="88" xfId="8" applyFont="1" applyFill="1" applyBorder="1" applyAlignment="1">
      <alignment horizontal="left" vertical="center"/>
    </xf>
    <xf numFmtId="0" fontId="27" fillId="0" borderId="87" xfId="8" applyFont="1" applyFill="1" applyBorder="1" applyAlignment="1">
      <alignment horizontal="left" vertical="center"/>
    </xf>
    <xf numFmtId="0" fontId="55" fillId="0" borderId="0" xfId="8" applyFont="1" applyFill="1" applyAlignment="1">
      <alignment horizontal="left" vertical="center"/>
    </xf>
    <xf numFmtId="0" fontId="56" fillId="0" borderId="0" xfId="8" quotePrefix="1" applyFont="1" applyFill="1" applyAlignment="1">
      <alignment horizontal="left" vertical="center"/>
    </xf>
    <xf numFmtId="0" fontId="60" fillId="0" borderId="0" xfId="8" applyFont="1" applyFill="1" applyAlignment="1">
      <alignment vertical="center"/>
    </xf>
    <xf numFmtId="49" fontId="73" fillId="0" borderId="43" xfId="8" applyNumberFormat="1" applyFont="1" applyFill="1" applyBorder="1" applyAlignment="1">
      <alignment horizontal="center" vertical="top"/>
    </xf>
    <xf numFmtId="0" fontId="73" fillId="0" borderId="72" xfId="8" applyFont="1" applyFill="1" applyBorder="1" applyAlignment="1">
      <alignment horizontal="right" vertical="top" wrapText="1"/>
    </xf>
    <xf numFmtId="0" fontId="73" fillId="0" borderId="66" xfId="8" applyFont="1" applyFill="1" applyBorder="1" applyAlignment="1">
      <alignment horizontal="right" vertical="top" wrapText="1"/>
    </xf>
    <xf numFmtId="0" fontId="73" fillId="0" borderId="66" xfId="8" applyFont="1" applyFill="1" applyBorder="1" applyAlignment="1">
      <alignment horizontal="left" vertical="top" wrapText="1"/>
    </xf>
    <xf numFmtId="0" fontId="74" fillId="0" borderId="66" xfId="8" applyFont="1" applyFill="1" applyBorder="1" applyAlignment="1">
      <alignment horizontal="left" vertical="top" wrapText="1"/>
    </xf>
    <xf numFmtId="0" fontId="74" fillId="0" borderId="66" xfId="8" quotePrefix="1" applyFont="1" applyFill="1" applyBorder="1" applyAlignment="1">
      <alignment horizontal="left" vertical="top" wrapText="1"/>
    </xf>
    <xf numFmtId="0" fontId="75" fillId="0" borderId="64" xfId="8" applyFont="1" applyFill="1" applyBorder="1" applyAlignment="1">
      <alignment horizontal="center" wrapText="1"/>
    </xf>
    <xf numFmtId="0" fontId="75" fillId="0" borderId="63" xfId="8" applyFont="1" applyFill="1" applyBorder="1" applyAlignment="1">
      <alignment horizontal="center" wrapText="1"/>
    </xf>
    <xf numFmtId="49" fontId="74" fillId="0" borderId="73" xfId="8" applyNumberFormat="1" applyFont="1" applyFill="1" applyBorder="1" applyAlignment="1">
      <alignment horizontal="center" vertical="top"/>
    </xf>
    <xf numFmtId="0" fontId="74" fillId="0" borderId="72"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6" fillId="0" borderId="66" xfId="8" applyFont="1" applyFill="1" applyBorder="1" applyAlignment="1">
      <alignment horizontal="right" vertical="top" wrapText="1"/>
    </xf>
    <xf numFmtId="0" fontId="60" fillId="0" borderId="0" xfId="8" applyFont="1" applyFill="1"/>
    <xf numFmtId="0" fontId="74" fillId="0" borderId="66" xfId="8" applyFont="1" applyFill="1" applyBorder="1" applyAlignment="1">
      <alignment horizontal="left" vertical="top"/>
    </xf>
    <xf numFmtId="0" fontId="75" fillId="0" borderId="71" xfId="8" applyFont="1" applyFill="1" applyBorder="1" applyAlignment="1">
      <alignment horizontal="center" wrapText="1"/>
    </xf>
    <xf numFmtId="0" fontId="75" fillId="0" borderId="70" xfId="8" applyFont="1" applyFill="1" applyBorder="1" applyAlignment="1">
      <alignment horizontal="center" wrapText="1"/>
    </xf>
    <xf numFmtId="0" fontId="60" fillId="0" borderId="0" xfId="8" applyFont="1" applyFill="1" applyAlignment="1">
      <alignment vertical="center" wrapText="1"/>
    </xf>
    <xf numFmtId="0" fontId="72" fillId="0" borderId="114" xfId="8" applyFont="1" applyFill="1" applyBorder="1" applyAlignment="1">
      <alignment horizontal="right" vertical="center" wrapText="1"/>
    </xf>
    <xf numFmtId="0" fontId="61" fillId="0" borderId="0" xfId="8" applyFont="1" applyFill="1" applyAlignment="1">
      <alignment vertical="center" wrapText="1"/>
    </xf>
    <xf numFmtId="0" fontId="59" fillId="0" borderId="89" xfId="8" applyFont="1" applyFill="1" applyBorder="1" applyAlignment="1">
      <alignment horizontal="left" vertical="center"/>
    </xf>
    <xf numFmtId="0" fontId="59" fillId="0" borderId="88" xfId="8" applyFont="1" applyFill="1" applyBorder="1" applyAlignment="1">
      <alignment horizontal="left" vertical="center"/>
    </xf>
    <xf numFmtId="0" fontId="72" fillId="0" borderId="87" xfId="8" applyFont="1" applyFill="1" applyBorder="1" applyAlignment="1">
      <alignment horizontal="left" vertical="center"/>
    </xf>
    <xf numFmtId="0" fontId="59" fillId="0" borderId="43" xfId="8" applyFont="1" applyFill="1" applyBorder="1" applyAlignment="1">
      <alignment horizontal="center" vertical="center"/>
    </xf>
    <xf numFmtId="0" fontId="60" fillId="0" borderId="43" xfId="8" applyFont="1" applyFill="1" applyBorder="1" applyAlignment="1">
      <alignment horizontal="center" vertical="center"/>
    </xf>
    <xf numFmtId="0" fontId="64" fillId="0" borderId="77" xfId="8" applyFont="1" applyFill="1" applyBorder="1" applyAlignment="1">
      <alignment horizontal="left" vertical="center"/>
    </xf>
    <xf numFmtId="0" fontId="60" fillId="0" borderId="77" xfId="8" applyFont="1" applyFill="1" applyBorder="1" applyAlignment="1">
      <alignment horizontal="left" vertical="center"/>
    </xf>
    <xf numFmtId="172" fontId="60" fillId="0" borderId="0" xfId="8" applyNumberFormat="1" applyFont="1" applyFill="1" applyAlignment="1">
      <alignment horizontal="left" vertical="center"/>
    </xf>
    <xf numFmtId="0" fontId="67" fillId="0" borderId="0" xfId="8" applyFont="1" applyFill="1" applyAlignment="1">
      <alignment vertical="center"/>
    </xf>
    <xf numFmtId="0" fontId="27" fillId="0" borderId="0" xfId="8" applyFont="1" applyFill="1" applyAlignment="1">
      <alignment vertical="center"/>
    </xf>
    <xf numFmtId="0" fontId="27" fillId="0" borderId="0" xfId="8" applyFont="1" applyFill="1" applyBorder="1" applyAlignment="1">
      <alignment horizontal="left" vertical="center"/>
    </xf>
    <xf numFmtId="0" fontId="57" fillId="0" borderId="89" xfId="8" applyFont="1" applyFill="1" applyBorder="1" applyAlignment="1">
      <alignment horizontal="left" vertical="center"/>
    </xf>
    <xf numFmtId="0" fontId="27" fillId="0" borderId="102" xfId="8" applyFont="1" applyFill="1" applyBorder="1" applyAlignment="1">
      <alignment horizontal="left" vertical="center"/>
    </xf>
    <xf numFmtId="0" fontId="73" fillId="0" borderId="0" xfId="8" applyFont="1" applyFill="1" applyAlignment="1">
      <alignment vertical="center"/>
    </xf>
    <xf numFmtId="0" fontId="74" fillId="0" borderId="0" xfId="8" applyFont="1" applyFill="1" applyAlignment="1">
      <alignment vertical="center"/>
    </xf>
    <xf numFmtId="0" fontId="74" fillId="0" borderId="109" xfId="8" applyFont="1" applyFill="1" applyBorder="1" applyAlignment="1">
      <alignment horizontal="left" vertical="top" wrapText="1"/>
    </xf>
    <xf numFmtId="0" fontId="74" fillId="0" borderId="108" xfId="8" applyFont="1" applyFill="1" applyBorder="1" applyAlignment="1">
      <alignment horizontal="left" vertical="top" wrapText="1"/>
    </xf>
    <xf numFmtId="171" fontId="72" fillId="0" borderId="67" xfId="8" applyNumberFormat="1" applyFont="1" applyFill="1" applyBorder="1" applyAlignment="1">
      <alignment horizontal="right" vertical="center"/>
    </xf>
    <xf numFmtId="0" fontId="73" fillId="0" borderId="89" xfId="8" applyFont="1" applyFill="1" applyBorder="1" applyAlignment="1">
      <alignment horizontal="left" vertical="top" wrapText="1"/>
    </xf>
    <xf numFmtId="0" fontId="73" fillId="0" borderId="87" xfId="8" applyFont="1" applyFill="1" applyBorder="1" applyAlignment="1">
      <alignment horizontal="left" vertical="top" wrapText="1"/>
    </xf>
    <xf numFmtId="0" fontId="74" fillId="0" borderId="89" xfId="8" applyFont="1" applyFill="1" applyBorder="1" applyAlignment="1">
      <alignment horizontal="left" vertical="top" wrapText="1"/>
    </xf>
    <xf numFmtId="0" fontId="74" fillId="0" borderId="87" xfId="8" applyFont="1" applyFill="1" applyBorder="1" applyAlignment="1">
      <alignment horizontal="left" vertical="top" wrapText="1"/>
    </xf>
    <xf numFmtId="49" fontId="74" fillId="0" borderId="71" xfId="8" applyNumberFormat="1" applyFont="1" applyFill="1" applyBorder="1" applyAlignment="1">
      <alignment horizontal="center" vertical="top"/>
    </xf>
    <xf numFmtId="0" fontId="74" fillId="0" borderId="85" xfId="8" applyFont="1" applyFill="1" applyBorder="1" applyAlignment="1">
      <alignment horizontal="left" vertical="top" wrapText="1"/>
    </xf>
    <xf numFmtId="0" fontId="74" fillId="0" borderId="84" xfId="8" applyFont="1" applyFill="1" applyBorder="1" applyAlignment="1">
      <alignment horizontal="left" vertical="top" wrapText="1"/>
    </xf>
    <xf numFmtId="0" fontId="74" fillId="0" borderId="70" xfId="8" applyFont="1" applyFill="1" applyBorder="1" applyAlignment="1">
      <alignment horizontal="left" vertical="top" wrapText="1"/>
    </xf>
    <xf numFmtId="0" fontId="73" fillId="0" borderId="66" xfId="8" quotePrefix="1" applyFont="1" applyFill="1" applyBorder="1" applyAlignment="1">
      <alignment horizontal="left" vertical="top" wrapText="1"/>
    </xf>
    <xf numFmtId="49" fontId="73" fillId="0" borderId="71" xfId="8" applyNumberFormat="1" applyFont="1" applyFill="1" applyBorder="1" applyAlignment="1">
      <alignment horizontal="center" vertical="top"/>
    </xf>
    <xf numFmtId="0" fontId="73" fillId="0" borderId="85" xfId="8" applyFont="1" applyFill="1" applyBorder="1" applyAlignment="1">
      <alignment horizontal="left" vertical="top" wrapText="1"/>
    </xf>
    <xf numFmtId="0" fontId="73" fillId="0" borderId="84" xfId="8" applyFont="1" applyFill="1" applyBorder="1" applyAlignment="1">
      <alignment horizontal="left" vertical="top" wrapText="1"/>
    </xf>
    <xf numFmtId="0" fontId="73" fillId="0" borderId="70" xfId="8" applyFont="1" applyFill="1" applyBorder="1" applyAlignment="1">
      <alignment horizontal="left" vertical="top" wrapText="1"/>
    </xf>
    <xf numFmtId="0" fontId="77" fillId="0" borderId="89" xfId="8" applyFont="1" applyFill="1" applyBorder="1" applyAlignment="1">
      <alignment horizontal="left" vertical="top" wrapText="1"/>
    </xf>
    <xf numFmtId="0" fontId="77" fillId="0" borderId="87" xfId="8" applyFont="1" applyFill="1" applyBorder="1" applyAlignment="1">
      <alignment horizontal="left" vertical="top" wrapText="1"/>
    </xf>
    <xf numFmtId="0" fontId="77" fillId="0" borderId="66" xfId="8" applyFont="1" applyFill="1" applyBorder="1" applyAlignment="1">
      <alignment horizontal="left" vertical="top" wrapText="1"/>
    </xf>
    <xf numFmtId="0" fontId="77" fillId="0" borderId="89" xfId="8" quotePrefix="1" applyFont="1" applyFill="1" applyBorder="1" applyAlignment="1">
      <alignment horizontal="left" vertical="top" wrapText="1"/>
    </xf>
    <xf numFmtId="0" fontId="77" fillId="0" borderId="87" xfId="8" quotePrefix="1" applyFont="1" applyFill="1" applyBorder="1" applyAlignment="1">
      <alignment horizontal="left" vertical="top" wrapText="1"/>
    </xf>
    <xf numFmtId="0" fontId="73" fillId="0" borderId="85" xfId="8" quotePrefix="1" applyFont="1" applyFill="1" applyBorder="1" applyAlignment="1">
      <alignment horizontal="left" vertical="top" wrapText="1"/>
    </xf>
    <xf numFmtId="0" fontId="73" fillId="0" borderId="84" xfId="8" quotePrefix="1" applyFont="1" applyFill="1" applyBorder="1" applyAlignment="1">
      <alignment horizontal="left" vertical="top" wrapText="1"/>
    </xf>
    <xf numFmtId="0" fontId="73" fillId="0" borderId="0" xfId="8" applyFont="1" applyFill="1" applyAlignment="1">
      <alignment vertical="center" wrapText="1"/>
    </xf>
    <xf numFmtId="49" fontId="73" fillId="0" borderId="73" xfId="8" applyNumberFormat="1" applyFont="1" applyFill="1" applyBorder="1" applyAlignment="1">
      <alignment horizontal="center" vertical="top"/>
    </xf>
    <xf numFmtId="0" fontId="73" fillId="0" borderId="109" xfId="8" applyFont="1" applyFill="1" applyBorder="1" applyAlignment="1">
      <alignment horizontal="left" vertical="top" wrapText="1"/>
    </xf>
    <xf numFmtId="0" fontId="73" fillId="0" borderId="108" xfId="8" applyFont="1" applyFill="1" applyBorder="1" applyAlignment="1">
      <alignment horizontal="left" vertical="top" wrapText="1"/>
    </xf>
    <xf numFmtId="0" fontId="73" fillId="0" borderId="72" xfId="8" applyFont="1" applyFill="1" applyBorder="1" applyAlignment="1">
      <alignment horizontal="left" vertical="top" wrapText="1"/>
    </xf>
    <xf numFmtId="0" fontId="74" fillId="0" borderId="0" xfId="8" applyFont="1" applyFill="1" applyAlignment="1">
      <alignment vertical="center" wrapText="1"/>
    </xf>
    <xf numFmtId="0" fontId="74" fillId="0" borderId="89" xfId="8" quotePrefix="1" applyFont="1" applyFill="1" applyBorder="1" applyAlignment="1">
      <alignment horizontal="left" vertical="top" wrapText="1"/>
    </xf>
    <xf numFmtId="0" fontId="74" fillId="0" borderId="87" xfId="8" quotePrefix="1" applyFont="1" applyFill="1" applyBorder="1" applyAlignment="1">
      <alignment horizontal="left" vertical="top" wrapText="1"/>
    </xf>
    <xf numFmtId="0" fontId="73" fillId="0" borderId="89" xfId="8" quotePrefix="1" applyFont="1" applyFill="1" applyBorder="1" applyAlignment="1">
      <alignment horizontal="left" vertical="top" wrapText="1"/>
    </xf>
    <xf numFmtId="0" fontId="73" fillId="0" borderId="87" xfId="8" quotePrefix="1" applyFont="1" applyFill="1" applyBorder="1" applyAlignment="1">
      <alignment horizontal="left" vertical="top" wrapText="1"/>
    </xf>
    <xf numFmtId="0" fontId="74" fillId="0" borderId="67" xfId="8" applyFont="1" applyFill="1" applyBorder="1" applyAlignment="1">
      <alignment horizontal="center" vertical="center" wrapText="1"/>
    </xf>
    <xf numFmtId="0" fontId="74" fillId="0" borderId="43" xfId="8" applyFont="1" applyFill="1" applyBorder="1" applyAlignment="1">
      <alignment horizontal="center" wrapText="1"/>
    </xf>
    <xf numFmtId="0" fontId="75" fillId="0" borderId="43" xfId="8" applyFont="1" applyFill="1" applyBorder="1" applyAlignment="1">
      <alignment horizontal="center" vertical="center" wrapText="1"/>
    </xf>
    <xf numFmtId="0" fontId="74" fillId="0" borderId="89" xfId="8" applyFont="1" applyFill="1" applyBorder="1" applyAlignment="1">
      <alignment horizontal="center" vertical="center" wrapText="1"/>
    </xf>
    <xf numFmtId="0" fontId="74" fillId="0" borderId="87"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3" fillId="0" borderId="64" xfId="8" applyFont="1" applyFill="1" applyBorder="1" applyAlignment="1">
      <alignment horizontal="center" vertical="center"/>
    </xf>
    <xf numFmtId="0" fontId="73" fillId="0" borderId="112" xfId="8" applyFont="1" applyFill="1" applyBorder="1" applyAlignment="1">
      <alignment horizontal="center" vertical="center"/>
    </xf>
    <xf numFmtId="0" fontId="73" fillId="0" borderId="111" xfId="8" applyFont="1" applyFill="1" applyBorder="1" applyAlignment="1">
      <alignment horizontal="center" vertical="center"/>
    </xf>
    <xf numFmtId="0" fontId="73" fillId="0" borderId="63" xfId="8" applyFont="1" applyFill="1" applyBorder="1" applyAlignment="1">
      <alignment horizontal="center" vertical="center"/>
    </xf>
    <xf numFmtId="0" fontId="60" fillId="0" borderId="97" xfId="8" applyFont="1" applyFill="1" applyBorder="1" applyAlignment="1">
      <alignment vertical="center"/>
    </xf>
    <xf numFmtId="0" fontId="72" fillId="0" borderId="0" xfId="8" applyFont="1" applyFill="1" applyBorder="1" applyAlignment="1">
      <alignment horizontal="left" vertical="center"/>
    </xf>
    <xf numFmtId="0" fontId="54" fillId="8" borderId="0" xfId="0" applyFont="1" applyFill="1" applyAlignment="1"/>
    <xf numFmtId="0" fontId="80" fillId="0" borderId="0" xfId="0" applyFont="1" applyAlignment="1"/>
    <xf numFmtId="0" fontId="81" fillId="0" borderId="0" xfId="0" applyFo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3" fillId="0" borderId="0" xfId="0" applyFont="1" applyAlignment="1"/>
    <xf numFmtId="0" fontId="20" fillId="0" borderId="0" xfId="0" applyFont="1" applyAlignment="1">
      <alignment wrapText="1"/>
    </xf>
    <xf numFmtId="0" fontId="20" fillId="0" borderId="134" xfId="0" applyFont="1" applyBorder="1" applyAlignment="1"/>
    <xf numFmtId="0" fontId="20" fillId="0" borderId="0" xfId="0" applyFont="1" applyAlignment="1"/>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xf>
    <xf numFmtId="0" fontId="12" fillId="0" borderId="0" xfId="0" applyFont="1" applyAlignment="1"/>
    <xf numFmtId="0" fontId="20" fillId="0" borderId="0" xfId="0" applyFont="1" applyAlignment="1">
      <alignment horizontal="center"/>
    </xf>
    <xf numFmtId="0" fontId="12" fillId="0" borderId="0" xfId="0" applyFont="1"/>
    <xf numFmtId="0" fontId="12" fillId="0" borderId="0" xfId="0" applyFont="1" applyAlignment="1">
      <alignment horizontal="left" wrapText="1"/>
    </xf>
    <xf numFmtId="0" fontId="83" fillId="8" borderId="0" xfId="0" applyFont="1" applyFill="1" applyAlignment="1"/>
    <xf numFmtId="0" fontId="81" fillId="0" borderId="0" xfId="0" applyFont="1" applyBorder="1"/>
    <xf numFmtId="0" fontId="81" fillId="0" borderId="97" xfId="0" applyFont="1" applyBorder="1"/>
    <xf numFmtId="0" fontId="12" fillId="0" borderId="0" xfId="0" applyFont="1" applyAlignment="1">
      <alignment horizontal="left" vertical="top" wrapText="1"/>
    </xf>
    <xf numFmtId="171" fontId="72" fillId="0" borderId="43" xfId="8" applyNumberFormat="1" applyFont="1" applyFill="1" applyBorder="1" applyAlignment="1">
      <alignment horizontal="right" vertical="center"/>
    </xf>
    <xf numFmtId="0" fontId="20" fillId="0" borderId="0" xfId="0" applyFont="1" applyBorder="1" applyAlignment="1">
      <alignment vertical="center"/>
    </xf>
    <xf numFmtId="0" fontId="20" fillId="0" borderId="75" xfId="0" applyFont="1" applyBorder="1"/>
    <xf numFmtId="0" fontId="20" fillId="0" borderId="0" xfId="0" applyFont="1" applyBorder="1"/>
    <xf numFmtId="3" fontId="20" fillId="0" borderId="77" xfId="0" applyNumberFormat="1" applyFont="1" applyBorder="1"/>
    <xf numFmtId="3" fontId="20" fillId="0" borderId="84" xfId="0" applyNumberFormat="1" applyFont="1" applyBorder="1"/>
    <xf numFmtId="3" fontId="20" fillId="0" borderId="99" xfId="0" applyNumberFormat="1" applyFont="1" applyBorder="1"/>
    <xf numFmtId="3" fontId="20" fillId="0" borderId="85" xfId="0" applyNumberFormat="1" applyFont="1" applyBorder="1"/>
    <xf numFmtId="0" fontId="20" fillId="0" borderId="115" xfId="0" applyFont="1" applyBorder="1"/>
    <xf numFmtId="0" fontId="20" fillId="0" borderId="119" xfId="0" applyFont="1" applyBorder="1"/>
    <xf numFmtId="3" fontId="20" fillId="0" borderId="118" xfId="0" applyNumberFormat="1" applyFont="1" applyBorder="1"/>
    <xf numFmtId="3" fontId="20" fillId="0" borderId="76" xfId="0" applyNumberFormat="1" applyFont="1" applyBorder="1"/>
    <xf numFmtId="3" fontId="20" fillId="7" borderId="76" xfId="0" applyNumberFormat="1" applyFont="1" applyFill="1" applyBorder="1"/>
    <xf numFmtId="3" fontId="20" fillId="0" borderId="71" xfId="0" applyNumberFormat="1" applyFont="1" applyBorder="1"/>
    <xf numFmtId="0" fontId="20" fillId="0" borderId="118" xfId="0" applyFont="1" applyBorder="1"/>
    <xf numFmtId="0" fontId="20" fillId="0" borderId="77" xfId="0" applyFont="1" applyBorder="1"/>
    <xf numFmtId="3" fontId="20" fillId="0" borderId="116" xfId="0" applyNumberFormat="1" applyFont="1" applyBorder="1"/>
    <xf numFmtId="3" fontId="20" fillId="0" borderId="75" xfId="0" applyNumberFormat="1" applyFont="1" applyBorder="1"/>
    <xf numFmtId="3" fontId="85" fillId="0" borderId="75" xfId="0" applyNumberFormat="1" applyFont="1" applyBorder="1"/>
    <xf numFmtId="3" fontId="85" fillId="0" borderId="77" xfId="0" applyNumberFormat="1" applyFont="1" applyBorder="1"/>
    <xf numFmtId="0" fontId="85" fillId="0" borderId="75" xfId="0" applyFont="1" applyBorder="1"/>
    <xf numFmtId="0" fontId="85" fillId="0" borderId="77" xfId="0" applyFont="1" applyBorder="1"/>
    <xf numFmtId="3" fontId="85" fillId="0" borderId="84" xfId="0" applyNumberFormat="1" applyFont="1" applyBorder="1"/>
    <xf numFmtId="3" fontId="85" fillId="0" borderId="85" xfId="0" applyNumberFormat="1" applyFont="1" applyBorder="1"/>
    <xf numFmtId="0" fontId="11" fillId="0" borderId="0" xfId="0" applyFont="1" applyAlignment="1">
      <alignment horizontal="left"/>
    </xf>
    <xf numFmtId="0" fontId="20" fillId="0" borderId="135" xfId="0" applyFont="1" applyBorder="1"/>
    <xf numFmtId="3" fontId="20" fillId="0" borderId="115" xfId="0" applyNumberFormat="1" applyFont="1" applyBorder="1"/>
    <xf numFmtId="0" fontId="20" fillId="0" borderId="0" xfId="0" applyFont="1" applyAlignment="1">
      <alignment horizontal="center" wrapText="1"/>
    </xf>
    <xf numFmtId="0" fontId="0" fillId="0" borderId="116" xfId="0" applyBorder="1"/>
    <xf numFmtId="0" fontId="20" fillId="0" borderId="84" xfId="0" applyFont="1" applyBorder="1"/>
    <xf numFmtId="0" fontId="20" fillId="0" borderId="85" xfId="0" applyFont="1" applyBorder="1"/>
    <xf numFmtId="0" fontId="20" fillId="0" borderId="76" xfId="0" applyFont="1" applyBorder="1"/>
    <xf numFmtId="0" fontId="20" fillId="0" borderId="116" xfId="0" applyFont="1" applyBorder="1" applyAlignment="1">
      <alignment vertical="center"/>
    </xf>
    <xf numFmtId="3" fontId="20" fillId="0" borderId="116" xfId="0" applyNumberFormat="1" applyFont="1" applyBorder="1" applyAlignment="1">
      <alignment vertical="center"/>
    </xf>
    <xf numFmtId="0" fontId="20" fillId="0" borderId="118" xfId="0" applyFont="1" applyBorder="1" applyAlignment="1">
      <alignment vertical="center"/>
    </xf>
    <xf numFmtId="0" fontId="20" fillId="0" borderId="85" xfId="0" applyFont="1" applyBorder="1" applyAlignment="1">
      <alignment vertical="center"/>
    </xf>
    <xf numFmtId="0" fontId="20" fillId="0" borderId="115" xfId="0" applyFont="1" applyBorder="1" applyAlignment="1">
      <alignment vertical="center"/>
    </xf>
    <xf numFmtId="0" fontId="85" fillId="0" borderId="115" xfId="0" applyFont="1" applyBorder="1"/>
    <xf numFmtId="0" fontId="85" fillId="0" borderId="118" xfId="0" applyFont="1" applyBorder="1"/>
    <xf numFmtId="3" fontId="20" fillId="0" borderId="115" xfId="0" applyNumberFormat="1" applyFont="1" applyBorder="1" applyAlignment="1">
      <alignment vertical="center"/>
    </xf>
    <xf numFmtId="3" fontId="20" fillId="0" borderId="118" xfId="0" applyNumberFormat="1" applyFont="1" applyBorder="1" applyAlignment="1">
      <alignment vertical="center"/>
    </xf>
    <xf numFmtId="0" fontId="84" fillId="0" borderId="0" xfId="0" applyFont="1" applyAlignment="1">
      <alignment horizontal="justify"/>
    </xf>
    <xf numFmtId="3" fontId="0" fillId="0" borderId="75" xfId="0" applyNumberFormat="1" applyBorder="1" applyAlignment="1">
      <alignment horizontal="right"/>
    </xf>
    <xf numFmtId="3" fontId="0" fillId="0" borderId="77" xfId="0" applyNumberFormat="1" applyBorder="1" applyAlignment="1">
      <alignment horizontal="right"/>
    </xf>
    <xf numFmtId="3" fontId="20" fillId="0" borderId="75" xfId="0" applyNumberFormat="1" applyFont="1" applyBorder="1" applyAlignment="1">
      <alignment horizontal="right"/>
    </xf>
    <xf numFmtId="3" fontId="20" fillId="0" borderId="77" xfId="0" applyNumberFormat="1" applyFont="1" applyBorder="1" applyAlignment="1">
      <alignment horizontal="right"/>
    </xf>
    <xf numFmtId="0" fontId="20" fillId="0" borderId="75" xfId="0" applyNumberFormat="1" applyFont="1" applyBorder="1" applyAlignment="1">
      <alignment horizontal="right"/>
    </xf>
    <xf numFmtId="0" fontId="20" fillId="0" borderId="77" xfId="0" applyNumberFormat="1" applyFont="1" applyBorder="1" applyAlignment="1">
      <alignment horizontal="right"/>
    </xf>
    <xf numFmtId="0" fontId="19" fillId="0" borderId="1" xfId="0" applyNumberFormat="1" applyFont="1" applyBorder="1" applyAlignment="1">
      <alignment horizontal="centerContinuous" vertical="center" wrapText="1"/>
    </xf>
    <xf numFmtId="3" fontId="20" fillId="0" borderId="115" xfId="0" applyNumberFormat="1" applyFont="1" applyBorder="1" applyAlignment="1">
      <alignment horizontal="right"/>
    </xf>
    <xf numFmtId="3" fontId="20" fillId="0" borderId="118" xfId="0" applyNumberFormat="1" applyFont="1" applyBorder="1" applyAlignment="1">
      <alignment horizontal="right"/>
    </xf>
    <xf numFmtId="0" fontId="19" fillId="0" borderId="1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center" vertical="center" wrapText="1"/>
    </xf>
    <xf numFmtId="0" fontId="10" fillId="0" borderId="0" xfId="0" applyFont="1" applyAlignment="1">
      <alignment horizontal="left"/>
    </xf>
    <xf numFmtId="3" fontId="20" fillId="0" borderId="0" xfId="0" applyNumberFormat="1" applyFont="1" applyBorder="1"/>
    <xf numFmtId="3" fontId="20" fillId="0" borderId="119" xfId="0" applyNumberFormat="1" applyFont="1" applyBorder="1"/>
    <xf numFmtId="0" fontId="20" fillId="0" borderId="99" xfId="0" applyFont="1" applyBorder="1"/>
    <xf numFmtId="0" fontId="19" fillId="0" borderId="142" xfId="0" applyFont="1" applyBorder="1" applyAlignment="1">
      <alignment horizontal="center" vertical="center" wrapText="1"/>
    </xf>
    <xf numFmtId="0" fontId="21" fillId="0" borderId="0" xfId="0" applyFont="1" applyBorder="1" applyAlignment="1">
      <alignment vertical="center" wrapText="1"/>
    </xf>
    <xf numFmtId="0" fontId="19" fillId="0" borderId="143" xfId="0" applyFont="1" applyBorder="1" applyAlignment="1">
      <alignment horizontal="center" vertical="center" wrapText="1"/>
    </xf>
    <xf numFmtId="0" fontId="19" fillId="0" borderId="144" xfId="0" applyFont="1" applyBorder="1" applyAlignment="1">
      <alignment horizontal="center" vertical="center" wrapText="1"/>
    </xf>
    <xf numFmtId="0" fontId="20" fillId="7" borderId="75" xfId="0" applyFont="1" applyFill="1" applyBorder="1"/>
    <xf numFmtId="0" fontId="20" fillId="7" borderId="77" xfId="0" applyFont="1" applyFill="1" applyBorder="1"/>
    <xf numFmtId="3" fontId="20" fillId="0" borderId="84" xfId="0" applyNumberFormat="1" applyFont="1" applyBorder="1" applyAlignment="1">
      <alignment vertical="center"/>
    </xf>
    <xf numFmtId="0" fontId="19" fillId="0" borderId="0" xfId="0" applyFont="1" applyBorder="1" applyAlignment="1">
      <alignment horizontal="left" vertical="center" wrapText="1"/>
    </xf>
    <xf numFmtId="0" fontId="20" fillId="0" borderId="0" xfId="0" applyFont="1" applyBorder="1" applyAlignment="1">
      <alignment horizontal="center" vertical="center" wrapText="1"/>
    </xf>
    <xf numFmtId="3" fontId="20" fillId="0" borderId="0" xfId="0" applyNumberFormat="1" applyFont="1"/>
    <xf numFmtId="0" fontId="19" fillId="0" borderId="75" xfId="0" applyFont="1" applyBorder="1"/>
    <xf numFmtId="0" fontId="25" fillId="6" borderId="90" xfId="8" applyFont="1" applyFill="1" applyBorder="1"/>
    <xf numFmtId="0" fontId="25" fillId="6" borderId="91" xfId="8" applyFont="1" applyFill="1" applyBorder="1"/>
    <xf numFmtId="0" fontId="24" fillId="6" borderId="91" xfId="8" applyFont="1" applyFill="1" applyBorder="1"/>
    <xf numFmtId="0" fontId="24" fillId="6" borderId="17" xfId="8" applyFont="1" applyFill="1" applyBorder="1"/>
    <xf numFmtId="0" fontId="24" fillId="0" borderId="0" xfId="8" applyFont="1"/>
    <xf numFmtId="0" fontId="86" fillId="3" borderId="92" xfId="8" applyFont="1" applyFill="1" applyBorder="1"/>
    <xf numFmtId="0" fontId="24" fillId="3" borderId="93" xfId="8" applyFont="1" applyFill="1" applyBorder="1"/>
    <xf numFmtId="0" fontId="24" fillId="3" borderId="94" xfId="8" applyFont="1" applyFill="1" applyBorder="1"/>
    <xf numFmtId="0" fontId="24" fillId="0" borderId="0" xfId="8" applyFont="1" applyFill="1"/>
    <xf numFmtId="0" fontId="24" fillId="6" borderId="133" xfId="8" applyFont="1" applyFill="1" applyBorder="1"/>
    <xf numFmtId="0" fontId="28" fillId="0" borderId="132" xfId="8" applyFont="1" applyFill="1" applyBorder="1" applyAlignment="1" applyProtection="1">
      <alignment horizontal="left" vertical="top"/>
      <protection locked="0"/>
    </xf>
    <xf numFmtId="0" fontId="24" fillId="0" borderId="29" xfId="8" applyFont="1" applyFill="1" applyBorder="1"/>
    <xf numFmtId="0" fontId="24" fillId="3" borderId="95" xfId="8" applyFont="1" applyFill="1" applyBorder="1"/>
    <xf numFmtId="0" fontId="24" fillId="3" borderId="0" xfId="8" applyFont="1" applyFill="1" applyBorder="1"/>
    <xf numFmtId="0" fontId="24" fillId="3" borderId="29" xfId="8" applyFont="1" applyFill="1" applyBorder="1"/>
    <xf numFmtId="0" fontId="25" fillId="6" borderId="131" xfId="8" applyFont="1" applyFill="1" applyBorder="1"/>
    <xf numFmtId="0" fontId="25" fillId="6" borderId="123" xfId="8" applyFont="1" applyFill="1" applyBorder="1" applyAlignment="1">
      <alignment horizontal="center"/>
    </xf>
    <xf numFmtId="0" fontId="25" fillId="6" borderId="128" xfId="10" applyFont="1" applyFill="1" applyBorder="1" applyAlignment="1">
      <alignment horizontal="left" vertical="top"/>
    </xf>
    <xf numFmtId="0" fontId="24" fillId="6" borderId="94" xfId="8" applyFont="1" applyFill="1" applyBorder="1"/>
    <xf numFmtId="0" fontId="25" fillId="3" borderId="63" xfId="8" applyFont="1" applyFill="1" applyBorder="1"/>
    <xf numFmtId="0" fontId="25" fillId="0" borderId="128" xfId="10" applyFont="1" applyFill="1" applyBorder="1" applyAlignment="1" applyProtection="1">
      <alignment horizontal="center" vertical="top"/>
      <protection locked="0"/>
    </xf>
    <xf numFmtId="0" fontId="89" fillId="0" borderId="0" xfId="9" applyFont="1" applyFill="1" applyBorder="1" applyAlignment="1" applyProtection="1">
      <alignment vertical="center"/>
      <protection hidden="1"/>
    </xf>
    <xf numFmtId="0" fontId="24" fillId="0" borderId="0" xfId="8" applyFont="1" applyFill="1" applyBorder="1"/>
    <xf numFmtId="0" fontId="25" fillId="3" borderId="66" xfId="8" applyFont="1" applyFill="1" applyBorder="1"/>
    <xf numFmtId="173" fontId="24" fillId="3" borderId="67" xfId="8" quotePrefix="1" applyNumberFormat="1" applyFont="1" applyFill="1" applyBorder="1" applyAlignment="1">
      <alignment horizontal="center"/>
    </xf>
    <xf numFmtId="0" fontId="25" fillId="0" borderId="130" xfId="10" applyFont="1" applyFill="1" applyBorder="1" applyAlignment="1" applyProtection="1">
      <alignment horizontal="center" vertical="top"/>
      <protection locked="0"/>
    </xf>
    <xf numFmtId="0" fontId="24" fillId="3" borderId="74" xfId="8" quotePrefix="1" applyFont="1" applyFill="1" applyBorder="1" applyAlignment="1">
      <alignment horizontal="center"/>
    </xf>
    <xf numFmtId="0" fontId="25" fillId="3" borderId="129" xfId="8" applyFont="1" applyFill="1" applyBorder="1" applyAlignment="1" applyProtection="1">
      <alignment horizontal="center" vertical="center"/>
      <protection locked="0"/>
    </xf>
    <xf numFmtId="0" fontId="25" fillId="3" borderId="124" xfId="8" applyFont="1" applyFill="1" applyBorder="1"/>
    <xf numFmtId="0" fontId="24" fillId="3" borderId="0" xfId="8" applyFont="1" applyFill="1"/>
    <xf numFmtId="0" fontId="25" fillId="3" borderId="43" xfId="8" applyFont="1" applyFill="1" applyBorder="1"/>
    <xf numFmtId="0" fontId="24" fillId="3" borderId="54" xfId="8" applyNumberFormat="1" applyFont="1" applyFill="1" applyBorder="1" applyAlignment="1">
      <alignment horizontal="center"/>
    </xf>
    <xf numFmtId="0" fontId="24" fillId="3" borderId="54" xfId="8" quotePrefix="1" applyNumberFormat="1" applyFont="1" applyFill="1" applyBorder="1" applyAlignment="1">
      <alignment horizontal="center"/>
    </xf>
    <xf numFmtId="0" fontId="24" fillId="0" borderId="0" xfId="8" applyFont="1" applyAlignment="1">
      <alignment horizontal="center"/>
    </xf>
    <xf numFmtId="16" fontId="24" fillId="3" borderId="0" xfId="8" applyNumberFormat="1" applyFont="1" applyFill="1" applyBorder="1" applyAlignment="1">
      <alignment horizontal="center"/>
    </xf>
    <xf numFmtId="0" fontId="25" fillId="3" borderId="72" xfId="8" applyFont="1" applyFill="1" applyBorder="1"/>
    <xf numFmtId="0" fontId="24" fillId="3" borderId="0" xfId="8" quotePrefix="1" applyFont="1" applyFill="1" applyBorder="1" applyAlignment="1">
      <alignment horizontal="center"/>
    </xf>
    <xf numFmtId="0" fontId="24" fillId="3" borderId="0" xfId="8" applyFont="1" applyFill="1" applyBorder="1" applyAlignment="1">
      <alignment horizontal="right"/>
    </xf>
    <xf numFmtId="0" fontId="25" fillId="6" borderId="124" xfId="8" applyFont="1" applyFill="1" applyBorder="1"/>
    <xf numFmtId="0" fontId="25" fillId="6" borderId="127" xfId="8" quotePrefix="1" applyFont="1" applyFill="1" applyBorder="1" applyAlignment="1">
      <alignment horizontal="center"/>
    </xf>
    <xf numFmtId="0" fontId="24" fillId="0" borderId="110" xfId="10" applyFont="1" applyFill="1" applyBorder="1" applyAlignment="1">
      <alignment horizontal="left" vertical="center"/>
    </xf>
    <xf numFmtId="0" fontId="25" fillId="3" borderId="125" xfId="8" applyFont="1" applyFill="1" applyBorder="1" applyAlignment="1" applyProtection="1">
      <alignment horizontal="center" vertical="center"/>
      <protection locked="0"/>
    </xf>
    <xf numFmtId="0" fontId="24" fillId="0" borderId="107" xfId="10" applyFont="1" applyFill="1" applyBorder="1" applyAlignment="1">
      <alignment horizontal="left" vertical="center"/>
    </xf>
    <xf numFmtId="173" fontId="24" fillId="3" borderId="67" xfId="8" quotePrefix="1" applyNumberFormat="1" applyFont="1" applyFill="1" applyBorder="1" applyAlignment="1" applyProtection="1">
      <alignment horizontal="center"/>
    </xf>
    <xf numFmtId="0" fontId="24" fillId="6" borderId="17" xfId="8" applyFont="1" applyFill="1" applyBorder="1" applyProtection="1">
      <protection locked="0"/>
    </xf>
    <xf numFmtId="0" fontId="25" fillId="3" borderId="95" xfId="8" applyFont="1" applyFill="1" applyBorder="1"/>
    <xf numFmtId="0" fontId="24" fillId="7" borderId="123" xfId="8" applyFont="1" applyFill="1" applyBorder="1" applyAlignment="1" applyProtection="1">
      <alignment horizontal="center" vertical="center"/>
      <protection locked="0"/>
    </xf>
    <xf numFmtId="0" fontId="25" fillId="6" borderId="122" xfId="10" applyFont="1" applyFill="1" applyBorder="1" applyAlignment="1">
      <alignment vertical="center"/>
    </xf>
    <xf numFmtId="14" fontId="24" fillId="7" borderId="65" xfId="8" applyNumberFormat="1" applyFont="1" applyFill="1" applyBorder="1" applyAlignment="1" applyProtection="1">
      <alignment horizontal="center"/>
      <protection locked="0"/>
    </xf>
    <xf numFmtId="0" fontId="24" fillId="0" borderId="0" xfId="8" applyFont="1" applyBorder="1"/>
    <xf numFmtId="0" fontId="25" fillId="6" borderId="121" xfId="10" applyFont="1" applyFill="1" applyBorder="1" applyAlignment="1">
      <alignment vertical="center"/>
    </xf>
    <xf numFmtId="14" fontId="24" fillId="7" borderId="74" xfId="8" applyNumberFormat="1" applyFont="1" applyFill="1" applyBorder="1" applyAlignment="1" applyProtection="1">
      <alignment horizontal="center"/>
      <protection locked="0"/>
    </xf>
    <xf numFmtId="0" fontId="25" fillId="6" borderId="122" xfId="10" applyFont="1" applyFill="1" applyBorder="1" applyAlignment="1"/>
    <xf numFmtId="0" fontId="24" fillId="6" borderId="113" xfId="10" applyFont="1" applyFill="1" applyBorder="1" applyAlignment="1"/>
    <xf numFmtId="0" fontId="24" fillId="3" borderId="0" xfId="8" applyFont="1" applyFill="1" applyBorder="1" applyAlignment="1"/>
    <xf numFmtId="0" fontId="24" fillId="3" borderId="95" xfId="10" applyFont="1" applyFill="1" applyBorder="1" applyAlignment="1"/>
    <xf numFmtId="0" fontId="24" fillId="3" borderId="0" xfId="10" applyFont="1" applyFill="1" applyBorder="1" applyAlignment="1"/>
    <xf numFmtId="0" fontId="24" fillId="3" borderId="29" xfId="8" applyFont="1" applyFill="1" applyBorder="1" applyAlignment="1"/>
    <xf numFmtId="0" fontId="25" fillId="6" borderId="92" xfId="10" applyFont="1" applyFill="1" applyBorder="1" applyAlignment="1">
      <alignment vertical="center"/>
    </xf>
    <xf numFmtId="0" fontId="25" fillId="6" borderId="101" xfId="10" applyFont="1" applyFill="1" applyBorder="1" applyAlignment="1">
      <alignment vertical="top"/>
    </xf>
    <xf numFmtId="0" fontId="24" fillId="6" borderId="88" xfId="10" applyFont="1" applyFill="1" applyBorder="1" applyAlignment="1">
      <alignment vertical="top"/>
    </xf>
    <xf numFmtId="0" fontId="24" fillId="7" borderId="67" xfId="8" applyFont="1" applyFill="1" applyBorder="1" applyAlignment="1" applyProtection="1">
      <alignment horizontal="right"/>
      <protection locked="0"/>
    </xf>
    <xf numFmtId="0" fontId="25" fillId="6" borderId="95" xfId="10" applyFont="1" applyFill="1" applyBorder="1" applyAlignment="1">
      <alignment vertical="center"/>
    </xf>
    <xf numFmtId="0" fontId="24" fillId="6" borderId="29" xfId="8" applyFont="1" applyFill="1" applyBorder="1"/>
    <xf numFmtId="0" fontId="24" fillId="3" borderId="121" xfId="8" applyFont="1" applyFill="1" applyBorder="1" applyAlignment="1">
      <alignment vertical="center"/>
    </xf>
    <xf numFmtId="0" fontId="24" fillId="3" borderId="74" xfId="8" applyFont="1" applyFill="1" applyBorder="1" applyAlignment="1" applyProtection="1">
      <alignment horizontal="center"/>
      <protection locked="0"/>
    </xf>
    <xf numFmtId="0" fontId="24" fillId="6" borderId="88" xfId="8" applyFont="1" applyFill="1" applyBorder="1"/>
    <xf numFmtId="49" fontId="24" fillId="7" borderId="67" xfId="8" applyNumberFormat="1" applyFont="1" applyFill="1" applyBorder="1" applyAlignment="1" applyProtection="1">
      <alignment horizontal="center"/>
      <protection locked="0"/>
    </xf>
    <xf numFmtId="0" fontId="24" fillId="3" borderId="0" xfId="8" applyFont="1" applyFill="1" applyBorder="1" applyAlignment="1">
      <alignment vertical="center"/>
    </xf>
    <xf numFmtId="0" fontId="24" fillId="3" borderId="0" xfId="10" applyFont="1" applyFill="1" applyBorder="1" applyAlignment="1">
      <alignment vertical="top"/>
    </xf>
    <xf numFmtId="0" fontId="25" fillId="6" borderId="121" xfId="8" applyFont="1" applyFill="1" applyBorder="1" applyAlignment="1">
      <alignment vertical="center"/>
    </xf>
    <xf numFmtId="0" fontId="24" fillId="6" borderId="109" xfId="8" applyFont="1" applyFill="1" applyBorder="1"/>
    <xf numFmtId="0" fontId="24" fillId="7" borderId="74" xfId="8" applyFont="1" applyFill="1" applyBorder="1" applyAlignment="1" applyProtection="1">
      <alignment horizontal="center"/>
      <protection locked="0"/>
    </xf>
    <xf numFmtId="0" fontId="25" fillId="6" borderId="122" xfId="10" applyFont="1" applyFill="1" applyBorder="1" applyAlignment="1">
      <alignment vertical="top"/>
    </xf>
    <xf numFmtId="0" fontId="24" fillId="6" borderId="113" xfId="8" applyFont="1" applyFill="1" applyBorder="1"/>
    <xf numFmtId="0" fontId="24" fillId="7" borderId="65" xfId="8" quotePrefix="1" applyFont="1" applyFill="1" applyBorder="1" applyAlignment="1" applyProtection="1">
      <alignment horizontal="center"/>
      <protection locked="0"/>
    </xf>
    <xf numFmtId="0" fontId="24" fillId="3" borderId="0" xfId="8" quotePrefix="1" applyFont="1" applyFill="1" applyBorder="1" applyAlignment="1">
      <alignment horizontal="right"/>
    </xf>
    <xf numFmtId="0" fontId="25" fillId="6" borderId="101" xfId="10" applyFont="1" applyFill="1" applyBorder="1" applyAlignment="1">
      <alignment vertical="center"/>
    </xf>
    <xf numFmtId="0" fontId="24" fillId="7" borderId="67" xfId="8" quotePrefix="1" applyFont="1" applyFill="1" applyBorder="1" applyAlignment="1" applyProtection="1">
      <alignment horizontal="center"/>
      <protection locked="0"/>
    </xf>
    <xf numFmtId="0" fontId="25" fillId="3" borderId="96" xfId="8" applyFont="1" applyFill="1" applyBorder="1"/>
    <xf numFmtId="0" fontId="24" fillId="3" borderId="97" xfId="10" applyFont="1" applyFill="1" applyBorder="1" applyAlignment="1">
      <alignment vertical="center"/>
    </xf>
    <xf numFmtId="0" fontId="24" fillId="3" borderId="13" xfId="8" applyFont="1" applyFill="1" applyBorder="1"/>
    <xf numFmtId="0" fontId="25" fillId="6" borderId="96" xfId="10" applyFont="1" applyFill="1" applyBorder="1" applyAlignment="1">
      <alignment vertical="center"/>
    </xf>
    <xf numFmtId="0" fontId="24" fillId="6" borderId="97" xfId="8" applyFont="1" applyFill="1" applyBorder="1"/>
    <xf numFmtId="0" fontId="24" fillId="7" borderId="58" xfId="8" applyFont="1" applyFill="1" applyBorder="1" applyAlignment="1" applyProtection="1">
      <alignment horizontal="center"/>
      <protection locked="0"/>
    </xf>
    <xf numFmtId="0" fontId="24" fillId="3" borderId="0" xfId="10" applyFont="1" applyFill="1" applyBorder="1" applyAlignment="1">
      <alignment vertical="center"/>
    </xf>
    <xf numFmtId="0" fontId="25" fillId="6" borderId="90" xfId="10" applyFont="1" applyFill="1" applyBorder="1" applyAlignment="1">
      <alignment vertical="center"/>
    </xf>
    <xf numFmtId="0" fontId="24" fillId="3" borderId="97" xfId="8" applyFont="1" applyFill="1" applyBorder="1"/>
    <xf numFmtId="0" fontId="19" fillId="0" borderId="1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2" fillId="0" borderId="0" xfId="0" applyFont="1" applyAlignment="1">
      <alignment horizontal="justify" vertical="top" wrapText="1"/>
    </xf>
    <xf numFmtId="0" fontId="81" fillId="0" borderId="0" xfId="0" applyFont="1" applyAlignment="1">
      <alignment horizontal="justify" vertical="top"/>
    </xf>
    <xf numFmtId="0" fontId="10" fillId="0" borderId="0" xfId="0" applyFont="1" applyAlignment="1">
      <alignment horizontal="left" vertical="top"/>
    </xf>
    <xf numFmtId="0" fontId="20" fillId="0" borderId="0" xfId="0" applyFont="1" applyAlignment="1">
      <alignment vertical="top"/>
    </xf>
    <xf numFmtId="0" fontId="20" fillId="0" borderId="97" xfId="0" applyFont="1" applyBorder="1"/>
    <xf numFmtId="0" fontId="19" fillId="0" borderId="97" xfId="0" applyFont="1" applyBorder="1" applyAlignment="1">
      <alignment horizontal="left"/>
    </xf>
    <xf numFmtId="0" fontId="20" fillId="0" borderId="105" xfId="0" applyFont="1" applyBorder="1" applyAlignment="1">
      <alignment horizontal="center"/>
    </xf>
    <xf numFmtId="0" fontId="81" fillId="0" borderId="0" xfId="0" applyFont="1" applyFill="1"/>
    <xf numFmtId="0" fontId="8" fillId="0" borderId="0" xfId="0" applyFont="1"/>
    <xf numFmtId="0" fontId="81" fillId="0" borderId="77" xfId="0" applyFont="1" applyBorder="1"/>
    <xf numFmtId="0" fontId="81" fillId="0" borderId="75" xfId="0" applyFont="1" applyBorder="1"/>
    <xf numFmtId="0" fontId="81" fillId="0" borderId="84" xfId="0" applyFont="1" applyBorder="1"/>
    <xf numFmtId="0" fontId="81" fillId="0" borderId="99" xfId="0" applyFont="1" applyBorder="1"/>
    <xf numFmtId="0" fontId="81" fillId="0" borderId="85" xfId="0" applyFont="1" applyBorder="1"/>
    <xf numFmtId="0" fontId="8" fillId="0" borderId="0" xfId="0" applyFont="1" applyAlignment="1">
      <alignment horizontal="justify" vertical="top" wrapText="1"/>
    </xf>
    <xf numFmtId="0" fontId="81" fillId="0" borderId="115" xfId="0" applyFont="1" applyBorder="1"/>
    <xf numFmtId="0" fontId="81" fillId="0" borderId="119" xfId="0" applyFont="1" applyBorder="1"/>
    <xf numFmtId="0" fontId="81" fillId="0" borderId="118" xfId="0" applyFont="1" applyBorder="1"/>
    <xf numFmtId="0" fontId="20" fillId="0" borderId="0" xfId="0" applyFont="1" applyFill="1" applyAlignment="1">
      <alignment horizontal="center"/>
    </xf>
    <xf numFmtId="0" fontId="12" fillId="0" borderId="0" xfId="0" applyFont="1" applyFill="1" applyAlignment="1">
      <alignment horizontal="justify" vertical="top" wrapText="1"/>
    </xf>
    <xf numFmtId="0" fontId="20" fillId="0" borderId="0" xfId="0" applyFont="1" applyFill="1"/>
    <xf numFmtId="49" fontId="24" fillId="7" borderId="123" xfId="8" applyNumberFormat="1" applyFont="1" applyFill="1" applyBorder="1" applyAlignment="1" applyProtection="1">
      <alignment horizontal="center" vertical="center"/>
    </xf>
    <xf numFmtId="49" fontId="24" fillId="0" borderId="0" xfId="8" applyNumberFormat="1" applyFont="1"/>
    <xf numFmtId="3" fontId="20" fillId="7" borderId="84" xfId="0" applyNumberFormat="1" applyFont="1" applyFill="1" applyBorder="1"/>
    <xf numFmtId="3" fontId="20" fillId="7" borderId="85" xfId="0" applyNumberFormat="1" applyFont="1" applyFill="1" applyBorder="1"/>
    <xf numFmtId="174" fontId="24" fillId="7" borderId="65" xfId="8" applyNumberFormat="1" applyFont="1" applyFill="1" applyBorder="1" applyAlignment="1" applyProtection="1">
      <alignment horizontal="center"/>
      <protection locked="0"/>
    </xf>
    <xf numFmtId="171" fontId="72" fillId="0" borderId="87" xfId="8" applyNumberFormat="1" applyFont="1" applyFill="1" applyBorder="1" applyAlignment="1">
      <alignment horizontal="right" vertical="center"/>
    </xf>
    <xf numFmtId="0" fontId="74" fillId="0" borderId="87" xfId="8" applyFont="1" applyFill="1" applyBorder="1" applyAlignment="1">
      <alignment horizontal="center" vertical="center" wrapText="1"/>
    </xf>
    <xf numFmtId="0" fontId="75" fillId="0" borderId="70"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3" fillId="0" borderId="66" xfId="8" applyFont="1" applyFill="1" applyBorder="1" applyAlignment="1">
      <alignment horizontal="right" vertical="top" wrapText="1"/>
    </xf>
    <xf numFmtId="49" fontId="73" fillId="0" borderId="71" xfId="8" applyNumberFormat="1" applyFont="1" applyFill="1" applyBorder="1" applyAlignment="1">
      <alignment horizontal="center" vertical="top"/>
    </xf>
    <xf numFmtId="49" fontId="73" fillId="0" borderId="43" xfId="8" applyNumberFormat="1" applyFont="1" applyFill="1" applyBorder="1" applyAlignment="1">
      <alignment horizontal="center" vertical="top"/>
    </xf>
    <xf numFmtId="0" fontId="74" fillId="0" borderId="43" xfId="8" applyFont="1" applyFill="1" applyBorder="1" applyAlignment="1">
      <alignment horizontal="center" vertical="center" wrapText="1"/>
    </xf>
    <xf numFmtId="0" fontId="75" fillId="0" borderId="71" xfId="8" applyFont="1" applyFill="1" applyBorder="1" applyAlignment="1">
      <alignment horizontal="center" vertical="center" wrapText="1"/>
    </xf>
    <xf numFmtId="0" fontId="75" fillId="0" borderId="43" xfId="8" applyFont="1" applyFill="1" applyBorder="1" applyAlignment="1">
      <alignment horizontal="center" vertical="center" wrapText="1"/>
    </xf>
    <xf numFmtId="171" fontId="72" fillId="0" borderId="43" xfId="8" applyNumberFormat="1" applyFont="1" applyFill="1" applyBorder="1" applyAlignment="1">
      <alignment horizontal="right" vertical="center"/>
    </xf>
    <xf numFmtId="0" fontId="73" fillId="0" borderId="66"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4" fillId="0" borderId="66" xfId="8" applyFont="1" applyFill="1" applyBorder="1" applyAlignment="1">
      <alignment horizontal="left" vertical="top" wrapText="1"/>
    </xf>
    <xf numFmtId="0" fontId="73" fillId="0" borderId="66" xfId="8" quotePrefix="1" applyFont="1" applyFill="1" applyBorder="1" applyAlignment="1">
      <alignment horizontal="left" vertical="top" wrapText="1"/>
    </xf>
    <xf numFmtId="0" fontId="74" fillId="0" borderId="66" xfId="8" quotePrefix="1" applyFont="1" applyFill="1" applyBorder="1" applyAlignment="1">
      <alignment horizontal="left" vertical="top" wrapText="1"/>
    </xf>
    <xf numFmtId="49" fontId="74" fillId="0" borderId="71" xfId="8" applyNumberFormat="1" applyFont="1" applyFill="1" applyBorder="1" applyAlignment="1">
      <alignment horizontal="center" vertical="top"/>
    </xf>
    <xf numFmtId="171" fontId="72" fillId="0" borderId="87" xfId="8" applyNumberFormat="1" applyFont="1" applyFill="1" applyBorder="1" applyAlignment="1">
      <alignment horizontal="right" vertical="center"/>
    </xf>
    <xf numFmtId="171" fontId="72" fillId="0" borderId="43" xfId="8" applyNumberFormat="1" applyFont="1" applyFill="1" applyBorder="1" applyAlignment="1">
      <alignment horizontal="right" vertical="center"/>
    </xf>
    <xf numFmtId="49" fontId="73" fillId="0" borderId="43" xfId="8" applyNumberFormat="1" applyFont="1" applyFill="1" applyBorder="1" applyAlignment="1">
      <alignment horizontal="center" vertical="top"/>
    </xf>
    <xf numFmtId="0" fontId="73" fillId="0" borderId="66" xfId="8" applyFont="1" applyFill="1" applyBorder="1" applyAlignment="1">
      <alignment horizontal="right" vertical="top" wrapText="1"/>
    </xf>
    <xf numFmtId="0" fontId="74" fillId="0" borderId="66"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4" fillId="0" borderId="66" xfId="8" quotePrefix="1" applyFont="1" applyFill="1" applyBorder="1" applyAlignment="1">
      <alignment horizontal="left" vertical="top" wrapText="1"/>
    </xf>
    <xf numFmtId="0" fontId="73" fillId="0" borderId="66" xfId="8" applyFont="1" applyFill="1" applyBorder="1" applyAlignment="1">
      <alignment horizontal="left" vertical="top" wrapText="1"/>
    </xf>
    <xf numFmtId="0" fontId="56" fillId="0" borderId="0" xfId="8" applyFont="1" applyFill="1" applyAlignment="1">
      <alignment horizontal="left" vertical="center"/>
    </xf>
    <xf numFmtId="0" fontId="27" fillId="0" borderId="0" xfId="8" applyFill="1" applyAlignment="1">
      <alignment vertical="center"/>
    </xf>
    <xf numFmtId="0" fontId="27" fillId="0" borderId="90" xfId="8" applyFont="1" applyFill="1" applyBorder="1" applyAlignment="1">
      <alignment horizontal="left" vertical="center"/>
    </xf>
    <xf numFmtId="0" fontId="57" fillId="0" borderId="91" xfId="8" applyFont="1" applyFill="1" applyBorder="1" applyAlignment="1">
      <alignment horizontal="left" vertical="center"/>
    </xf>
    <xf numFmtId="0" fontId="27" fillId="0" borderId="17" xfId="8" applyFont="1" applyFill="1" applyBorder="1" applyAlignment="1">
      <alignment horizontal="left" vertical="center"/>
    </xf>
    <xf numFmtId="0" fontId="57" fillId="0" borderId="17" xfId="8" applyFont="1" applyFill="1" applyBorder="1" applyAlignment="1">
      <alignment horizontal="left" vertical="center"/>
    </xf>
    <xf numFmtId="0" fontId="27" fillId="0" borderId="0" xfId="8" applyFill="1" applyBorder="1" applyAlignment="1">
      <alignment vertical="center"/>
    </xf>
    <xf numFmtId="0" fontId="57" fillId="0" borderId="91" xfId="8" applyFont="1" applyFill="1" applyBorder="1" applyAlignment="1">
      <alignment vertical="center"/>
    </xf>
    <xf numFmtId="0" fontId="63" fillId="0" borderId="84" xfId="8" applyFont="1" applyFill="1" applyBorder="1" applyAlignment="1">
      <alignment horizontal="left"/>
    </xf>
    <xf numFmtId="0" fontId="63" fillId="0" borderId="99" xfId="8" applyFont="1" applyFill="1" applyBorder="1" applyAlignment="1">
      <alignment horizontal="left" vertical="center"/>
    </xf>
    <xf numFmtId="0" fontId="60" fillId="0" borderId="99" xfId="8" applyFont="1" applyFill="1" applyBorder="1" applyAlignment="1">
      <alignment horizontal="left"/>
    </xf>
    <xf numFmtId="0" fontId="64" fillId="0" borderId="99" xfId="8" applyFont="1" applyFill="1" applyBorder="1" applyAlignment="1">
      <alignment horizontal="center" vertical="center"/>
    </xf>
    <xf numFmtId="0" fontId="63" fillId="0" borderId="100" xfId="8" applyFont="1" applyFill="1" applyBorder="1" applyAlignment="1">
      <alignment horizontal="left" vertical="center"/>
    </xf>
    <xf numFmtId="0" fontId="69" fillId="0" borderId="93" xfId="8" applyFont="1" applyFill="1" applyBorder="1" applyAlignment="1">
      <alignment horizontal="left" vertical="center"/>
    </xf>
    <xf numFmtId="0" fontId="59" fillId="0" borderId="0" xfId="8" applyFont="1" applyFill="1" applyBorder="1" applyAlignment="1">
      <alignment horizontal="center" vertical="center" wrapText="1"/>
    </xf>
    <xf numFmtId="0" fontId="60" fillId="0" borderId="99" xfId="8" applyFont="1" applyFill="1" applyBorder="1" applyAlignment="1">
      <alignment vertical="center" wrapText="1"/>
    </xf>
    <xf numFmtId="0" fontId="60" fillId="0" borderId="118" xfId="8" applyFont="1" applyFill="1" applyBorder="1" applyAlignment="1">
      <alignment vertical="center" wrapText="1"/>
    </xf>
    <xf numFmtId="0" fontId="90" fillId="0" borderId="0" xfId="8" applyFont="1" applyFill="1" applyBorder="1" applyAlignment="1">
      <alignment horizontal="center" vertical="center"/>
    </xf>
    <xf numFmtId="0" fontId="72" fillId="0" borderId="87" xfId="8" applyFont="1" applyFill="1" applyBorder="1" applyAlignment="1">
      <alignment horizontal="left" vertical="center"/>
    </xf>
    <xf numFmtId="0" fontId="72" fillId="0" borderId="120" xfId="8" applyFont="1" applyFill="1" applyBorder="1" applyAlignment="1">
      <alignment horizontal="right" vertical="center" wrapText="1"/>
    </xf>
    <xf numFmtId="0" fontId="72" fillId="0" borderId="114" xfId="8" applyFont="1" applyFill="1" applyBorder="1" applyAlignment="1">
      <alignment horizontal="right" vertical="center"/>
    </xf>
    <xf numFmtId="171" fontId="72" fillId="0" borderId="76" xfId="8" applyNumberFormat="1" applyFont="1" applyFill="1" applyBorder="1" applyAlignment="1">
      <alignment horizontal="right" vertical="center"/>
    </xf>
    <xf numFmtId="171" fontId="72" fillId="0" borderId="71" xfId="8" applyNumberFormat="1" applyFont="1" applyFill="1" applyBorder="1" applyAlignment="1">
      <alignment horizontal="right" vertical="center"/>
    </xf>
    <xf numFmtId="171" fontId="72" fillId="0" borderId="75" xfId="8" applyNumberFormat="1" applyFont="1" applyFill="1" applyBorder="1" applyAlignment="1">
      <alignment horizontal="right" vertical="center"/>
    </xf>
    <xf numFmtId="0" fontId="64" fillId="0" borderId="103" xfId="8" applyFont="1" applyFill="1" applyBorder="1" applyAlignment="1">
      <alignment horizontal="left" vertical="center"/>
    </xf>
    <xf numFmtId="0" fontId="63" fillId="0" borderId="103" xfId="8" applyFont="1" applyFill="1" applyBorder="1" applyAlignment="1">
      <alignment horizontal="left" vertical="center"/>
    </xf>
    <xf numFmtId="0" fontId="64" fillId="0" borderId="77" xfId="8" applyFont="1" applyFill="1" applyBorder="1" applyAlignment="1">
      <alignment horizontal="center" vertical="center"/>
    </xf>
    <xf numFmtId="0" fontId="64" fillId="0" borderId="75" xfId="8" applyFont="1" applyFill="1" applyBorder="1" applyAlignment="1">
      <alignment horizontal="left" vertical="center"/>
    </xf>
    <xf numFmtId="0" fontId="63" fillId="0" borderId="77" xfId="8" applyFont="1" applyFill="1" applyBorder="1" applyAlignment="1">
      <alignment horizontal="left" vertical="center"/>
    </xf>
    <xf numFmtId="169" fontId="64" fillId="0" borderId="97" xfId="8" applyNumberFormat="1" applyFont="1" applyFill="1" applyBorder="1" applyAlignment="1">
      <alignment horizontal="center" vertical="center"/>
    </xf>
    <xf numFmtId="0" fontId="64" fillId="0" borderId="105" xfId="8" applyFont="1" applyFill="1" applyBorder="1" applyAlignment="1">
      <alignment horizontal="left" vertical="center"/>
    </xf>
    <xf numFmtId="0" fontId="64" fillId="0" borderId="106" xfId="8" applyFont="1" applyFill="1" applyBorder="1" applyAlignment="1">
      <alignment horizontal="left" vertical="center"/>
    </xf>
    <xf numFmtId="0" fontId="63" fillId="0" borderId="105" xfId="8" applyFont="1" applyFill="1" applyBorder="1" applyAlignment="1">
      <alignment horizontal="left" vertical="center"/>
    </xf>
    <xf numFmtId="0" fontId="60" fillId="0" borderId="0" xfId="8" applyFont="1" applyFill="1" applyBorder="1" applyAlignment="1">
      <alignment horizontal="center" vertical="center"/>
    </xf>
    <xf numFmtId="0" fontId="59" fillId="0" borderId="43" xfId="8" applyFont="1" applyFill="1" applyBorder="1" applyAlignment="1">
      <alignment horizontal="right" vertical="center"/>
    </xf>
    <xf numFmtId="0" fontId="72" fillId="0" borderId="43" xfId="8" applyFont="1" applyFill="1" applyBorder="1" applyAlignment="1">
      <alignment horizontal="center" vertical="center"/>
    </xf>
    <xf numFmtId="171" fontId="72" fillId="0" borderId="73" xfId="8" applyNumberFormat="1" applyFont="1" applyFill="1" applyBorder="1" applyAlignment="1">
      <alignment horizontal="right" vertical="center"/>
    </xf>
    <xf numFmtId="171" fontId="72" fillId="0" borderId="74" xfId="8" applyNumberFormat="1" applyFont="1" applyFill="1" applyBorder="1" applyAlignment="1">
      <alignment horizontal="right" vertical="center"/>
    </xf>
    <xf numFmtId="171" fontId="72" fillId="0" borderId="54" xfId="8" applyNumberFormat="1" applyFont="1" applyFill="1" applyBorder="1" applyAlignment="1">
      <alignment horizontal="right" vertical="center"/>
    </xf>
    <xf numFmtId="0" fontId="30" fillId="0" borderId="90" xfId="8" applyFont="1" applyFill="1" applyBorder="1" applyAlignment="1">
      <alignment vertical="center"/>
    </xf>
    <xf numFmtId="0" fontId="61" fillId="0" borderId="95" xfId="8" applyFont="1" applyFill="1" applyBorder="1" applyAlignment="1">
      <alignment horizontal="left" vertical="center"/>
    </xf>
    <xf numFmtId="0" fontId="61" fillId="0" borderId="0" xfId="8" applyFont="1" applyFill="1" applyBorder="1" applyAlignment="1">
      <alignment horizontal="left" vertical="center"/>
    </xf>
    <xf numFmtId="0" fontId="61" fillId="0" borderId="29" xfId="8" applyFont="1" applyFill="1" applyBorder="1" applyAlignment="1">
      <alignment horizontal="left" vertical="center"/>
    </xf>
    <xf numFmtId="0" fontId="30" fillId="0" borderId="95" xfId="8" applyFont="1" applyFill="1" applyBorder="1" applyAlignment="1">
      <alignment horizontal="left" vertical="center"/>
    </xf>
    <xf numFmtId="0" fontId="30" fillId="0" borderId="0" xfId="8" applyFont="1" applyFill="1" applyBorder="1" applyAlignment="1">
      <alignment horizontal="left" vertical="center"/>
    </xf>
    <xf numFmtId="0" fontId="30" fillId="0" borderId="29" xfId="8" applyFont="1" applyFill="1" applyBorder="1" applyAlignment="1">
      <alignment horizontal="left" vertical="center"/>
    </xf>
    <xf numFmtId="0" fontId="30" fillId="0" borderId="0" xfId="8" applyFont="1" applyFill="1" applyAlignment="1">
      <alignment horizontal="left" vertical="center"/>
    </xf>
    <xf numFmtId="0" fontId="59" fillId="0" borderId="95" xfId="8" applyFont="1" applyFill="1" applyBorder="1" applyAlignment="1" applyProtection="1">
      <alignment horizontal="center" vertical="center"/>
      <protection locked="0"/>
    </xf>
    <xf numFmtId="0" fontId="91" fillId="0" borderId="0" xfId="8" applyFont="1" applyFill="1" applyBorder="1" applyAlignment="1">
      <alignment horizontal="left"/>
    </xf>
    <xf numFmtId="0" fontId="63" fillId="0" borderId="86" xfId="8" applyFont="1" applyFill="1" applyBorder="1" applyAlignment="1">
      <alignment horizontal="left" vertical="center"/>
    </xf>
    <xf numFmtId="0" fontId="67" fillId="0" borderId="29" xfId="8" applyFont="1" applyFill="1" applyBorder="1" applyAlignment="1">
      <alignment vertical="center"/>
    </xf>
    <xf numFmtId="0" fontId="61" fillId="0" borderId="98" xfId="8" applyFont="1" applyFill="1" applyBorder="1" applyAlignment="1">
      <alignment vertical="center"/>
    </xf>
    <xf numFmtId="0" fontId="61" fillId="0" borderId="99" xfId="8" applyFont="1" applyFill="1" applyBorder="1" applyAlignment="1">
      <alignment vertical="center"/>
    </xf>
    <xf numFmtId="0" fontId="61" fillId="0" borderId="100" xfId="8" applyFont="1" applyFill="1" applyBorder="1" applyAlignment="1">
      <alignment vertical="center"/>
    </xf>
    <xf numFmtId="0" fontId="27" fillId="0" borderId="29" xfId="8" applyFill="1" applyBorder="1" applyAlignment="1">
      <alignment vertical="center"/>
    </xf>
    <xf numFmtId="0" fontId="67" fillId="0" borderId="13" xfId="8" applyFont="1" applyFill="1" applyBorder="1" applyAlignment="1">
      <alignment vertical="center"/>
    </xf>
    <xf numFmtId="0" fontId="64" fillId="0" borderId="0" xfId="8" applyFont="1" applyFill="1" applyBorder="1" applyAlignment="1">
      <alignment horizontal="center" vertical="center" wrapText="1"/>
    </xf>
    <xf numFmtId="0" fontId="27" fillId="0" borderId="0" xfId="8" applyFill="1" applyBorder="1" applyAlignment="1">
      <alignment wrapText="1"/>
    </xf>
    <xf numFmtId="171" fontId="59" fillId="0" borderId="43" xfId="8" applyNumberFormat="1" applyFont="1" applyFill="1" applyBorder="1" applyAlignment="1">
      <alignment horizontal="center" vertical="center"/>
    </xf>
    <xf numFmtId="0" fontId="57" fillId="0" borderId="90" xfId="8" applyFont="1" applyFill="1" applyBorder="1" applyAlignment="1">
      <alignment horizontal="left" vertical="center"/>
    </xf>
    <xf numFmtId="3" fontId="25" fillId="2" borderId="62" xfId="0" applyNumberFormat="1" applyFont="1" applyFill="1" applyBorder="1" applyAlignment="1" applyProtection="1">
      <alignment vertical="center"/>
    </xf>
    <xf numFmtId="3" fontId="24" fillId="0" borderId="62" xfId="0" applyNumberFormat="1" applyFont="1" applyBorder="1" applyAlignment="1" applyProtection="1">
      <alignment vertical="center"/>
    </xf>
    <xf numFmtId="3" fontId="30" fillId="0" borderId="62" xfId="0" applyNumberFormat="1" applyFont="1" applyFill="1" applyBorder="1" applyAlignment="1" applyProtection="1">
      <alignment vertical="center"/>
    </xf>
    <xf numFmtId="3" fontId="24" fillId="0" borderId="62" xfId="0" applyNumberFormat="1" applyFont="1" applyFill="1" applyBorder="1" applyAlignment="1" applyProtection="1">
      <alignment vertical="center"/>
    </xf>
    <xf numFmtId="3" fontId="24" fillId="3" borderId="62" xfId="0" applyNumberFormat="1" applyFont="1" applyFill="1" applyBorder="1" applyAlignment="1" applyProtection="1">
      <alignment vertical="center"/>
    </xf>
    <xf numFmtId="3" fontId="24" fillId="4" borderId="62" xfId="0" applyNumberFormat="1" applyFont="1" applyFill="1" applyBorder="1" applyAlignment="1" applyProtection="1">
      <alignment vertical="center"/>
    </xf>
    <xf numFmtId="3" fontId="24" fillId="4" borderId="62" xfId="0" applyNumberFormat="1" applyFont="1" applyFill="1" applyBorder="1" applyAlignment="1">
      <alignment vertical="center"/>
    </xf>
    <xf numFmtId="3" fontId="30" fillId="0" borderId="62" xfId="0" applyNumberFormat="1" applyFont="1" applyBorder="1" applyAlignment="1" applyProtection="1">
      <alignment vertical="center"/>
    </xf>
    <xf numFmtId="3" fontId="25" fillId="0" borderId="62" xfId="0" applyNumberFormat="1" applyFont="1" applyBorder="1" applyAlignment="1" applyProtection="1">
      <alignment vertical="center"/>
    </xf>
    <xf numFmtId="3" fontId="24" fillId="2" borderId="62" xfId="0" applyNumberFormat="1" applyFont="1" applyFill="1" applyBorder="1" applyAlignment="1" applyProtection="1">
      <alignment vertical="center"/>
    </xf>
    <xf numFmtId="0" fontId="24" fillId="0" borderId="0" xfId="0" applyFont="1" applyAlignment="1">
      <alignment vertical="center"/>
    </xf>
    <xf numFmtId="3" fontId="25" fillId="5" borderId="62" xfId="0" applyNumberFormat="1" applyFont="1" applyFill="1" applyBorder="1" applyAlignment="1" applyProtection="1">
      <alignment vertical="center"/>
    </xf>
    <xf numFmtId="3" fontId="28" fillId="2" borderId="62" xfId="0" applyNumberFormat="1" applyFont="1" applyFill="1" applyBorder="1" applyAlignment="1" applyProtection="1">
      <alignment vertical="center"/>
    </xf>
    <xf numFmtId="3" fontId="24" fillId="0" borderId="62" xfId="0" applyNumberFormat="1" applyFont="1" applyFill="1" applyBorder="1" applyAlignment="1">
      <alignment vertical="center"/>
    </xf>
    <xf numFmtId="3" fontId="24" fillId="0" borderId="62" xfId="0" applyNumberFormat="1" applyFont="1" applyBorder="1" applyAlignment="1">
      <alignment vertical="center"/>
    </xf>
    <xf numFmtId="3" fontId="24" fillId="0" borderId="0" xfId="0" applyNumberFormat="1" applyFont="1" applyFill="1" applyAlignment="1">
      <alignment vertical="center"/>
    </xf>
    <xf numFmtId="3" fontId="24" fillId="0" borderId="62" xfId="0" applyNumberFormat="1" applyFont="1" applyBorder="1"/>
    <xf numFmtId="3" fontId="35" fillId="2" borderId="62" xfId="0" applyNumberFormat="1" applyFont="1" applyFill="1" applyBorder="1" applyAlignment="1">
      <alignment vertical="center"/>
    </xf>
    <xf numFmtId="3" fontId="25" fillId="2" borderId="62" xfId="0" applyNumberFormat="1" applyFont="1" applyFill="1" applyBorder="1" applyAlignment="1">
      <alignment vertical="center"/>
    </xf>
    <xf numFmtId="3" fontId="24" fillId="2" borderId="62" xfId="0" applyNumberFormat="1" applyFont="1" applyFill="1" applyBorder="1" applyAlignment="1">
      <alignment vertical="center"/>
    </xf>
    <xf numFmtId="3" fontId="24" fillId="0" borderId="0" xfId="0" applyNumberFormat="1" applyFont="1" applyAlignment="1">
      <alignment vertical="center"/>
    </xf>
    <xf numFmtId="3" fontId="35" fillId="5" borderId="62" xfId="0" applyNumberFormat="1" applyFont="1" applyFill="1" applyBorder="1" applyAlignment="1">
      <alignment vertical="center"/>
    </xf>
    <xf numFmtId="0" fontId="27" fillId="0" borderId="0" xfId="8" applyFill="1" applyAlignment="1">
      <alignment vertical="center"/>
    </xf>
    <xf numFmtId="0" fontId="27" fillId="0" borderId="0" xfId="8" applyFill="1" applyBorder="1" applyAlignment="1">
      <alignment vertical="center"/>
    </xf>
    <xf numFmtId="0" fontId="57" fillId="0" borderId="90" xfId="8" applyFont="1" applyFill="1" applyBorder="1" applyAlignment="1">
      <alignment vertical="center"/>
    </xf>
    <xf numFmtId="0" fontId="27" fillId="0" borderId="91" xfId="8" applyFill="1" applyBorder="1" applyAlignment="1">
      <alignment vertical="center"/>
    </xf>
    <xf numFmtId="0" fontId="12" fillId="0" borderId="0" xfId="0" applyFont="1" applyAlignment="1">
      <alignment horizontal="justify" vertical="top" wrapText="1"/>
    </xf>
    <xf numFmtId="0" fontId="59" fillId="0" borderId="0" xfId="8" applyFont="1" applyFill="1" applyAlignment="1">
      <alignment vertical="center"/>
    </xf>
    <xf numFmtId="0" fontId="64" fillId="0" borderId="98" xfId="8" applyFont="1" applyFill="1" applyBorder="1" applyAlignment="1">
      <alignment horizontal="left" vertical="center"/>
    </xf>
    <xf numFmtId="0" fontId="26" fillId="0" borderId="99" xfId="8" applyFont="1" applyFill="1" applyBorder="1" applyAlignment="1">
      <alignment horizontal="left"/>
    </xf>
    <xf numFmtId="0" fontId="26" fillId="0" borderId="97" xfId="8" applyFont="1" applyFill="1" applyBorder="1" applyAlignment="1">
      <alignment horizontal="left"/>
    </xf>
    <xf numFmtId="0" fontId="7" fillId="0" borderId="0" xfId="0" applyFont="1"/>
    <xf numFmtId="0" fontId="12" fillId="0" borderId="0" xfId="0" applyFont="1" applyAlignment="1">
      <alignment horizontal="justify" vertical="top" wrapText="1"/>
    </xf>
    <xf numFmtId="0" fontId="8" fillId="0" borderId="0" xfId="0" applyFont="1" applyAlignment="1">
      <alignment horizontal="justify" vertical="top" wrapText="1"/>
    </xf>
    <xf numFmtId="0" fontId="10" fillId="0" borderId="0" xfId="0" applyFont="1" applyAlignment="1">
      <alignment horizontal="left" vertical="top"/>
    </xf>
    <xf numFmtId="0" fontId="20" fillId="0" borderId="0" xfId="0" applyFont="1" applyAlignment="1">
      <alignment horizontal="center" vertical="center"/>
    </xf>
    <xf numFmtId="0" fontId="11" fillId="0" borderId="0" xfId="0" applyFont="1" applyAlignment="1">
      <alignment horizontal="left"/>
    </xf>
    <xf numFmtId="0" fontId="20" fillId="0" borderId="105" xfId="0" applyFont="1" applyBorder="1" applyAlignment="1">
      <alignment horizontal="center"/>
    </xf>
    <xf numFmtId="0" fontId="10" fillId="0" borderId="0" xfId="0" applyFont="1" applyAlignment="1">
      <alignment horizontal="left"/>
    </xf>
    <xf numFmtId="0" fontId="7" fillId="0" borderId="0" xfId="0" applyFont="1" applyAlignment="1">
      <alignment horizontal="left" vertical="top"/>
    </xf>
    <xf numFmtId="0" fontId="7" fillId="0" borderId="0" xfId="0" applyFont="1" applyAlignment="1"/>
    <xf numFmtId="0" fontId="20" fillId="0" borderId="134" xfId="0" applyFont="1" applyBorder="1" applyAlignment="1">
      <alignment horizontal="left"/>
    </xf>
    <xf numFmtId="0" fontId="5" fillId="0" borderId="0" xfId="0" applyFont="1"/>
    <xf numFmtId="0" fontId="81" fillId="0" borderId="88" xfId="0" applyFont="1" applyBorder="1" applyAlignment="1">
      <alignment vertical="center"/>
    </xf>
    <xf numFmtId="0" fontId="81" fillId="0" borderId="89" xfId="0" applyFont="1" applyBorder="1" applyAlignment="1">
      <alignment vertical="center"/>
    </xf>
    <xf numFmtId="0" fontId="7" fillId="0" borderId="87" xfId="0" applyFont="1" applyBorder="1" applyAlignment="1">
      <alignment vertical="center"/>
    </xf>
    <xf numFmtId="0" fontId="7" fillId="0" borderId="0" xfId="0" applyFont="1" applyAlignment="1">
      <alignment horizontal="right" vertical="center"/>
    </xf>
    <xf numFmtId="0" fontId="7" fillId="0" borderId="87" xfId="0" applyFont="1" applyBorder="1" applyAlignment="1">
      <alignment horizontal="center" vertical="center"/>
    </xf>
    <xf numFmtId="0" fontId="7" fillId="0" borderId="88" xfId="0" applyFont="1" applyBorder="1" applyAlignment="1">
      <alignment horizontal="center" vertical="center"/>
    </xf>
    <xf numFmtId="0" fontId="7" fillId="0" borderId="89" xfId="0" applyFont="1" applyBorder="1" applyAlignment="1">
      <alignment horizontal="center" vertical="center"/>
    </xf>
    <xf numFmtId="0" fontId="27" fillId="0" borderId="0" xfId="8" applyFill="1" applyAlignment="1">
      <alignment vertical="center"/>
    </xf>
    <xf numFmtId="0" fontId="27" fillId="0" borderId="0" xfId="8" applyFill="1" applyBorder="1" applyAlignment="1">
      <alignment vertical="center"/>
    </xf>
    <xf numFmtId="0" fontId="57" fillId="0" borderId="90" xfId="8" applyFont="1" applyFill="1" applyBorder="1" applyAlignment="1">
      <alignment vertical="center"/>
    </xf>
    <xf numFmtId="0" fontId="81" fillId="0" borderId="0" xfId="0" applyFont="1" applyBorder="1" applyAlignment="1">
      <alignment vertical="center"/>
    </xf>
    <xf numFmtId="0" fontId="60" fillId="0" borderId="29" xfId="8" applyFont="1" applyFill="1" applyBorder="1" applyAlignment="1">
      <alignment vertical="top" wrapText="1"/>
    </xf>
    <xf numFmtId="0" fontId="19" fillId="0" borderId="2" xfId="0" applyFont="1" applyBorder="1" applyAlignment="1">
      <alignment horizontal="center" vertical="center" wrapText="1"/>
    </xf>
    <xf numFmtId="0" fontId="7" fillId="0" borderId="0" xfId="0" applyFont="1" applyBorder="1" applyAlignment="1">
      <alignment vertical="center"/>
    </xf>
    <xf numFmtId="0" fontId="7" fillId="0" borderId="0" xfId="0" applyFont="1" applyBorder="1" applyAlignment="1">
      <alignment horizontal="center" vertical="center"/>
    </xf>
    <xf numFmtId="0" fontId="27" fillId="9" borderId="0" xfId="8" applyFill="1" applyAlignment="1">
      <alignment vertical="center"/>
    </xf>
    <xf numFmtId="0" fontId="25" fillId="0" borderId="0" xfId="2" applyNumberFormat="1" applyFont="1" applyAlignment="1">
      <alignment vertical="top"/>
    </xf>
    <xf numFmtId="0" fontId="24" fillId="3" borderId="0" xfId="2" applyFont="1" applyFill="1" applyAlignment="1">
      <alignment horizontal="center" vertical="top"/>
    </xf>
    <xf numFmtId="0" fontId="24" fillId="3" borderId="56" xfId="2" applyFont="1" applyFill="1" applyBorder="1" applyAlignment="1">
      <alignment horizontal="center" vertical="top"/>
    </xf>
    <xf numFmtId="0" fontId="24" fillId="3" borderId="61" xfId="2" applyFont="1" applyFill="1" applyBorder="1" applyAlignment="1">
      <alignment horizontal="center" vertical="top"/>
    </xf>
    <xf numFmtId="0" fontId="25" fillId="2" borderId="62" xfId="2" applyFont="1" applyFill="1" applyBorder="1" applyAlignment="1" applyProtection="1">
      <alignment vertical="top" wrapText="1"/>
    </xf>
    <xf numFmtId="0" fontId="25" fillId="2" borderId="62" xfId="2" applyFont="1" applyFill="1" applyBorder="1" applyAlignment="1" applyProtection="1">
      <alignment horizontal="left" vertical="top" wrapText="1"/>
    </xf>
    <xf numFmtId="0" fontId="25" fillId="2" borderId="62" xfId="2" applyFont="1" applyFill="1" applyBorder="1" applyAlignment="1" applyProtection="1">
      <alignment horizontal="left" vertical="top"/>
    </xf>
    <xf numFmtId="0" fontId="24" fillId="0" borderId="62" xfId="2" applyFont="1" applyBorder="1" applyAlignment="1" applyProtection="1">
      <alignment horizontal="left" vertical="top"/>
    </xf>
    <xf numFmtId="0" fontId="24" fillId="0" borderId="62" xfId="2" applyFont="1" applyBorder="1" applyAlignment="1" applyProtection="1">
      <alignment horizontal="left" vertical="top" wrapText="1"/>
    </xf>
    <xf numFmtId="0" fontId="24" fillId="0" borderId="62" xfId="2" applyFont="1" applyFill="1" applyBorder="1" applyAlignment="1" applyProtection="1">
      <alignment horizontal="left" vertical="top" wrapText="1"/>
    </xf>
    <xf numFmtId="0" fontId="24" fillId="3" borderId="62" xfId="2" applyFont="1" applyFill="1" applyBorder="1" applyAlignment="1" applyProtection="1">
      <alignment horizontal="left" vertical="top"/>
    </xf>
    <xf numFmtId="0" fontId="24" fillId="2" borderId="62" xfId="2" applyFont="1" applyFill="1" applyBorder="1" applyAlignment="1" applyProtection="1">
      <alignment vertical="top"/>
    </xf>
    <xf numFmtId="0" fontId="24" fillId="3" borderId="55" xfId="2" applyFont="1" applyFill="1" applyBorder="1" applyAlignment="1" applyProtection="1">
      <alignment horizontal="center" vertical="top"/>
    </xf>
    <xf numFmtId="0" fontId="24" fillId="3" borderId="59" xfId="2" applyFont="1" applyFill="1" applyBorder="1" applyAlignment="1" applyProtection="1">
      <alignment horizontal="center" vertical="top"/>
    </xf>
    <xf numFmtId="0" fontId="24" fillId="3" borderId="60" xfId="2" applyFont="1" applyFill="1" applyBorder="1" applyAlignment="1" applyProtection="1">
      <alignment horizontal="center" vertical="top"/>
    </xf>
    <xf numFmtId="37" fontId="25" fillId="2" borderId="62" xfId="2" applyNumberFormat="1" applyFont="1" applyFill="1" applyBorder="1" applyAlignment="1" applyProtection="1">
      <alignment vertical="top"/>
    </xf>
    <xf numFmtId="37" fontId="24" fillId="0" borderId="62" xfId="2" applyNumberFormat="1" applyFont="1" applyBorder="1" applyAlignment="1" applyProtection="1">
      <alignment vertical="top"/>
    </xf>
    <xf numFmtId="37" fontId="25" fillId="5" borderId="62" xfId="2" applyNumberFormat="1" applyFont="1" applyFill="1" applyBorder="1" applyAlignment="1" applyProtection="1">
      <alignment vertical="top"/>
    </xf>
    <xf numFmtId="37" fontId="24" fillId="4" borderId="62" xfId="2" applyNumberFormat="1" applyFont="1" applyFill="1" applyBorder="1" applyAlignment="1" applyProtection="1">
      <alignment vertical="top"/>
    </xf>
    <xf numFmtId="0" fontId="24" fillId="4" borderId="62" xfId="2" applyFont="1" applyFill="1" applyBorder="1" applyAlignment="1" applyProtection="1">
      <alignment horizontal="left" vertical="top"/>
    </xf>
    <xf numFmtId="37" fontId="24" fillId="3" borderId="62" xfId="2" applyNumberFormat="1" applyFont="1" applyFill="1" applyBorder="1" applyAlignment="1" applyProtection="1">
      <alignment vertical="top"/>
    </xf>
    <xf numFmtId="37" fontId="28" fillId="2" borderId="62" xfId="2" applyNumberFormat="1" applyFont="1" applyFill="1" applyBorder="1" applyAlignment="1" applyProtection="1">
      <alignment vertical="top"/>
    </xf>
    <xf numFmtId="37" fontId="24" fillId="2" borderId="62" xfId="2" applyNumberFormat="1" applyFont="1" applyFill="1" applyBorder="1" applyAlignment="1" applyProtection="1">
      <alignment vertical="top"/>
    </xf>
    <xf numFmtId="0" fontId="24" fillId="0" borderId="0" xfId="2" applyFont="1" applyAlignment="1" applyProtection="1">
      <alignment horizontal="left" vertical="top"/>
    </xf>
    <xf numFmtId="0" fontId="38" fillId="0" borderId="43" xfId="7" applyFont="1" applyBorder="1" applyAlignment="1">
      <alignment horizontal="left" wrapText="1"/>
    </xf>
    <xf numFmtId="0" fontId="92" fillId="0" borderId="43" xfId="7" applyFont="1" applyBorder="1" applyAlignment="1">
      <alignment horizontal="left" wrapText="1"/>
    </xf>
    <xf numFmtId="0" fontId="58" fillId="10" borderId="85" xfId="12" applyFont="1" applyFill="1" applyBorder="1" applyAlignment="1" applyProtection="1">
      <alignment horizontal="left" vertical="center" wrapText="1"/>
    </xf>
    <xf numFmtId="0" fontId="92" fillId="0" borderId="66" xfId="7" applyFont="1" applyBorder="1" applyAlignment="1">
      <alignment horizontal="left" wrapText="1"/>
    </xf>
    <xf numFmtId="0" fontId="92" fillId="0" borderId="85" xfId="12" applyFont="1" applyFill="1" applyBorder="1" applyAlignment="1" applyProtection="1">
      <alignment horizontal="left" wrapText="1"/>
    </xf>
    <xf numFmtId="0" fontId="58" fillId="0" borderId="85" xfId="12" applyFont="1" applyFill="1" applyBorder="1" applyAlignment="1" applyProtection="1">
      <alignment horizontal="left" wrapText="1"/>
    </xf>
    <xf numFmtId="168" fontId="42" fillId="4" borderId="43" xfId="5" applyNumberFormat="1" applyFont="1" applyFill="1" applyBorder="1" applyAlignment="1">
      <alignment horizontal="right" vertical="center"/>
    </xf>
    <xf numFmtId="0" fontId="58" fillId="4" borderId="66" xfId="7" applyFont="1" applyFill="1" applyBorder="1" applyAlignment="1">
      <alignment horizontal="left" vertical="center" wrapText="1"/>
    </xf>
    <xf numFmtId="0" fontId="92" fillId="0" borderId="66" xfId="7" applyFont="1" applyFill="1" applyBorder="1" applyAlignment="1">
      <alignment horizontal="left" wrapText="1"/>
    </xf>
    <xf numFmtId="0" fontId="58" fillId="4" borderId="99" xfId="12" applyFont="1" applyFill="1" applyBorder="1" applyAlignment="1" applyProtection="1">
      <alignment horizontal="left" vertical="center" wrapText="1"/>
    </xf>
    <xf numFmtId="0" fontId="58" fillId="3" borderId="84" xfId="12" applyFont="1" applyFill="1" applyBorder="1" applyAlignment="1" applyProtection="1">
      <alignment horizontal="left" vertical="center" wrapText="1"/>
    </xf>
    <xf numFmtId="0" fontId="92" fillId="0" borderId="43" xfId="7" applyFont="1" applyFill="1" applyBorder="1" applyAlignment="1">
      <alignment horizontal="left" wrapText="1"/>
    </xf>
    <xf numFmtId="0" fontId="58" fillId="0" borderId="66" xfId="7" applyFont="1" applyFill="1" applyBorder="1" applyAlignment="1">
      <alignment horizontal="left" vertical="center" wrapText="1"/>
    </xf>
    <xf numFmtId="0" fontId="58" fillId="4" borderId="43" xfId="7" applyFont="1" applyFill="1" applyBorder="1" applyAlignment="1">
      <alignment horizontal="left" vertical="center" wrapText="1"/>
    </xf>
    <xf numFmtId="0" fontId="58" fillId="4" borderId="43" xfId="12" applyFont="1" applyFill="1" applyBorder="1" applyAlignment="1" applyProtection="1">
      <alignment horizontal="left" vertical="center" wrapText="1"/>
    </xf>
    <xf numFmtId="0" fontId="58" fillId="3" borderId="43" xfId="12" applyFont="1" applyFill="1" applyBorder="1" applyAlignment="1" applyProtection="1">
      <alignment horizontal="left" vertical="center" wrapText="1"/>
    </xf>
    <xf numFmtId="0" fontId="58" fillId="10" borderId="43" xfId="7" applyFont="1" applyFill="1" applyBorder="1" applyAlignment="1">
      <alignment horizontal="left" vertical="center" wrapText="1"/>
    </xf>
    <xf numFmtId="0" fontId="58" fillId="0" borderId="72" xfId="7" applyFont="1" applyFill="1" applyBorder="1" applyAlignment="1">
      <alignment horizontal="left" vertical="center" wrapText="1"/>
    </xf>
    <xf numFmtId="3" fontId="58" fillId="10" borderId="43" xfId="7" applyNumberFormat="1" applyFont="1" applyFill="1" applyBorder="1" applyAlignment="1">
      <alignment vertical="center" wrapText="1"/>
    </xf>
    <xf numFmtId="3" fontId="58" fillId="10" borderId="73" xfId="7" applyNumberFormat="1" applyFont="1" applyFill="1" applyBorder="1" applyAlignment="1">
      <alignment vertical="center" wrapText="1"/>
    </xf>
    <xf numFmtId="0" fontId="58" fillId="0" borderId="0" xfId="16" applyFont="1" applyProtection="1"/>
    <xf numFmtId="0" fontId="92" fillId="0" borderId="0" xfId="16" applyFont="1" applyAlignment="1" applyProtection="1">
      <alignment horizontal="left" wrapText="1"/>
    </xf>
    <xf numFmtId="176" fontId="92" fillId="0" borderId="0" xfId="16" applyNumberFormat="1" applyFont="1" applyProtection="1"/>
    <xf numFmtId="0" fontId="92" fillId="0" borderId="0" xfId="16" applyFont="1" applyProtection="1"/>
    <xf numFmtId="176" fontId="58" fillId="3" borderId="85" xfId="2" applyNumberFormat="1" applyFont="1" applyFill="1" applyBorder="1" applyAlignment="1" applyProtection="1">
      <alignment horizontal="center"/>
    </xf>
    <xf numFmtId="176" fontId="58" fillId="3" borderId="77" xfId="2" applyNumberFormat="1" applyFont="1" applyFill="1" applyBorder="1" applyAlignment="1" applyProtection="1">
      <alignment horizontal="center"/>
    </xf>
    <xf numFmtId="0" fontId="58" fillId="4" borderId="0" xfId="16" applyFont="1" applyFill="1" applyBorder="1" applyProtection="1"/>
    <xf numFmtId="0" fontId="58" fillId="4" borderId="71" xfId="16" applyFont="1" applyFill="1" applyBorder="1" applyAlignment="1" applyProtection="1">
      <alignment horizontal="left"/>
    </xf>
    <xf numFmtId="0" fontId="58" fillId="4" borderId="87" xfId="16" applyFont="1" applyFill="1" applyBorder="1" applyAlignment="1" applyProtection="1">
      <alignment horizontal="left" wrapText="1"/>
    </xf>
    <xf numFmtId="168" fontId="58" fillId="4" borderId="88" xfId="7" applyNumberFormat="1" applyFont="1" applyFill="1" applyBorder="1" applyAlignment="1">
      <alignment horizontal="right" vertical="center" wrapText="1"/>
    </xf>
    <xf numFmtId="168" fontId="58" fillId="4" borderId="89" xfId="7" applyNumberFormat="1" applyFont="1" applyFill="1" applyBorder="1" applyAlignment="1">
      <alignment horizontal="right" vertical="center" wrapText="1"/>
    </xf>
    <xf numFmtId="0" fontId="58" fillId="4" borderId="0" xfId="16" applyFont="1" applyFill="1" applyProtection="1"/>
    <xf numFmtId="0" fontId="58" fillId="10" borderId="66" xfId="7" applyFont="1" applyFill="1" applyBorder="1" applyAlignment="1">
      <alignment horizontal="left" wrapText="1"/>
    </xf>
    <xf numFmtId="0" fontId="58" fillId="10" borderId="43" xfId="7" applyFont="1" applyFill="1" applyBorder="1" applyAlignment="1">
      <alignment horizontal="left" wrapText="1"/>
    </xf>
    <xf numFmtId="168" fontId="92" fillId="10" borderId="71" xfId="7" applyNumberFormat="1" applyFont="1" applyFill="1" applyBorder="1" applyAlignment="1">
      <alignment horizontal="right" wrapText="1"/>
    </xf>
    <xf numFmtId="0" fontId="92" fillId="4" borderId="66" xfId="7" applyFont="1" applyFill="1" applyBorder="1" applyAlignment="1">
      <alignment horizontal="left" wrapText="1"/>
    </xf>
    <xf numFmtId="0" fontId="92" fillId="4" borderId="43" xfId="7" applyFont="1" applyFill="1" applyBorder="1" applyAlignment="1">
      <alignment horizontal="left" wrapText="1"/>
    </xf>
    <xf numFmtId="168" fontId="92" fillId="4" borderId="71" xfId="7" applyNumberFormat="1" applyFont="1" applyFill="1" applyBorder="1" applyAlignment="1">
      <alignment horizontal="right" wrapText="1"/>
    </xf>
    <xf numFmtId="0" fontId="92" fillId="4" borderId="0" xfId="7" applyFont="1" applyFill="1" applyBorder="1" applyAlignment="1">
      <alignment horizontal="left" wrapText="1"/>
    </xf>
    <xf numFmtId="0" fontId="58" fillId="10" borderId="85" xfId="16" applyFont="1" applyFill="1" applyBorder="1" applyAlignment="1" applyProtection="1">
      <alignment horizontal="left" vertical="center" wrapText="1"/>
    </xf>
    <xf numFmtId="0" fontId="92" fillId="0" borderId="85" xfId="16" applyFont="1" applyFill="1" applyBorder="1" applyAlignment="1" applyProtection="1">
      <alignment horizontal="left" wrapText="1"/>
    </xf>
    <xf numFmtId="0" fontId="58" fillId="0" borderId="85" xfId="16" applyFont="1" applyFill="1" applyBorder="1" applyAlignment="1" applyProtection="1">
      <alignment horizontal="left" wrapText="1"/>
    </xf>
    <xf numFmtId="0" fontId="58" fillId="4" borderId="0" xfId="7" applyFont="1" applyFill="1" applyBorder="1" applyAlignment="1">
      <alignment horizontal="left" vertical="center" wrapText="1"/>
    </xf>
    <xf numFmtId="0" fontId="58" fillId="4" borderId="99" xfId="16" applyFont="1" applyFill="1" applyBorder="1" applyAlignment="1" applyProtection="1">
      <alignment horizontal="left" vertical="center" wrapText="1"/>
    </xf>
    <xf numFmtId="0" fontId="58" fillId="4" borderId="66" xfId="7" applyFont="1" applyFill="1" applyBorder="1" applyAlignment="1">
      <alignment horizontal="left" vertical="center"/>
    </xf>
    <xf numFmtId="0" fontId="58" fillId="0" borderId="0" xfId="16" applyFont="1" applyFill="1" applyProtection="1"/>
    <xf numFmtId="0" fontId="58" fillId="3" borderId="84" xfId="16" applyFont="1" applyFill="1" applyBorder="1" applyAlignment="1" applyProtection="1">
      <alignment horizontal="left" vertical="center" wrapText="1"/>
    </xf>
    <xf numFmtId="168" fontId="42" fillId="4" borderId="43" xfId="7" applyNumberFormat="1" applyFont="1" applyFill="1" applyBorder="1" applyAlignment="1">
      <alignment horizontal="right" vertical="center"/>
    </xf>
    <xf numFmtId="168" fontId="38" fillId="4" borderId="43" xfId="7" applyNumberFormat="1" applyFont="1" applyFill="1" applyBorder="1" applyAlignment="1">
      <alignment horizontal="right"/>
    </xf>
    <xf numFmtId="176" fontId="58" fillId="3" borderId="85" xfId="0" applyNumberFormat="1" applyFont="1" applyFill="1" applyBorder="1" applyAlignment="1" applyProtection="1">
      <alignment horizontal="center"/>
    </xf>
    <xf numFmtId="176" fontId="58" fillId="3" borderId="77" xfId="0" applyNumberFormat="1" applyFont="1" applyFill="1" applyBorder="1" applyAlignment="1" applyProtection="1">
      <alignment horizontal="center"/>
    </xf>
    <xf numFmtId="0" fontId="58" fillId="3" borderId="84" xfId="0" applyFont="1" applyFill="1" applyBorder="1" applyAlignment="1" applyProtection="1">
      <alignment horizontal="left" vertical="center"/>
    </xf>
    <xf numFmtId="0" fontId="92" fillId="0" borderId="0" xfId="7" applyFont="1" applyAlignment="1">
      <alignment wrapText="1"/>
    </xf>
    <xf numFmtId="168" fontId="92" fillId="0" borderId="88" xfId="7" applyNumberFormat="1" applyFont="1" applyFill="1" applyBorder="1" applyAlignment="1">
      <alignment horizontal="right" wrapText="1"/>
    </xf>
    <xf numFmtId="168" fontId="92" fillId="0" borderId="89" xfId="7" applyNumberFormat="1" applyFont="1" applyFill="1" applyBorder="1" applyAlignment="1">
      <alignment horizontal="right" wrapText="1"/>
    </xf>
    <xf numFmtId="0" fontId="58" fillId="10" borderId="71" xfId="16" applyFont="1" applyFill="1" applyBorder="1" applyAlignment="1" applyProtection="1">
      <alignment horizontal="left" wrapText="1"/>
    </xf>
    <xf numFmtId="0" fontId="58" fillId="10" borderId="43" xfId="16" applyFont="1" applyFill="1" applyBorder="1" applyAlignment="1" applyProtection="1">
      <alignment horizontal="left" wrapText="1"/>
    </xf>
    <xf numFmtId="168" fontId="58" fillId="5" borderId="71" xfId="7" applyNumberFormat="1" applyFont="1" applyFill="1" applyBorder="1" applyAlignment="1">
      <alignment horizontal="right" vertical="center" wrapText="1"/>
    </xf>
    <xf numFmtId="168" fontId="42" fillId="10" borderId="43" xfId="7" applyNumberFormat="1" applyFont="1" applyFill="1" applyBorder="1" applyAlignment="1">
      <alignment horizontal="right" vertical="center"/>
    </xf>
    <xf numFmtId="3" fontId="29" fillId="0" borderId="0" xfId="2" applyNumberFormat="1" applyFont="1" applyAlignment="1">
      <alignment horizontal="left" vertical="center" wrapText="1"/>
    </xf>
    <xf numFmtId="171" fontId="72" fillId="0" borderId="87" xfId="8" applyNumberFormat="1" applyFont="1" applyFill="1" applyBorder="1" applyAlignment="1">
      <alignment horizontal="right" vertical="center"/>
    </xf>
    <xf numFmtId="0" fontId="74" fillId="0" borderId="84" xfId="8" applyFont="1" applyFill="1" applyBorder="1" applyAlignment="1">
      <alignment horizontal="center" vertical="center" wrapText="1"/>
    </xf>
    <xf numFmtId="0" fontId="74" fillId="0" borderId="75" xfId="8" applyFont="1" applyFill="1" applyBorder="1" applyAlignment="1">
      <alignment horizontal="center" vertical="center" wrapText="1"/>
    </xf>
    <xf numFmtId="0" fontId="74" fillId="0" borderId="87" xfId="8" applyFont="1" applyFill="1" applyBorder="1" applyAlignment="1">
      <alignment horizontal="center" vertical="center" wrapText="1"/>
    </xf>
    <xf numFmtId="0" fontId="73" fillId="0" borderId="71" xfId="8" applyFont="1" applyFill="1" applyBorder="1" applyAlignment="1">
      <alignment horizontal="left" vertical="top" wrapText="1"/>
    </xf>
    <xf numFmtId="0" fontId="73" fillId="0" borderId="43" xfId="8" applyFont="1" applyFill="1" applyBorder="1" applyAlignment="1">
      <alignment horizontal="left" vertical="top" wrapText="1"/>
    </xf>
    <xf numFmtId="0" fontId="74" fillId="0" borderId="71" xfId="8" applyFont="1" applyFill="1" applyBorder="1" applyAlignment="1">
      <alignment horizontal="center" vertical="center" wrapText="1"/>
    </xf>
    <xf numFmtId="0" fontId="74" fillId="0" borderId="43" xfId="8" applyFont="1" applyFill="1" applyBorder="1" applyAlignment="1">
      <alignment horizontal="center" vertical="center" wrapText="1"/>
    </xf>
    <xf numFmtId="171" fontId="72" fillId="0" borderId="43" xfId="8" applyNumberFormat="1" applyFont="1" applyFill="1" applyBorder="1" applyAlignment="1">
      <alignment horizontal="right" vertical="center"/>
    </xf>
    <xf numFmtId="0" fontId="74" fillId="0" borderId="43" xfId="8" applyFont="1" applyFill="1" applyBorder="1" applyAlignment="1">
      <alignment horizontal="left" vertical="top" wrapText="1"/>
    </xf>
    <xf numFmtId="0" fontId="74" fillId="0" borderId="71" xfId="8" quotePrefix="1" applyFont="1" applyFill="1" applyBorder="1" applyAlignment="1">
      <alignment horizontal="left" vertical="top" wrapText="1"/>
    </xf>
    <xf numFmtId="0" fontId="74" fillId="0" borderId="43" xfId="8" quotePrefix="1" applyFont="1" applyFill="1" applyBorder="1" applyAlignment="1">
      <alignment horizontal="left" vertical="top" wrapText="1"/>
    </xf>
    <xf numFmtId="0" fontId="74" fillId="0" borderId="116" xfId="8" applyFont="1" applyFill="1" applyBorder="1" applyAlignment="1">
      <alignment horizontal="center" vertical="center" wrapText="1"/>
    </xf>
    <xf numFmtId="0" fontId="27" fillId="0" borderId="0" xfId="8" applyFill="1" applyBorder="1" applyAlignment="1">
      <alignment vertical="center"/>
    </xf>
    <xf numFmtId="0" fontId="72" fillId="0" borderId="87" xfId="8" applyFont="1" applyFill="1" applyBorder="1" applyAlignment="1">
      <alignment horizontal="left" vertical="center"/>
    </xf>
    <xf numFmtId="0" fontId="59" fillId="0" borderId="17" xfId="8" applyFont="1" applyFill="1" applyBorder="1" applyAlignment="1">
      <alignment horizontal="center" vertical="center"/>
    </xf>
    <xf numFmtId="0" fontId="59" fillId="0" borderId="97" xfId="8" applyFont="1" applyFill="1" applyBorder="1" applyAlignment="1">
      <alignment horizontal="center" vertical="center"/>
    </xf>
    <xf numFmtId="0" fontId="64" fillId="0" borderId="97" xfId="8" applyFont="1" applyFill="1" applyBorder="1" applyAlignment="1">
      <alignment horizontal="left"/>
    </xf>
    <xf numFmtId="0" fontId="30" fillId="0" borderId="0" xfId="8" applyFont="1" applyBorder="1" applyAlignment="1">
      <alignment horizontal="center" vertical="top"/>
    </xf>
    <xf numFmtId="0" fontId="30" fillId="0" borderId="0" xfId="8" applyFont="1" applyFill="1" applyBorder="1" applyAlignment="1">
      <alignment horizontal="center" vertical="top"/>
    </xf>
    <xf numFmtId="0" fontId="63" fillId="0" borderId="95" xfId="8" applyFont="1" applyFill="1" applyBorder="1" applyAlignment="1">
      <alignment horizontal="left" vertical="center"/>
    </xf>
    <xf numFmtId="0" fontId="63" fillId="0" borderId="96" xfId="8" applyFont="1" applyFill="1" applyBorder="1" applyAlignment="1">
      <alignment horizontal="left" vertical="center"/>
    </xf>
    <xf numFmtId="0" fontId="90" fillId="0" borderId="97" xfId="8" applyFont="1" applyFill="1" applyBorder="1" applyAlignment="1">
      <alignment horizontal="left"/>
    </xf>
    <xf numFmtId="0" fontId="25" fillId="0" borderId="0" xfId="10" applyFont="1" applyFill="1" applyBorder="1" applyAlignment="1" applyProtection="1">
      <alignment horizontal="center" vertical="top"/>
      <protection locked="0"/>
    </xf>
    <xf numFmtId="0" fontId="25" fillId="0" borderId="0" xfId="8" applyFont="1" applyFill="1" applyBorder="1" applyAlignment="1" applyProtection="1">
      <alignment horizontal="center" vertical="center"/>
      <protection locked="0"/>
    </xf>
    <xf numFmtId="0" fontId="28" fillId="6" borderId="89" xfId="8" applyFont="1" applyFill="1" applyBorder="1"/>
    <xf numFmtId="0" fontId="24" fillId="7" borderId="89" xfId="8" applyFont="1" applyFill="1" applyBorder="1" applyAlignment="1">
      <alignment horizontal="center"/>
    </xf>
    <xf numFmtId="0" fontId="24" fillId="6" borderId="128" xfId="8" applyFont="1" applyFill="1" applyBorder="1"/>
    <xf numFmtId="0" fontId="24" fillId="0" borderId="128" xfId="10" applyFont="1" applyFill="1" applyBorder="1" applyAlignment="1">
      <alignment horizontal="left" vertical="center"/>
    </xf>
    <xf numFmtId="0" fontId="24" fillId="0" borderId="130" xfId="10" applyFont="1" applyFill="1" applyBorder="1" applyAlignment="1">
      <alignment horizontal="left" vertical="center"/>
    </xf>
    <xf numFmtId="0" fontId="24" fillId="0" borderId="129" xfId="10" applyFont="1" applyFill="1" applyBorder="1" applyAlignment="1">
      <alignment horizontal="left" vertical="center"/>
    </xf>
    <xf numFmtId="0" fontId="60" fillId="0" borderId="93" xfId="8" applyFont="1" applyFill="1" applyBorder="1" applyAlignment="1">
      <alignment vertical="center"/>
    </xf>
    <xf numFmtId="1" fontId="60" fillId="0" borderId="97" xfId="8" applyNumberFormat="1" applyFont="1" applyFill="1" applyBorder="1" applyAlignment="1">
      <alignment horizontal="left" vertical="center"/>
    </xf>
    <xf numFmtId="0" fontId="60" fillId="0" borderId="105" xfId="8" applyFont="1" applyFill="1" applyBorder="1" applyAlignment="1">
      <alignment vertical="center" wrapText="1"/>
    </xf>
    <xf numFmtId="0" fontId="60" fillId="0" borderId="97" xfId="8" applyFont="1" applyFill="1" applyBorder="1" applyAlignment="1">
      <alignment vertical="center" wrapText="1"/>
    </xf>
    <xf numFmtId="0" fontId="60" fillId="0" borderId="97" xfId="8" applyFont="1" applyFill="1" applyBorder="1" applyAlignment="1">
      <alignment vertical="top" wrapText="1"/>
    </xf>
    <xf numFmtId="0" fontId="60" fillId="0" borderId="105" xfId="8" applyFont="1" applyFill="1" applyBorder="1" applyAlignment="1">
      <alignment vertical="top" wrapText="1"/>
    </xf>
    <xf numFmtId="0" fontId="25" fillId="0" borderId="0" xfId="10" applyFont="1" applyFill="1" applyBorder="1" applyAlignment="1">
      <alignment vertical="center"/>
    </xf>
    <xf numFmtId="0" fontId="25" fillId="6" borderId="145" xfId="8" applyFont="1" applyFill="1" applyBorder="1"/>
    <xf numFmtId="0" fontId="25" fillId="6" borderId="68" xfId="8" applyFont="1" applyFill="1" applyBorder="1"/>
    <xf numFmtId="0" fontId="24" fillId="0" borderId="0" xfId="2" applyNumberFormat="1" applyFont="1" applyAlignment="1">
      <alignment vertical="center"/>
    </xf>
    <xf numFmtId="0" fontId="23" fillId="0" borderId="0" xfId="2" applyFont="1"/>
    <xf numFmtId="0" fontId="24" fillId="0" borderId="0" xfId="2" applyFont="1" applyAlignment="1">
      <alignment horizontal="right"/>
    </xf>
    <xf numFmtId="0" fontId="23" fillId="0" borderId="0" xfId="2" applyFont="1" applyAlignment="1">
      <alignment horizontal="right"/>
    </xf>
    <xf numFmtId="49" fontId="24" fillId="0" borderId="0" xfId="2" applyNumberFormat="1" applyFont="1" applyBorder="1" applyAlignment="1" applyProtection="1"/>
    <xf numFmtId="0" fontId="27" fillId="0" borderId="0" xfId="2" applyFont="1"/>
    <xf numFmtId="0" fontId="23" fillId="0" borderId="0" xfId="2" applyFont="1" applyAlignment="1">
      <alignment horizontal="left"/>
    </xf>
    <xf numFmtId="0" fontId="23" fillId="0" borderId="0" xfId="2" applyAlignment="1">
      <alignment horizontal="left"/>
    </xf>
    <xf numFmtId="0" fontId="27" fillId="0" borderId="0" xfId="2" applyFont="1" applyAlignment="1">
      <alignment horizontal="right"/>
    </xf>
    <xf numFmtId="9" fontId="23" fillId="0" borderId="0" xfId="2" applyNumberFormat="1" applyFont="1" applyAlignment="1">
      <alignment horizontal="left"/>
    </xf>
    <xf numFmtId="165" fontId="23" fillId="0" borderId="0" xfId="2" applyNumberFormat="1" applyFont="1" applyAlignment="1">
      <alignment horizontal="left"/>
    </xf>
    <xf numFmtId="10" fontId="27" fillId="0" borderId="0" xfId="3" applyNumberFormat="1" applyFont="1" applyFill="1" applyAlignment="1">
      <alignment horizontal="right"/>
    </xf>
    <xf numFmtId="0" fontId="24" fillId="0" borderId="0" xfId="2" applyFont="1" applyBorder="1"/>
    <xf numFmtId="0" fontId="28" fillId="0" borderId="146" xfId="2" applyFont="1" applyBorder="1" applyAlignment="1">
      <alignment vertical="top"/>
    </xf>
    <xf numFmtId="0" fontId="23" fillId="0" borderId="146" xfId="2" applyBorder="1" applyAlignment="1"/>
    <xf numFmtId="0" fontId="28" fillId="2" borderId="62" xfId="2" applyFont="1" applyFill="1" applyBorder="1" applyAlignment="1" applyProtection="1">
      <alignment horizontal="left" vertical="center"/>
    </xf>
    <xf numFmtId="0" fontId="30" fillId="3" borderId="62" xfId="2" applyFont="1" applyFill="1" applyBorder="1" applyAlignment="1" applyProtection="1">
      <alignment horizontal="left" vertical="center"/>
    </xf>
    <xf numFmtId="0" fontId="25" fillId="0" borderId="0" xfId="2" applyFont="1" applyAlignment="1">
      <alignment horizontal="right" vertical="center"/>
    </xf>
    <xf numFmtId="10" fontId="23" fillId="0" borderId="0" xfId="2" applyNumberFormat="1" applyFont="1" applyAlignment="1">
      <alignment horizontal="left"/>
    </xf>
    <xf numFmtId="0" fontId="24" fillId="0" borderId="0" xfId="2" applyFont="1" applyAlignment="1">
      <alignment horizontal="right" vertical="center"/>
    </xf>
    <xf numFmtId="0" fontId="24" fillId="4" borderId="0" xfId="2" applyFont="1" applyFill="1" applyBorder="1" applyAlignment="1">
      <alignment vertical="center"/>
    </xf>
    <xf numFmtId="0" fontId="28" fillId="4" borderId="0" xfId="2" applyFont="1" applyFill="1" applyBorder="1" applyAlignment="1">
      <alignment vertical="center"/>
    </xf>
    <xf numFmtId="0" fontId="24" fillId="11" borderId="62" xfId="2" applyFont="1" applyFill="1" applyBorder="1" applyAlignment="1" applyProtection="1">
      <alignment horizontal="left" vertical="top"/>
    </xf>
    <xf numFmtId="0" fontId="98" fillId="4" borderId="0" xfId="2" applyFont="1" applyFill="1" applyBorder="1" applyAlignment="1">
      <alignment vertical="center"/>
    </xf>
    <xf numFmtId="0" fontId="24" fillId="11" borderId="62" xfId="2" applyFont="1" applyFill="1" applyBorder="1" applyAlignment="1" applyProtection="1">
      <alignment horizontal="left" vertical="top" wrapText="1"/>
    </xf>
    <xf numFmtId="0" fontId="26" fillId="4" borderId="0" xfId="2" applyFont="1" applyFill="1" applyBorder="1" applyAlignment="1">
      <alignment vertical="center"/>
    </xf>
    <xf numFmtId="3" fontId="98" fillId="4" borderId="0" xfId="2" applyNumberFormat="1" applyFont="1" applyFill="1" applyBorder="1" applyAlignment="1">
      <alignment vertical="center"/>
    </xf>
    <xf numFmtId="3" fontId="28" fillId="0" borderId="0" xfId="2" applyNumberFormat="1" applyFont="1" applyFill="1" applyAlignment="1">
      <alignment vertical="center"/>
    </xf>
    <xf numFmtId="0" fontId="31" fillId="0" borderId="0" xfId="2" applyFont="1" applyFill="1" applyAlignment="1">
      <alignment vertical="center"/>
    </xf>
    <xf numFmtId="0" fontId="24" fillId="0" borderId="0" xfId="2" applyFont="1" applyFill="1" applyAlignment="1">
      <alignment vertical="center"/>
    </xf>
    <xf numFmtId="3" fontId="24" fillId="0" borderId="0" xfId="2" applyNumberFormat="1" applyFont="1" applyAlignment="1">
      <alignment vertical="center"/>
    </xf>
    <xf numFmtId="0" fontId="25" fillId="0" borderId="0" xfId="2" applyFont="1" applyFill="1" applyAlignment="1">
      <alignment vertical="center"/>
    </xf>
    <xf numFmtId="3" fontId="24" fillId="2" borderId="62" xfId="2" applyNumberFormat="1" applyFont="1" applyFill="1" applyBorder="1" applyAlignment="1" applyProtection="1">
      <alignment vertical="center"/>
    </xf>
    <xf numFmtId="167" fontId="24" fillId="0" borderId="0" xfId="2" applyNumberFormat="1" applyFont="1" applyFill="1" applyAlignment="1">
      <alignment vertical="center"/>
    </xf>
    <xf numFmtId="37" fontId="25" fillId="11" borderId="62" xfId="2" applyNumberFormat="1" applyFont="1" applyFill="1" applyBorder="1" applyAlignment="1" applyProtection="1">
      <alignment vertical="top"/>
    </xf>
    <xf numFmtId="167" fontId="25" fillId="0" borderId="0" xfId="2" applyNumberFormat="1" applyFont="1" applyFill="1" applyAlignment="1">
      <alignment vertical="center"/>
    </xf>
    <xf numFmtId="37" fontId="24" fillId="11" borderId="62" xfId="2" applyNumberFormat="1" applyFont="1" applyFill="1" applyBorder="1" applyAlignment="1" applyProtection="1">
      <alignment vertical="top"/>
    </xf>
    <xf numFmtId="167" fontId="98" fillId="0" borderId="0" xfId="2" applyNumberFormat="1" applyFont="1" applyFill="1" applyAlignment="1">
      <alignment vertical="center"/>
    </xf>
    <xf numFmtId="167" fontId="24" fillId="0" borderId="0" xfId="2" applyNumberFormat="1" applyFont="1" applyFill="1" applyAlignment="1">
      <alignment horizontal="left" vertical="center"/>
    </xf>
    <xf numFmtId="0" fontId="28" fillId="4" borderId="0" xfId="2" applyFont="1" applyFill="1" applyBorder="1" applyAlignment="1">
      <alignment horizontal="center" vertical="center"/>
    </xf>
    <xf numFmtId="0" fontId="24" fillId="0" borderId="0" xfId="2" applyFont="1" applyFill="1"/>
    <xf numFmtId="0" fontId="19" fillId="0" borderId="0" xfId="2" applyFont="1" applyFill="1" applyBorder="1" applyAlignment="1">
      <alignment horizontal="right"/>
    </xf>
    <xf numFmtId="0" fontId="19" fillId="0" borderId="0" xfId="2" applyFont="1" applyFill="1" applyBorder="1" applyAlignment="1">
      <alignment horizontal="center" vertical="center"/>
    </xf>
    <xf numFmtId="0" fontId="19" fillId="0" borderId="0" xfId="2" applyFont="1" applyFill="1" applyBorder="1" applyAlignment="1">
      <alignment horizontal="right" vertical="center"/>
    </xf>
    <xf numFmtId="3" fontId="26" fillId="0" borderId="0" xfId="2" applyNumberFormat="1" applyFont="1" applyFill="1" applyBorder="1" applyAlignment="1">
      <alignment horizontal="center" wrapText="1"/>
    </xf>
    <xf numFmtId="0" fontId="24" fillId="0" borderId="0" xfId="2" applyFont="1" applyFill="1" applyBorder="1"/>
    <xf numFmtId="3" fontId="26" fillId="0" borderId="0" xfId="2" applyNumberFormat="1" applyFont="1" applyFill="1" applyBorder="1" applyAlignment="1">
      <alignment horizontal="center"/>
    </xf>
    <xf numFmtId="10" fontId="26" fillId="0" borderId="0" xfId="3" applyNumberFormat="1" applyFont="1" applyFill="1" applyBorder="1" applyAlignment="1">
      <alignment horizontal="center"/>
    </xf>
    <xf numFmtId="3" fontId="19" fillId="0" borderId="0" xfId="2" applyNumberFormat="1" applyFont="1" applyFill="1" applyBorder="1" applyAlignment="1">
      <alignment horizontal="right"/>
    </xf>
    <xf numFmtId="3" fontId="28" fillId="0" borderId="0" xfId="2" applyNumberFormat="1" applyFont="1" applyFill="1" applyBorder="1" applyAlignment="1">
      <alignment horizontal="right"/>
    </xf>
    <xf numFmtId="0" fontId="24" fillId="0" borderId="0" xfId="2" applyFont="1" applyFill="1" applyBorder="1" applyAlignment="1">
      <alignment horizontal="center" vertical="top"/>
    </xf>
    <xf numFmtId="3" fontId="25" fillId="0" borderId="0" xfId="2" quotePrefix="1" applyNumberFormat="1" applyFont="1" applyFill="1" applyAlignment="1">
      <alignment vertical="center"/>
    </xf>
    <xf numFmtId="3" fontId="24" fillId="0" borderId="0" xfId="2" applyNumberFormat="1" applyFont="1" applyFill="1" applyAlignment="1">
      <alignment horizontal="left" vertical="center"/>
    </xf>
    <xf numFmtId="3" fontId="25" fillId="0" borderId="0" xfId="2" applyNumberFormat="1" applyFont="1" applyFill="1" applyAlignment="1">
      <alignment vertical="center"/>
    </xf>
    <xf numFmtId="0" fontId="24" fillId="0" borderId="0" xfId="2" applyFont="1" applyFill="1" applyAlignment="1">
      <alignment horizontal="left" vertical="center"/>
    </xf>
    <xf numFmtId="3" fontId="29" fillId="0" borderId="0" xfId="2" applyNumberFormat="1" applyFont="1" applyFill="1" applyAlignment="1">
      <alignment vertical="center" wrapText="1"/>
    </xf>
    <xf numFmtId="3" fontId="29" fillId="0" borderId="0" xfId="2" applyNumberFormat="1" applyFont="1" applyFill="1" applyBorder="1" applyAlignment="1">
      <alignment vertical="center" wrapText="1"/>
    </xf>
    <xf numFmtId="0" fontId="24" fillId="0" borderId="0" xfId="2" applyFont="1" applyFill="1" applyBorder="1" applyAlignment="1">
      <alignment vertical="center"/>
    </xf>
    <xf numFmtId="3" fontId="26" fillId="0" borderId="0" xfId="2" applyNumberFormat="1" applyFont="1" applyFill="1" applyBorder="1" applyAlignment="1">
      <alignment vertical="center"/>
    </xf>
    <xf numFmtId="3" fontId="25" fillId="0" borderId="0" xfId="2" applyNumberFormat="1" applyFont="1" applyFill="1" applyBorder="1" applyAlignment="1">
      <alignment vertical="center"/>
    </xf>
    <xf numFmtId="3" fontId="97" fillId="0" borderId="0" xfId="2" applyNumberFormat="1" applyFont="1" applyFill="1" applyBorder="1" applyAlignment="1">
      <alignment vertical="center"/>
    </xf>
    <xf numFmtId="0" fontId="98" fillId="0" borderId="0" xfId="2" applyFont="1" applyFill="1" applyAlignment="1">
      <alignment vertical="center"/>
    </xf>
    <xf numFmtId="0" fontId="26" fillId="0" borderId="0" xfId="2" applyFont="1" applyFill="1" applyBorder="1" applyAlignment="1">
      <alignment vertical="center"/>
    </xf>
    <xf numFmtId="0" fontId="28" fillId="0" borderId="0" xfId="2" applyFont="1" applyFill="1" applyBorder="1" applyAlignment="1">
      <alignment vertical="center"/>
    </xf>
    <xf numFmtId="0" fontId="98" fillId="0" borderId="0" xfId="2" applyFont="1" applyFill="1" applyBorder="1" applyAlignment="1">
      <alignment vertical="center"/>
    </xf>
    <xf numFmtId="3" fontId="99" fillId="0" borderId="0" xfId="2" applyNumberFormat="1" applyFont="1" applyFill="1" applyAlignment="1">
      <alignment vertical="center"/>
    </xf>
    <xf numFmtId="3" fontId="29" fillId="0" borderId="0" xfId="2" applyNumberFormat="1" applyFont="1" applyFill="1" applyAlignment="1">
      <alignment horizontal="left" vertical="center" wrapText="1"/>
    </xf>
    <xf numFmtId="0" fontId="25" fillId="0" borderId="0" xfId="2" applyNumberFormat="1" applyFont="1" applyAlignment="1" applyProtection="1">
      <alignment vertical="top"/>
    </xf>
    <xf numFmtId="0" fontId="25" fillId="0" borderId="0" xfId="2" applyFont="1" applyAlignment="1">
      <alignment vertical="top"/>
    </xf>
    <xf numFmtId="0" fontId="28" fillId="0" borderId="0" xfId="2" applyFont="1" applyBorder="1" applyAlignment="1">
      <alignment horizontal="right"/>
    </xf>
    <xf numFmtId="0" fontId="26" fillId="0" borderId="0" xfId="2" applyFont="1" applyAlignment="1">
      <alignment horizontal="center" vertical="top"/>
    </xf>
    <xf numFmtId="0" fontId="24" fillId="0" borderId="56" xfId="2" applyFont="1" applyBorder="1" applyAlignment="1">
      <alignment horizontal="center" vertical="top"/>
    </xf>
    <xf numFmtId="0" fontId="24" fillId="0" borderId="61" xfId="2" applyFont="1" applyBorder="1" applyAlignment="1">
      <alignment horizontal="center" vertical="top"/>
    </xf>
    <xf numFmtId="0" fontId="35" fillId="2" borderId="62" xfId="2" applyFont="1" applyFill="1" applyBorder="1" applyAlignment="1">
      <alignment vertical="top"/>
    </xf>
    <xf numFmtId="0" fontId="25" fillId="2" borderId="62" xfId="2" applyFont="1" applyFill="1" applyBorder="1" applyAlignment="1">
      <alignment vertical="top"/>
    </xf>
    <xf numFmtId="0" fontId="28" fillId="3" borderId="62" xfId="2" applyFont="1" applyFill="1" applyBorder="1" applyAlignment="1">
      <alignment horizontal="left" vertical="center"/>
    </xf>
    <xf numFmtId="0" fontId="28" fillId="0" borderId="62" xfId="2" applyFont="1" applyBorder="1" applyAlignment="1">
      <alignment vertical="top"/>
    </xf>
    <xf numFmtId="0" fontId="28" fillId="0" borderId="62" xfId="2" quotePrefix="1" applyFont="1" applyBorder="1" applyAlignment="1">
      <alignment horizontal="center" vertical="center"/>
    </xf>
    <xf numFmtId="0" fontId="28" fillId="3" borderId="62" xfId="2" applyFont="1" applyFill="1" applyBorder="1" applyAlignment="1">
      <alignment vertical="center"/>
    </xf>
    <xf numFmtId="0" fontId="28" fillId="0" borderId="62" xfId="2" applyFont="1" applyFill="1" applyBorder="1" applyAlignment="1">
      <alignment vertical="top"/>
    </xf>
    <xf numFmtId="0" fontId="25" fillId="4" borderId="62" xfId="2" applyFont="1" applyFill="1" applyBorder="1" applyAlignment="1">
      <alignment vertical="center"/>
    </xf>
    <xf numFmtId="0" fontId="25" fillId="4" borderId="62" xfId="2" applyFont="1" applyFill="1" applyBorder="1" applyAlignment="1">
      <alignment vertical="top"/>
    </xf>
    <xf numFmtId="0" fontId="25" fillId="4" borderId="62" xfId="2" quotePrefix="1" applyFont="1" applyFill="1" applyBorder="1" applyAlignment="1">
      <alignment horizontal="center" vertical="center"/>
    </xf>
    <xf numFmtId="0" fontId="24" fillId="0" borderId="62" xfId="2" applyFont="1" applyBorder="1" applyAlignment="1">
      <alignment vertical="top"/>
    </xf>
    <xf numFmtId="0" fontId="24" fillId="3" borderId="62" xfId="2" applyFont="1" applyFill="1" applyBorder="1" applyAlignment="1">
      <alignment horizontal="left" vertical="center" indent="1"/>
    </xf>
    <xf numFmtId="0" fontId="28" fillId="2" borderId="62" xfId="2" applyFont="1" applyFill="1" applyBorder="1" applyAlignment="1">
      <alignment vertical="top"/>
    </xf>
    <xf numFmtId="0" fontId="30" fillId="3" borderId="62" xfId="2" applyFont="1" applyFill="1" applyBorder="1" applyAlignment="1">
      <alignment vertical="center"/>
    </xf>
    <xf numFmtId="0" fontId="30" fillId="0" borderId="62" xfId="2" applyFont="1" applyFill="1" applyBorder="1" applyAlignment="1">
      <alignment vertical="top"/>
    </xf>
    <xf numFmtId="0" fontId="30" fillId="0" borderId="62" xfId="2" quotePrefix="1" applyFont="1" applyBorder="1" applyAlignment="1">
      <alignment horizontal="center" vertical="center"/>
    </xf>
    <xf numFmtId="0" fontId="24" fillId="0" borderId="62" xfId="2" applyFont="1" applyFill="1" applyBorder="1" applyAlignment="1">
      <alignment vertical="top"/>
    </xf>
    <xf numFmtId="49" fontId="24" fillId="0" borderId="62" xfId="2" applyNumberFormat="1" applyFont="1" applyFill="1" applyBorder="1" applyAlignment="1">
      <alignment vertical="top"/>
    </xf>
    <xf numFmtId="0" fontId="35" fillId="5" borderId="62" xfId="2" quotePrefix="1" applyFont="1" applyFill="1" applyBorder="1" applyAlignment="1">
      <alignment vertical="top"/>
    </xf>
    <xf numFmtId="0" fontId="102" fillId="0" borderId="0" xfId="2" applyFont="1"/>
    <xf numFmtId="0" fontId="28" fillId="0" borderId="0" xfId="2" applyNumberFormat="1" applyFont="1" applyFill="1" applyBorder="1" applyAlignment="1">
      <alignment horizontal="right"/>
    </xf>
    <xf numFmtId="3" fontId="24" fillId="0" borderId="0" xfId="2" applyNumberFormat="1" applyFont="1" applyFill="1" applyBorder="1" applyAlignment="1"/>
    <xf numFmtId="14" fontId="28" fillId="0" borderId="0" xfId="2" applyNumberFormat="1" applyFont="1" applyFill="1" applyBorder="1" applyAlignment="1">
      <alignment horizontal="right" vertical="center"/>
    </xf>
    <xf numFmtId="0" fontId="28" fillId="0" borderId="0" xfId="2" applyFont="1" applyFill="1" applyBorder="1" applyAlignment="1">
      <alignment horizontal="right"/>
    </xf>
    <xf numFmtId="0" fontId="97" fillId="0" borderId="0" xfId="2" applyFont="1" applyFill="1" applyAlignment="1">
      <alignment horizontal="left"/>
    </xf>
    <xf numFmtId="0" fontId="24" fillId="0" borderId="0" xfId="2" applyFont="1" applyFill="1" applyAlignment="1">
      <alignment horizontal="center"/>
    </xf>
    <xf numFmtId="0" fontId="102" fillId="0" borderId="0" xfId="2" applyFont="1" applyFill="1" applyAlignment="1">
      <alignment vertical="center"/>
    </xf>
    <xf numFmtId="3" fontId="35" fillId="0" borderId="0" xfId="2" applyNumberFormat="1" applyFont="1" applyFill="1" applyAlignment="1">
      <alignment vertical="center"/>
    </xf>
    <xf numFmtId="0" fontId="35" fillId="0" borderId="0" xfId="2" applyFont="1" applyFill="1" applyAlignment="1">
      <alignment vertical="center"/>
    </xf>
    <xf numFmtId="3" fontId="98" fillId="0" borderId="0" xfId="2" applyNumberFormat="1" applyFont="1" applyFill="1" applyBorder="1" applyAlignment="1">
      <alignment vertical="center"/>
    </xf>
    <xf numFmtId="3" fontId="24" fillId="0" borderId="0" xfId="2" applyNumberFormat="1" applyFont="1" applyFill="1" applyAlignment="1">
      <alignment vertical="center"/>
    </xf>
    <xf numFmtId="0" fontId="101" fillId="0" borderId="0" xfId="22" applyFont="1" applyFill="1" applyAlignment="1" applyProtection="1">
      <alignment vertical="center"/>
    </xf>
    <xf numFmtId="0" fontId="102" fillId="0" borderId="0" xfId="2" applyFont="1" applyFill="1"/>
    <xf numFmtId="49" fontId="30" fillId="0" borderId="43" xfId="8" applyNumberFormat="1" applyFont="1" applyFill="1" applyBorder="1" applyAlignment="1">
      <alignment horizontal="center" vertical="top" wrapText="1"/>
    </xf>
    <xf numFmtId="0" fontId="60" fillId="0" borderId="88" xfId="8" applyFont="1" applyFill="1" applyBorder="1" applyAlignment="1">
      <alignment vertical="center"/>
    </xf>
    <xf numFmtId="0" fontId="60" fillId="0" borderId="89" xfId="8" applyFont="1" applyFill="1" applyBorder="1" applyAlignment="1">
      <alignment vertical="center"/>
    </xf>
    <xf numFmtId="49" fontId="30" fillId="0" borderId="76" xfId="8" applyNumberFormat="1" applyFont="1" applyFill="1" applyBorder="1" applyAlignment="1">
      <alignment horizontal="center" vertical="top" wrapText="1"/>
    </xf>
    <xf numFmtId="0" fontId="75" fillId="0" borderId="84" xfId="8" applyFont="1" applyFill="1" applyBorder="1" applyAlignment="1">
      <alignment horizontal="center" wrapText="1"/>
    </xf>
    <xf numFmtId="49" fontId="74" fillId="0" borderId="87" xfId="8" applyNumberFormat="1" applyFont="1" applyFill="1" applyBorder="1" applyAlignment="1">
      <alignment horizontal="center" vertical="top"/>
    </xf>
    <xf numFmtId="49" fontId="73" fillId="0" borderId="87" xfId="8" applyNumberFormat="1" applyFont="1" applyFill="1" applyBorder="1" applyAlignment="1">
      <alignment horizontal="center" vertical="top"/>
    </xf>
    <xf numFmtId="49" fontId="74" fillId="0" borderId="115" xfId="8" applyNumberFormat="1" applyFont="1" applyFill="1" applyBorder="1" applyAlignment="1">
      <alignment horizontal="center" vertical="top"/>
    </xf>
    <xf numFmtId="0" fontId="75" fillId="0" borderId="111" xfId="8" applyFont="1" applyFill="1" applyBorder="1" applyAlignment="1">
      <alignment horizontal="center" wrapText="1"/>
    </xf>
    <xf numFmtId="0" fontId="59" fillId="0" borderId="76" xfId="8" applyFont="1" applyFill="1" applyBorder="1" applyAlignment="1">
      <alignment horizontal="left" vertical="center"/>
    </xf>
    <xf numFmtId="171" fontId="72" fillId="0" borderId="87" xfId="8" applyNumberFormat="1" applyFont="1" applyFill="1" applyBorder="1" applyAlignment="1">
      <alignment vertical="center"/>
    </xf>
    <xf numFmtId="171" fontId="72" fillId="0" borderId="89" xfId="8" applyNumberFormat="1" applyFont="1" applyFill="1" applyBorder="1" applyAlignment="1">
      <alignment vertical="center"/>
    </xf>
    <xf numFmtId="0" fontId="56" fillId="0" borderId="0" xfId="18" quotePrefix="1" applyFont="1" applyFill="1" applyAlignment="1">
      <alignment horizontal="left" vertical="center"/>
    </xf>
    <xf numFmtId="0" fontId="60" fillId="0" borderId="0" xfId="18" applyFont="1" applyFill="1" applyAlignment="1">
      <alignment vertical="center"/>
    </xf>
    <xf numFmtId="0" fontId="60" fillId="0" borderId="0" xfId="18" applyFont="1" applyFill="1" applyBorder="1" applyAlignment="1">
      <alignment vertical="center"/>
    </xf>
    <xf numFmtId="0" fontId="60" fillId="0" borderId="0" xfId="18" applyFont="1" applyFill="1" applyAlignment="1">
      <alignment vertical="center" wrapText="1"/>
    </xf>
    <xf numFmtId="0" fontId="103" fillId="0" borderId="114" xfId="18" applyFont="1" applyFill="1" applyBorder="1" applyAlignment="1">
      <alignment horizontal="right" vertical="center" wrapText="1"/>
    </xf>
    <xf numFmtId="0" fontId="61" fillId="0" borderId="0" xfId="18" applyFont="1" applyFill="1" applyAlignment="1">
      <alignment vertical="center" wrapText="1"/>
    </xf>
    <xf numFmtId="171" fontId="103" fillId="0" borderId="43" xfId="18" applyNumberFormat="1" applyFont="1" applyFill="1" applyBorder="1" applyAlignment="1">
      <alignment horizontal="right" vertical="center"/>
    </xf>
    <xf numFmtId="0" fontId="72" fillId="0" borderId="114" xfId="18" applyFont="1" applyFill="1" applyBorder="1" applyAlignment="1">
      <alignment horizontal="right" vertical="center" wrapText="1"/>
    </xf>
    <xf numFmtId="171" fontId="72" fillId="0" borderId="43" xfId="18" applyNumberFormat="1" applyFont="1" applyFill="1" applyBorder="1" applyAlignment="1">
      <alignment horizontal="right" vertical="center"/>
    </xf>
    <xf numFmtId="0" fontId="61" fillId="0" borderId="0" xfId="18" applyFont="1" applyFill="1" applyAlignment="1">
      <alignment vertical="center"/>
    </xf>
    <xf numFmtId="0" fontId="60" fillId="0" borderId="0" xfId="18" applyFont="1" applyFill="1"/>
    <xf numFmtId="171" fontId="103" fillId="0" borderId="116" xfId="18" applyNumberFormat="1" applyFont="1" applyFill="1" applyBorder="1" applyAlignment="1">
      <alignment horizontal="right" vertical="center"/>
    </xf>
    <xf numFmtId="0" fontId="73" fillId="0" borderId="0" xfId="18" applyFont="1" applyFill="1" applyBorder="1" applyAlignment="1">
      <alignment horizontal="right" vertical="top" wrapText="1"/>
    </xf>
    <xf numFmtId="0" fontId="73" fillId="0" borderId="0" xfId="18" applyFont="1" applyFill="1" applyBorder="1" applyAlignment="1">
      <alignment horizontal="left" vertical="top" wrapText="1"/>
    </xf>
    <xf numFmtId="49" fontId="73" fillId="0" borderId="0" xfId="18" applyNumberFormat="1" applyFont="1" applyFill="1" applyBorder="1" applyAlignment="1">
      <alignment horizontal="center" vertical="top"/>
    </xf>
    <xf numFmtId="171" fontId="72" fillId="0" borderId="0" xfId="18" applyNumberFormat="1" applyFont="1" applyFill="1" applyBorder="1" applyAlignment="1">
      <alignment horizontal="right" vertical="center"/>
    </xf>
    <xf numFmtId="0" fontId="75" fillId="0" borderId="70" xfId="18" applyFont="1" applyFill="1" applyBorder="1" applyAlignment="1">
      <alignment horizontal="center" wrapText="1"/>
    </xf>
    <xf numFmtId="0" fontId="74" fillId="0" borderId="66" xfId="18" applyFont="1" applyFill="1" applyBorder="1" applyAlignment="1">
      <alignment horizontal="left" vertical="top"/>
    </xf>
    <xf numFmtId="49" fontId="74" fillId="0" borderId="43" xfId="18" applyNumberFormat="1" applyFont="1" applyFill="1" applyBorder="1" applyAlignment="1">
      <alignment horizontal="center" vertical="top"/>
    </xf>
    <xf numFmtId="0" fontId="73" fillId="0" borderId="66" xfId="18" applyFont="1" applyFill="1" applyBorder="1" applyAlignment="1">
      <alignment horizontal="left" vertical="top"/>
    </xf>
    <xf numFmtId="49" fontId="73" fillId="0" borderId="43" xfId="18" applyNumberFormat="1" applyFont="1" applyFill="1" applyBorder="1" applyAlignment="1">
      <alignment horizontal="center" vertical="top"/>
    </xf>
    <xf numFmtId="0" fontId="73" fillId="0" borderId="66" xfId="18" applyFont="1" applyFill="1" applyBorder="1" applyAlignment="1">
      <alignment horizontal="left" vertical="top" wrapText="1"/>
    </xf>
    <xf numFmtId="0" fontId="74" fillId="0" borderId="66" xfId="18" applyFont="1" applyFill="1" applyBorder="1" applyAlignment="1">
      <alignment horizontal="left" vertical="top" wrapText="1"/>
    </xf>
    <xf numFmtId="0" fontId="27" fillId="0" borderId="0" xfId="18" applyFont="1" applyFill="1" applyBorder="1" applyAlignment="1">
      <alignment horizontal="left" vertical="top" wrapText="1"/>
    </xf>
    <xf numFmtId="171" fontId="72" fillId="0" borderId="88" xfId="18" applyNumberFormat="1" applyFont="1" applyFill="1" applyBorder="1" applyAlignment="1">
      <alignment horizontal="right" vertical="center"/>
    </xf>
    <xf numFmtId="0" fontId="74" fillId="0" borderId="99" xfId="18" applyFont="1" applyFill="1" applyBorder="1" applyAlignment="1">
      <alignment horizontal="center" vertical="center" wrapText="1"/>
    </xf>
    <xf numFmtId="0" fontId="74" fillId="0" borderId="85" xfId="18" applyFont="1" applyFill="1" applyBorder="1" applyAlignment="1">
      <alignment horizontal="center" vertical="center" wrapText="1"/>
    </xf>
    <xf numFmtId="0" fontId="59" fillId="0" borderId="0" xfId="8" applyFont="1" applyFill="1" applyBorder="1" applyAlignment="1">
      <alignment horizontal="left" vertical="center"/>
    </xf>
    <xf numFmtId="0" fontId="75" fillId="0" borderId="84" xfId="18" applyFont="1" applyFill="1" applyBorder="1" applyAlignment="1">
      <alignment horizontal="center" wrapText="1"/>
    </xf>
    <xf numFmtId="2" fontId="74" fillId="0" borderId="87" xfId="18" applyNumberFormat="1" applyFont="1" applyFill="1" applyBorder="1" applyAlignment="1">
      <alignment horizontal="center" vertical="top"/>
    </xf>
    <xf numFmtId="49" fontId="74" fillId="0" borderId="87" xfId="18" applyNumberFormat="1" applyFont="1" applyFill="1" applyBorder="1" applyAlignment="1">
      <alignment horizontal="center" vertical="top"/>
    </xf>
    <xf numFmtId="49" fontId="73" fillId="0" borderId="87" xfId="18" applyNumberFormat="1" applyFont="1" applyFill="1" applyBorder="1" applyAlignment="1">
      <alignment horizontal="center" vertical="top"/>
    </xf>
    <xf numFmtId="0" fontId="72" fillId="0" borderId="87" xfId="8" applyFont="1" applyFill="1" applyBorder="1" applyAlignment="1">
      <alignment vertical="center"/>
    </xf>
    <xf numFmtId="0" fontId="72" fillId="0" borderId="88" xfId="8" applyFont="1" applyFill="1" applyBorder="1" applyAlignment="1">
      <alignment vertical="center"/>
    </xf>
    <xf numFmtId="0" fontId="72" fillId="0" borderId="89" xfId="8" applyFont="1" applyFill="1" applyBorder="1" applyAlignment="1">
      <alignment vertical="center"/>
    </xf>
    <xf numFmtId="0" fontId="59" fillId="0" borderId="43" xfId="8" applyFont="1" applyFill="1" applyBorder="1" applyAlignment="1">
      <alignment horizontal="left" vertical="center"/>
    </xf>
    <xf numFmtId="0" fontId="74" fillId="0" borderId="115" xfId="18" quotePrefix="1" applyFont="1" applyFill="1" applyBorder="1" applyAlignment="1">
      <alignment horizontal="left" vertical="top" wrapText="1"/>
    </xf>
    <xf numFmtId="0" fontId="74" fillId="0" borderId="84" xfId="18" quotePrefix="1" applyFont="1" applyFill="1" applyBorder="1" applyAlignment="1">
      <alignment horizontal="left" vertical="top" wrapText="1"/>
    </xf>
    <xf numFmtId="171" fontId="103" fillId="0" borderId="89" xfId="18" applyNumberFormat="1" applyFont="1" applyFill="1" applyBorder="1" applyAlignment="1">
      <alignment horizontal="right" vertical="center"/>
    </xf>
    <xf numFmtId="171" fontId="72" fillId="0" borderId="89" xfId="18" applyNumberFormat="1" applyFont="1" applyFill="1" applyBorder="1" applyAlignment="1">
      <alignment horizontal="right" vertical="center"/>
    </xf>
    <xf numFmtId="0" fontId="74" fillId="0" borderId="0" xfId="18" applyFont="1" applyFill="1" applyBorder="1" applyAlignment="1">
      <alignment horizontal="center" vertical="center" wrapText="1"/>
    </xf>
    <xf numFmtId="0" fontId="74" fillId="0" borderId="0" xfId="18" applyFont="1" applyFill="1" applyBorder="1" applyAlignment="1">
      <alignment horizontal="left" vertical="top" wrapText="1"/>
    </xf>
    <xf numFmtId="171" fontId="103" fillId="0" borderId="88" xfId="18" applyNumberFormat="1" applyFont="1" applyFill="1" applyBorder="1" applyAlignment="1">
      <alignment horizontal="right" vertical="center"/>
    </xf>
    <xf numFmtId="0" fontId="74" fillId="0" borderId="75" xfId="18" quotePrefix="1" applyFont="1" applyFill="1" applyBorder="1" applyAlignment="1">
      <alignment horizontal="left" vertical="top" wrapText="1"/>
    </xf>
    <xf numFmtId="0" fontId="73" fillId="0" borderId="99" xfId="18" applyFont="1" applyFill="1" applyBorder="1" applyAlignment="1">
      <alignment horizontal="left" vertical="top" wrapText="1"/>
    </xf>
    <xf numFmtId="171" fontId="72" fillId="0" borderId="119" xfId="18" applyNumberFormat="1" applyFont="1" applyFill="1" applyBorder="1" applyAlignment="1">
      <alignment horizontal="right" vertical="center"/>
    </xf>
    <xf numFmtId="171" fontId="103" fillId="0" borderId="0" xfId="18" applyNumberFormat="1" applyFont="1" applyFill="1" applyBorder="1" applyAlignment="1">
      <alignment horizontal="right" vertical="center"/>
    </xf>
    <xf numFmtId="0" fontId="60" fillId="0" borderId="97" xfId="18" applyFont="1" applyFill="1" applyBorder="1" applyAlignment="1">
      <alignment vertical="center"/>
    </xf>
    <xf numFmtId="0" fontId="73" fillId="0" borderId="63" xfId="18" applyFont="1" applyFill="1" applyBorder="1" applyAlignment="1">
      <alignment horizontal="center" vertical="center"/>
    </xf>
    <xf numFmtId="0" fontId="73" fillId="0" borderId="111" xfId="18" applyFont="1" applyFill="1" applyBorder="1" applyAlignment="1">
      <alignment horizontal="center" vertical="center"/>
    </xf>
    <xf numFmtId="0" fontId="73" fillId="0" borderId="112" xfId="18" applyFont="1" applyFill="1" applyBorder="1" applyAlignment="1">
      <alignment horizontal="center" vertical="center"/>
    </xf>
    <xf numFmtId="0" fontId="73" fillId="0" borderId="64" xfId="18" applyFont="1" applyFill="1" applyBorder="1" applyAlignment="1">
      <alignment horizontal="center" vertical="center"/>
    </xf>
    <xf numFmtId="0" fontId="73" fillId="0" borderId="0" xfId="18" applyFont="1" applyFill="1" applyAlignment="1">
      <alignment vertical="center" wrapText="1"/>
    </xf>
    <xf numFmtId="0" fontId="74" fillId="0" borderId="43" xfId="18" applyFont="1" applyFill="1" applyBorder="1" applyAlignment="1">
      <alignment horizontal="center" wrapText="1"/>
    </xf>
    <xf numFmtId="0" fontId="74" fillId="0" borderId="67" xfId="18" applyFont="1" applyFill="1" applyBorder="1" applyAlignment="1">
      <alignment horizontal="center" vertical="center" wrapText="1"/>
    </xf>
    <xf numFmtId="171" fontId="103" fillId="0" borderId="67" xfId="18" applyNumberFormat="1" applyFont="1" applyFill="1" applyBorder="1" applyAlignment="1">
      <alignment horizontal="right" vertical="center"/>
    </xf>
    <xf numFmtId="171" fontId="72" fillId="0" borderId="67" xfId="18" applyNumberFormat="1" applyFont="1" applyFill="1" applyBorder="1" applyAlignment="1">
      <alignment horizontal="right" vertical="center"/>
    </xf>
    <xf numFmtId="0" fontId="74" fillId="0" borderId="0" xfId="18" applyFont="1" applyFill="1" applyAlignment="1">
      <alignment vertical="center" wrapText="1"/>
    </xf>
    <xf numFmtId="0" fontId="74" fillId="0" borderId="70" xfId="18" applyFont="1" applyFill="1" applyBorder="1" applyAlignment="1">
      <alignment horizontal="left" vertical="top" wrapText="1"/>
    </xf>
    <xf numFmtId="0" fontId="74" fillId="0" borderId="85" xfId="18" applyFont="1" applyFill="1" applyBorder="1" applyAlignment="1">
      <alignment horizontal="left" vertical="top" wrapText="1"/>
    </xf>
    <xf numFmtId="0" fontId="73" fillId="0" borderId="0" xfId="18" applyFont="1" applyFill="1" applyAlignment="1">
      <alignment vertical="center"/>
    </xf>
    <xf numFmtId="0" fontId="104" fillId="0" borderId="66" xfId="18" applyFont="1" applyFill="1" applyBorder="1" applyAlignment="1">
      <alignment horizontal="left" vertical="top" wrapText="1"/>
    </xf>
    <xf numFmtId="0" fontId="74" fillId="0" borderId="0" xfId="18" applyFont="1" applyFill="1" applyAlignment="1">
      <alignment vertical="center"/>
    </xf>
    <xf numFmtId="0" fontId="73" fillId="0" borderId="66" xfId="18" quotePrefix="1" applyFont="1" applyFill="1" applyBorder="1" applyAlignment="1">
      <alignment horizontal="left" vertical="top" wrapText="1"/>
    </xf>
    <xf numFmtId="0" fontId="74" fillId="0" borderId="66" xfId="18" quotePrefix="1" applyFont="1" applyFill="1" applyBorder="1" applyAlignment="1">
      <alignment horizontal="left" vertical="top" wrapText="1"/>
    </xf>
    <xf numFmtId="0" fontId="73" fillId="0" borderId="70" xfId="18" applyFont="1" applyFill="1" applyBorder="1" applyAlignment="1">
      <alignment horizontal="left" vertical="top" wrapText="1"/>
    </xf>
    <xf numFmtId="0" fontId="73" fillId="0" borderId="85" xfId="18" applyFont="1" applyFill="1" applyBorder="1" applyAlignment="1">
      <alignment horizontal="left" vertical="top" wrapText="1"/>
    </xf>
    <xf numFmtId="0" fontId="73" fillId="0" borderId="115" xfId="18" quotePrefix="1" applyFont="1" applyFill="1" applyBorder="1" applyAlignment="1">
      <alignment horizontal="left" vertical="top" wrapText="1"/>
    </xf>
    <xf numFmtId="0" fontId="73" fillId="0" borderId="84" xfId="18" quotePrefix="1" applyFont="1" applyFill="1" applyBorder="1" applyAlignment="1">
      <alignment horizontal="left" vertical="top" wrapText="1"/>
    </xf>
    <xf numFmtId="0" fontId="74" fillId="0" borderId="75" xfId="18" applyFont="1" applyFill="1" applyBorder="1" applyAlignment="1">
      <alignment horizontal="left" vertical="top" wrapText="1"/>
    </xf>
    <xf numFmtId="0" fontId="73" fillId="0" borderId="118" xfId="18" applyFont="1" applyFill="1" applyBorder="1" applyAlignment="1">
      <alignment horizontal="left" vertical="top" wrapText="1"/>
    </xf>
    <xf numFmtId="0" fontId="73" fillId="0" borderId="119" xfId="18" applyFont="1" applyFill="1" applyBorder="1" applyAlignment="1">
      <alignment horizontal="left" vertical="top" wrapText="1"/>
    </xf>
    <xf numFmtId="49" fontId="74" fillId="0" borderId="88" xfId="18" applyNumberFormat="1" applyFont="1" applyFill="1" applyBorder="1" applyAlignment="1">
      <alignment horizontal="center" vertical="top"/>
    </xf>
    <xf numFmtId="49" fontId="73" fillId="0" borderId="88" xfId="18" applyNumberFormat="1" applyFont="1" applyFill="1" applyBorder="1" applyAlignment="1">
      <alignment horizontal="center" vertical="top"/>
    </xf>
    <xf numFmtId="0" fontId="73" fillId="0" borderId="101" xfId="18" applyFont="1" applyFill="1" applyBorder="1" applyAlignment="1">
      <alignment horizontal="right" vertical="top" wrapText="1"/>
    </xf>
    <xf numFmtId="0" fontId="74" fillId="0" borderId="118" xfId="18" applyFont="1" applyFill="1" applyBorder="1" applyAlignment="1">
      <alignment horizontal="center" vertical="center" wrapText="1"/>
    </xf>
    <xf numFmtId="0" fontId="74" fillId="0" borderId="77" xfId="18" applyFont="1" applyFill="1" applyBorder="1" applyAlignment="1">
      <alignment horizontal="center" vertical="center" wrapText="1"/>
    </xf>
    <xf numFmtId="0" fontId="74" fillId="0" borderId="118" xfId="18" applyFont="1" applyFill="1" applyBorder="1" applyAlignment="1">
      <alignment horizontal="left" vertical="top" wrapText="1"/>
    </xf>
    <xf numFmtId="0" fontId="73" fillId="4" borderId="118" xfId="18" applyFont="1" applyFill="1" applyBorder="1" applyAlignment="1">
      <alignment horizontal="left" vertical="top" wrapText="1"/>
    </xf>
    <xf numFmtId="0" fontId="73" fillId="4" borderId="85" xfId="18" applyFont="1" applyFill="1" applyBorder="1" applyAlignment="1">
      <alignment horizontal="left" vertical="top" wrapText="1"/>
    </xf>
    <xf numFmtId="171" fontId="103" fillId="0" borderId="118" xfId="18" applyNumberFormat="1" applyFont="1" applyFill="1" applyBorder="1" applyAlignment="1">
      <alignment horizontal="right" vertical="center"/>
    </xf>
    <xf numFmtId="49" fontId="73" fillId="0" borderId="99" xfId="18" applyNumberFormat="1" applyFont="1" applyFill="1" applyBorder="1" applyAlignment="1">
      <alignment horizontal="center" vertical="top"/>
    </xf>
    <xf numFmtId="0" fontId="75" fillId="0" borderId="89" xfId="18" applyFont="1" applyFill="1" applyBorder="1" applyAlignment="1">
      <alignment horizontal="center" wrapText="1"/>
    </xf>
    <xf numFmtId="2" fontId="74" fillId="0" borderId="88" xfId="18" applyNumberFormat="1" applyFont="1" applyFill="1" applyBorder="1" applyAlignment="1">
      <alignment horizontal="center" vertical="top"/>
    </xf>
    <xf numFmtId="49" fontId="73" fillId="0" borderId="84" xfId="18" applyNumberFormat="1" applyFont="1" applyFill="1" applyBorder="1" applyAlignment="1">
      <alignment horizontal="center" vertical="top"/>
    </xf>
    <xf numFmtId="49" fontId="74" fillId="0" borderId="84" xfId="18" applyNumberFormat="1" applyFont="1" applyFill="1" applyBorder="1" applyAlignment="1">
      <alignment horizontal="center" vertical="top"/>
    </xf>
    <xf numFmtId="49" fontId="74" fillId="0" borderId="99" xfId="18" applyNumberFormat="1" applyFont="1" applyFill="1" applyBorder="1" applyAlignment="1">
      <alignment horizontal="center" vertical="top"/>
    </xf>
    <xf numFmtId="0" fontId="73" fillId="0" borderId="43" xfId="18" applyFont="1" applyFill="1" applyBorder="1" applyAlignment="1">
      <alignment horizontal="left" vertical="top" wrapText="1"/>
    </xf>
    <xf numFmtId="0" fontId="73" fillId="0" borderId="113" xfId="18" applyFont="1" applyFill="1" applyBorder="1" applyAlignment="1">
      <alignment horizontal="center" vertical="center"/>
    </xf>
    <xf numFmtId="0" fontId="27" fillId="0" borderId="43" xfId="8" applyFont="1" applyFill="1" applyBorder="1" applyAlignment="1">
      <alignment horizontal="left" vertical="center"/>
    </xf>
    <xf numFmtId="0" fontId="72" fillId="0" borderId="43" xfId="8" applyFont="1" applyFill="1" applyBorder="1" applyAlignment="1">
      <alignment horizontal="left" vertical="center"/>
    </xf>
    <xf numFmtId="0" fontId="73" fillId="0" borderId="66" xfId="18" applyFont="1" applyFill="1" applyBorder="1" applyAlignment="1">
      <alignment vertical="top" wrapText="1"/>
    </xf>
    <xf numFmtId="0" fontId="74" fillId="0" borderId="66" xfId="18" applyFont="1" applyFill="1" applyBorder="1" applyAlignment="1">
      <alignment vertical="top" wrapText="1"/>
    </xf>
    <xf numFmtId="49" fontId="74" fillId="0" borderId="0" xfId="18" applyNumberFormat="1" applyFont="1" applyFill="1" applyBorder="1" applyAlignment="1">
      <alignment horizontal="center" vertical="top"/>
    </xf>
    <xf numFmtId="0" fontId="73" fillId="0" borderId="95" xfId="18" applyFont="1" applyFill="1" applyBorder="1" applyAlignment="1">
      <alignment horizontal="left" vertical="top" wrapText="1"/>
    </xf>
    <xf numFmtId="0" fontId="73" fillId="0" borderId="0" xfId="18" applyFont="1" applyFill="1" applyBorder="1" applyAlignment="1">
      <alignment vertical="center" wrapText="1"/>
    </xf>
    <xf numFmtId="0" fontId="27" fillId="0" borderId="0" xfId="8" applyFill="1" applyAlignment="1">
      <alignment vertical="center"/>
    </xf>
    <xf numFmtId="0" fontId="27" fillId="0" borderId="0" xfId="8" applyFill="1" applyBorder="1" applyAlignment="1">
      <alignment vertical="center"/>
    </xf>
    <xf numFmtId="0" fontId="57" fillId="0" borderId="90" xfId="8" applyFont="1" applyFill="1" applyBorder="1" applyAlignment="1">
      <alignment vertical="center"/>
    </xf>
    <xf numFmtId="0" fontId="27" fillId="0" borderId="91" xfId="8" applyFill="1" applyBorder="1" applyAlignment="1">
      <alignment vertical="center"/>
    </xf>
    <xf numFmtId="0" fontId="74" fillId="0" borderId="89" xfId="18" applyFont="1" applyFill="1" applyBorder="1" applyAlignment="1">
      <alignment horizontal="center" vertical="center" wrapText="1"/>
    </xf>
    <xf numFmtId="171" fontId="103" fillId="0" borderId="43" xfId="18" applyNumberFormat="1" applyFont="1" applyFill="1" applyBorder="1" applyAlignment="1">
      <alignment horizontal="right" vertical="center"/>
    </xf>
    <xf numFmtId="0" fontId="75" fillId="0" borderId="43" xfId="18" applyFont="1" applyFill="1" applyBorder="1" applyAlignment="1">
      <alignment horizontal="center" vertical="center" wrapText="1"/>
    </xf>
    <xf numFmtId="0" fontId="74" fillId="0" borderId="43" xfId="18" applyFont="1" applyFill="1" applyBorder="1" applyAlignment="1">
      <alignment horizontal="center" vertical="center" wrapText="1"/>
    </xf>
    <xf numFmtId="171" fontId="72" fillId="0" borderId="43" xfId="18" applyNumberFormat="1" applyFont="1" applyFill="1" applyBorder="1" applyAlignment="1">
      <alignment horizontal="right" vertical="center"/>
    </xf>
    <xf numFmtId="0" fontId="75" fillId="0" borderId="66" xfId="18" applyFont="1" applyFill="1" applyBorder="1" applyAlignment="1">
      <alignment horizontal="center" vertical="center" wrapText="1"/>
    </xf>
    <xf numFmtId="171" fontId="103" fillId="0" borderId="102" xfId="18" applyNumberFormat="1" applyFont="1" applyFill="1" applyBorder="1" applyAlignment="1">
      <alignment horizontal="right" vertical="center"/>
    </xf>
    <xf numFmtId="49" fontId="73" fillId="0" borderId="71" xfId="18" applyNumberFormat="1" applyFont="1" applyFill="1" applyBorder="1" applyAlignment="1">
      <alignment horizontal="center" vertical="top"/>
    </xf>
    <xf numFmtId="49" fontId="74" fillId="0" borderId="71" xfId="18" applyNumberFormat="1" applyFont="1" applyFill="1" applyBorder="1" applyAlignment="1">
      <alignment horizontal="center" vertical="top"/>
    </xf>
    <xf numFmtId="171" fontId="72" fillId="0" borderId="99" xfId="18" applyNumberFormat="1" applyFont="1" applyFill="1" applyBorder="1" applyAlignment="1">
      <alignment horizontal="right" vertical="center"/>
    </xf>
    <xf numFmtId="0" fontId="30" fillId="0" borderId="97" xfId="8" applyFont="1" applyBorder="1" applyAlignment="1">
      <alignment horizontal="center" vertical="top"/>
    </xf>
    <xf numFmtId="0" fontId="27" fillId="0" borderId="0" xfId="8" applyFill="1" applyAlignment="1">
      <alignment vertical="center"/>
    </xf>
    <xf numFmtId="0" fontId="27" fillId="0" borderId="0" xfId="8" applyFill="1" applyBorder="1" applyAlignment="1">
      <alignment vertical="center"/>
    </xf>
    <xf numFmtId="0" fontId="57" fillId="0" borderId="0" xfId="8" applyFont="1" applyFill="1" applyBorder="1" applyAlignment="1">
      <alignment vertical="center"/>
    </xf>
    <xf numFmtId="0" fontId="63" fillId="0" borderId="92" xfId="8" applyFont="1" applyFill="1" applyBorder="1" applyAlignment="1">
      <alignment horizontal="left" vertical="center"/>
    </xf>
    <xf numFmtId="0" fontId="60" fillId="0" borderId="95" xfId="8" applyFont="1" applyFill="1" applyBorder="1" applyAlignment="1">
      <alignment horizontal="left"/>
    </xf>
    <xf numFmtId="0" fontId="60" fillId="0" borderId="104" xfId="8" applyFont="1" applyFill="1" applyBorder="1" applyAlignment="1">
      <alignment horizontal="left" vertical="center"/>
    </xf>
    <xf numFmtId="0" fontId="74" fillId="0" borderId="84" xfId="18" applyFont="1" applyFill="1" applyBorder="1" applyAlignment="1">
      <alignment horizontal="center" vertical="center" wrapText="1"/>
    </xf>
    <xf numFmtId="0" fontId="74" fillId="0" borderId="99" xfId="18" applyFont="1" applyFill="1" applyBorder="1" applyAlignment="1">
      <alignment horizontal="center" vertical="center" wrapText="1"/>
    </xf>
    <xf numFmtId="0" fontId="74" fillId="0" borderId="85" xfId="18" applyFont="1" applyFill="1" applyBorder="1" applyAlignment="1">
      <alignment horizontal="center" vertical="center" wrapText="1"/>
    </xf>
    <xf numFmtId="171" fontId="72" fillId="0" borderId="89" xfId="18" applyNumberFormat="1" applyFont="1" applyFill="1" applyBorder="1" applyAlignment="1">
      <alignment horizontal="right" vertical="center"/>
    </xf>
    <xf numFmtId="0" fontId="74" fillId="0" borderId="89" xfId="18" applyFont="1" applyFill="1" applyBorder="1" applyAlignment="1">
      <alignment horizontal="center" vertical="center" wrapText="1"/>
    </xf>
    <xf numFmtId="171" fontId="103" fillId="0" borderId="89" xfId="18" applyNumberFormat="1" applyFont="1" applyFill="1" applyBorder="1" applyAlignment="1">
      <alignment horizontal="right" vertical="center"/>
    </xf>
    <xf numFmtId="171" fontId="103" fillId="0" borderId="102" xfId="18" applyNumberFormat="1" applyFont="1" applyFill="1" applyBorder="1" applyAlignment="1">
      <alignment horizontal="right" vertical="center"/>
    </xf>
    <xf numFmtId="0" fontId="73" fillId="0" borderId="66" xfId="18" applyFont="1" applyFill="1" applyBorder="1" applyAlignment="1">
      <alignment horizontal="right" vertical="top" wrapText="1"/>
    </xf>
    <xf numFmtId="0" fontId="73" fillId="0" borderId="115" xfId="18" applyFont="1" applyFill="1" applyBorder="1" applyAlignment="1">
      <alignment horizontal="left" vertical="top" wrapText="1"/>
    </xf>
    <xf numFmtId="0" fontId="73" fillId="0" borderId="84" xfId="18" applyFont="1" applyFill="1" applyBorder="1" applyAlignment="1">
      <alignment horizontal="left" vertical="top" wrapText="1"/>
    </xf>
    <xf numFmtId="49" fontId="73" fillId="0" borderId="71" xfId="18" applyNumberFormat="1" applyFont="1" applyFill="1" applyBorder="1" applyAlignment="1">
      <alignment horizontal="center" vertical="top"/>
    </xf>
    <xf numFmtId="171" fontId="72" fillId="0" borderId="43" xfId="18" applyNumberFormat="1" applyFont="1" applyFill="1" applyBorder="1" applyAlignment="1">
      <alignment horizontal="right" vertical="center"/>
    </xf>
    <xf numFmtId="171" fontId="72" fillId="0" borderId="88" xfId="18" applyNumberFormat="1" applyFont="1" applyFill="1" applyBorder="1" applyAlignment="1">
      <alignment horizontal="right" vertical="center"/>
    </xf>
    <xf numFmtId="0" fontId="74" fillId="0" borderId="66" xfId="18" applyFont="1" applyFill="1" applyBorder="1" applyAlignment="1">
      <alignment horizontal="right" vertical="top" wrapText="1"/>
    </xf>
    <xf numFmtId="0" fontId="74" fillId="0" borderId="115" xfId="18" applyFont="1" applyFill="1" applyBorder="1" applyAlignment="1">
      <alignment horizontal="left" vertical="top" wrapText="1"/>
    </xf>
    <xf numFmtId="0" fontId="74" fillId="0" borderId="84" xfId="18" applyFont="1" applyFill="1" applyBorder="1" applyAlignment="1">
      <alignment horizontal="left" vertical="top" wrapText="1"/>
    </xf>
    <xf numFmtId="49" fontId="74" fillId="0" borderId="71" xfId="18" applyNumberFormat="1" applyFont="1" applyFill="1" applyBorder="1" applyAlignment="1">
      <alignment horizontal="center" vertical="top"/>
    </xf>
    <xf numFmtId="171" fontId="103" fillId="0" borderId="43" xfId="18" applyNumberFormat="1" applyFont="1" applyFill="1" applyBorder="1" applyAlignment="1">
      <alignment horizontal="right" vertical="center"/>
    </xf>
    <xf numFmtId="171" fontId="103" fillId="0" borderId="88" xfId="18" applyNumberFormat="1" applyFont="1" applyFill="1" applyBorder="1" applyAlignment="1">
      <alignment horizontal="right" vertical="center"/>
    </xf>
    <xf numFmtId="171" fontId="72" fillId="0" borderId="99" xfId="18" applyNumberFormat="1" applyFont="1" applyFill="1" applyBorder="1" applyAlignment="1">
      <alignment horizontal="right" vertical="center"/>
    </xf>
    <xf numFmtId="0" fontId="75" fillId="0" borderId="66" xfId="18" applyFont="1" applyFill="1" applyBorder="1" applyAlignment="1">
      <alignment horizontal="center" vertical="center" wrapText="1"/>
    </xf>
    <xf numFmtId="0" fontId="75" fillId="0" borderId="43" xfId="18" applyFont="1" applyFill="1" applyBorder="1" applyAlignment="1">
      <alignment horizontal="center" vertical="center" wrapText="1"/>
    </xf>
    <xf numFmtId="0" fontId="74" fillId="0" borderId="75" xfId="18" applyFont="1" applyFill="1" applyBorder="1" applyAlignment="1">
      <alignment horizontal="center" vertical="center" wrapText="1"/>
    </xf>
    <xf numFmtId="0" fontId="74" fillId="0" borderId="70" xfId="18" applyFont="1" applyFill="1" applyBorder="1" applyAlignment="1">
      <alignment horizontal="right" vertical="top" wrapText="1"/>
    </xf>
    <xf numFmtId="0" fontId="74" fillId="0" borderId="85" xfId="18" applyFont="1" applyFill="1" applyBorder="1" applyAlignment="1">
      <alignment horizontal="left" vertical="top" wrapText="1"/>
    </xf>
    <xf numFmtId="0" fontId="27" fillId="0" borderId="0" xfId="8" applyFill="1" applyBorder="1" applyAlignment="1">
      <alignment vertical="center"/>
    </xf>
    <xf numFmtId="0" fontId="57" fillId="0" borderId="90" xfId="8" applyFont="1" applyFill="1" applyBorder="1" applyAlignment="1">
      <alignment vertical="center"/>
    </xf>
    <xf numFmtId="0" fontId="72" fillId="0" borderId="87" xfId="8" applyFont="1" applyFill="1" applyBorder="1" applyAlignment="1">
      <alignment horizontal="left" vertical="center"/>
    </xf>
    <xf numFmtId="0" fontId="27" fillId="0" borderId="91" xfId="8" applyFill="1" applyBorder="1" applyAlignment="1">
      <alignment vertical="center"/>
    </xf>
    <xf numFmtId="0" fontId="74" fillId="0" borderId="104" xfId="18" applyFont="1" applyFill="1" applyBorder="1" applyAlignment="1">
      <alignment horizontal="center" vertical="center" wrapText="1"/>
    </xf>
    <xf numFmtId="0" fontId="27" fillId="7" borderId="0" xfId="8" applyFill="1" applyAlignment="1">
      <alignment vertical="center"/>
    </xf>
    <xf numFmtId="0" fontId="60" fillId="7" borderId="0" xfId="8" applyFont="1" applyFill="1" applyBorder="1" applyAlignment="1">
      <alignment horizontal="left"/>
    </xf>
    <xf numFmtId="0" fontId="60" fillId="7" borderId="93" xfId="8" applyFont="1" applyFill="1" applyBorder="1" applyAlignment="1">
      <alignment horizontal="left" vertical="center"/>
    </xf>
    <xf numFmtId="0" fontId="63" fillId="7" borderId="93" xfId="8" applyFont="1" applyFill="1" applyBorder="1" applyAlignment="1">
      <alignment horizontal="left" vertical="center"/>
    </xf>
    <xf numFmtId="0" fontId="64" fillId="7" borderId="93" xfId="8" applyFont="1" applyFill="1" applyBorder="1" applyAlignment="1">
      <alignment horizontal="left" vertical="center"/>
    </xf>
    <xf numFmtId="0" fontId="63" fillId="7" borderId="94" xfId="8" applyFont="1" applyFill="1" applyBorder="1" applyAlignment="1">
      <alignment horizontal="left" vertical="center"/>
    </xf>
    <xf numFmtId="0" fontId="60" fillId="7" borderId="92" xfId="8" applyFont="1" applyFill="1" applyBorder="1" applyAlignment="1">
      <alignment horizontal="left" vertical="center"/>
    </xf>
    <xf numFmtId="0" fontId="64" fillId="7" borderId="0" xfId="8" applyFont="1" applyFill="1" applyBorder="1" applyAlignment="1">
      <alignment horizontal="left"/>
    </xf>
    <xf numFmtId="0" fontId="63" fillId="7" borderId="0" xfId="8" applyFont="1" applyFill="1" applyBorder="1" applyAlignment="1">
      <alignment horizontal="left" vertical="center"/>
    </xf>
    <xf numFmtId="0" fontId="64" fillId="7" borderId="0" xfId="8" applyFont="1" applyFill="1" applyBorder="1" applyAlignment="1">
      <alignment horizontal="left" vertical="center"/>
    </xf>
    <xf numFmtId="0" fontId="66" fillId="7" borderId="0" xfId="8" applyFont="1" applyFill="1" applyBorder="1" applyAlignment="1">
      <alignment horizontal="center" vertical="center"/>
    </xf>
    <xf numFmtId="0" fontId="90" fillId="7" borderId="97" xfId="8" applyFont="1" applyFill="1" applyBorder="1" applyAlignment="1">
      <alignment horizontal="left"/>
    </xf>
    <xf numFmtId="0" fontId="63" fillId="7" borderId="97" xfId="8" applyFont="1" applyFill="1" applyBorder="1" applyAlignment="1">
      <alignment horizontal="left" vertical="center"/>
    </xf>
    <xf numFmtId="0" fontId="64" fillId="7" borderId="97" xfId="8" applyFont="1" applyFill="1" applyBorder="1" applyAlignment="1">
      <alignment horizontal="left" vertical="center"/>
    </xf>
    <xf numFmtId="0" fontId="60" fillId="7" borderId="95" xfId="8" applyFont="1" applyFill="1" applyBorder="1" applyAlignment="1">
      <alignment vertical="center"/>
    </xf>
    <xf numFmtId="0" fontId="64" fillId="7" borderId="0" xfId="8" applyFont="1" applyFill="1" applyBorder="1" applyAlignment="1">
      <alignment horizontal="center" vertical="center"/>
    </xf>
    <xf numFmtId="0" fontId="70" fillId="0" borderId="95" xfId="8" applyFont="1" applyFill="1" applyBorder="1" applyAlignment="1">
      <alignment horizontal="left" vertical="center"/>
    </xf>
    <xf numFmtId="0" fontId="30" fillId="0" borderId="97" xfId="8" applyFont="1" applyFill="1" applyBorder="1" applyAlignment="1">
      <alignment horizontal="center" vertical="top"/>
    </xf>
    <xf numFmtId="0" fontId="24" fillId="7" borderId="65" xfId="8" applyFont="1" applyFill="1" applyBorder="1" applyAlignment="1" applyProtection="1">
      <alignment horizontal="center" wrapText="1"/>
      <protection locked="0"/>
    </xf>
    <xf numFmtId="0" fontId="27" fillId="0" borderId="90" xfId="8" applyFill="1" applyBorder="1" applyAlignment="1">
      <alignment vertical="center"/>
    </xf>
    <xf numFmtId="0" fontId="57" fillId="0" borderId="29" xfId="8" applyFont="1" applyFill="1" applyBorder="1" applyAlignment="1">
      <alignment horizontal="left" vertical="center"/>
    </xf>
    <xf numFmtId="0" fontId="64" fillId="0" borderId="95" xfId="8" applyFont="1" applyFill="1" applyBorder="1" applyAlignment="1">
      <alignment horizontal="left" vertical="center"/>
    </xf>
    <xf numFmtId="0" fontId="60" fillId="0" borderId="91" xfId="8" applyFont="1" applyFill="1" applyBorder="1" applyAlignment="1">
      <alignment horizontal="left" vertical="center"/>
    </xf>
    <xf numFmtId="0" fontId="64" fillId="0" borderId="91" xfId="8" applyFont="1" applyFill="1" applyBorder="1" applyAlignment="1">
      <alignment horizontal="left" vertical="center"/>
    </xf>
    <xf numFmtId="0" fontId="57" fillId="7" borderId="0" xfId="8" applyFont="1" applyFill="1" applyBorder="1" applyAlignment="1">
      <alignment vertical="center"/>
    </xf>
    <xf numFmtId="0" fontId="27" fillId="7" borderId="0" xfId="8" applyFill="1" applyBorder="1" applyAlignment="1">
      <alignment vertical="center"/>
    </xf>
    <xf numFmtId="0" fontId="73" fillId="0" borderId="106" xfId="18" applyFont="1" applyFill="1" applyBorder="1" applyAlignment="1">
      <alignment horizontal="left" vertical="top" wrapText="1"/>
    </xf>
    <xf numFmtId="171" fontId="72" fillId="0" borderId="109" xfId="18" applyNumberFormat="1" applyFont="1" applyFill="1" applyBorder="1" applyAlignment="1">
      <alignment horizontal="right" vertical="center"/>
    </xf>
    <xf numFmtId="0" fontId="72" fillId="0" borderId="67" xfId="18" applyFont="1" applyFill="1" applyBorder="1" applyAlignment="1">
      <alignment horizontal="right" vertical="center" wrapText="1"/>
    </xf>
    <xf numFmtId="171" fontId="72" fillId="0" borderId="73" xfId="18" applyNumberFormat="1" applyFont="1" applyFill="1" applyBorder="1" applyAlignment="1">
      <alignment horizontal="right" vertical="center"/>
    </xf>
    <xf numFmtId="0" fontId="74" fillId="0" borderId="106" xfId="18" applyFont="1" applyFill="1" applyBorder="1" applyAlignment="1">
      <alignment horizontal="left" vertical="top" wrapText="1"/>
    </xf>
    <xf numFmtId="0" fontId="56" fillId="0" borderId="0" xfId="18" quotePrefix="1" applyFont="1" applyFill="1" applyBorder="1" applyAlignment="1">
      <alignment horizontal="left" vertical="center"/>
    </xf>
    <xf numFmtId="0" fontId="74" fillId="0" borderId="93" xfId="18" applyFont="1" applyFill="1" applyBorder="1" applyAlignment="1">
      <alignment horizontal="center" vertical="center" wrapText="1"/>
    </xf>
    <xf numFmtId="0" fontId="74" fillId="0" borderId="103" xfId="18" applyFont="1" applyFill="1" applyBorder="1" applyAlignment="1">
      <alignment horizontal="center" vertical="center" wrapText="1"/>
    </xf>
    <xf numFmtId="0" fontId="73" fillId="0" borderId="105" xfId="18" applyFont="1" applyFill="1" applyBorder="1" applyAlignment="1">
      <alignment horizontal="left" vertical="top" wrapText="1"/>
    </xf>
    <xf numFmtId="0" fontId="73" fillId="0" borderId="119" xfId="18" applyFont="1" applyFill="1" applyBorder="1" applyAlignment="1">
      <alignment horizontal="right" vertical="top" wrapText="1"/>
    </xf>
    <xf numFmtId="0" fontId="75" fillId="0" borderId="63" xfId="18" applyFont="1" applyFill="1" applyBorder="1" applyAlignment="1">
      <alignment horizontal="center" wrapText="1"/>
    </xf>
    <xf numFmtId="0" fontId="75" fillId="0" borderId="111" xfId="18" applyFont="1" applyFill="1" applyBorder="1" applyAlignment="1">
      <alignment horizontal="center" wrapText="1"/>
    </xf>
    <xf numFmtId="0" fontId="75" fillId="0" borderId="112" xfId="18" applyFont="1" applyFill="1" applyBorder="1" applyAlignment="1">
      <alignment horizontal="center" wrapText="1"/>
    </xf>
    <xf numFmtId="0" fontId="74" fillId="0" borderId="72" xfId="18" applyFont="1" applyFill="1" applyBorder="1" applyAlignment="1">
      <alignment horizontal="left" vertical="top"/>
    </xf>
    <xf numFmtId="49" fontId="73" fillId="0" borderId="108" xfId="18" applyNumberFormat="1" applyFont="1" applyFill="1" applyBorder="1" applyAlignment="1">
      <alignment horizontal="center" vertical="top"/>
    </xf>
    <xf numFmtId="49" fontId="73" fillId="0" borderId="135" xfId="18" applyNumberFormat="1" applyFont="1" applyFill="1" applyBorder="1" applyAlignment="1">
      <alignment horizontal="center" vertical="top"/>
    </xf>
    <xf numFmtId="0" fontId="73" fillId="0" borderId="72" xfId="18" applyFont="1" applyFill="1" applyBorder="1" applyAlignment="1">
      <alignment horizontal="left" vertical="top" wrapText="1"/>
    </xf>
    <xf numFmtId="0" fontId="73" fillId="0" borderId="72" xfId="18" applyFont="1" applyFill="1" applyBorder="1" applyAlignment="1">
      <alignment horizontal="right" vertical="top" wrapText="1"/>
    </xf>
    <xf numFmtId="0" fontId="74" fillId="0" borderId="72" xfId="18" applyFont="1" applyFill="1" applyBorder="1" applyAlignment="1">
      <alignment horizontal="left" vertical="top" wrapText="1"/>
    </xf>
    <xf numFmtId="49" fontId="74" fillId="0" borderId="73" xfId="18" applyNumberFormat="1" applyFont="1" applyFill="1" applyBorder="1" applyAlignment="1">
      <alignment horizontal="center" vertical="top"/>
    </xf>
    <xf numFmtId="171" fontId="103" fillId="0" borderId="73" xfId="18" applyNumberFormat="1" applyFont="1" applyFill="1" applyBorder="1" applyAlignment="1">
      <alignment horizontal="right" vertical="center"/>
    </xf>
    <xf numFmtId="171" fontId="103" fillId="0" borderId="74" xfId="18" applyNumberFormat="1" applyFont="1" applyFill="1" applyBorder="1" applyAlignment="1">
      <alignment horizontal="right" vertical="center"/>
    </xf>
    <xf numFmtId="171" fontId="72" fillId="0" borderId="109" xfId="18" applyNumberFormat="1" applyFont="1" applyFill="1" applyBorder="1" applyAlignment="1">
      <alignment horizontal="right" vertical="center"/>
    </xf>
    <xf numFmtId="171" fontId="72" fillId="0" borderId="89" xfId="18" applyNumberFormat="1" applyFont="1" applyFill="1" applyBorder="1" applyAlignment="1">
      <alignment horizontal="right" vertical="center"/>
    </xf>
    <xf numFmtId="171" fontId="72" fillId="0" borderId="102" xfId="18" applyNumberFormat="1" applyFont="1" applyFill="1" applyBorder="1" applyAlignment="1">
      <alignment horizontal="right" vertical="center"/>
    </xf>
    <xf numFmtId="0" fontId="74" fillId="0" borderId="104" xfId="18" applyFont="1" applyFill="1" applyBorder="1" applyAlignment="1">
      <alignment horizontal="center" vertical="center" wrapText="1"/>
    </xf>
    <xf numFmtId="0" fontId="74" fillId="0" borderId="84" xfId="18" applyFont="1" applyFill="1" applyBorder="1" applyAlignment="1">
      <alignment horizontal="center" vertical="center" wrapText="1"/>
    </xf>
    <xf numFmtId="0" fontId="74" fillId="0" borderId="66" xfId="18" applyFont="1" applyFill="1" applyBorder="1" applyAlignment="1">
      <alignment horizontal="right" vertical="top" wrapText="1"/>
    </xf>
    <xf numFmtId="171" fontId="72" fillId="0" borderId="43" xfId="18" applyNumberFormat="1" applyFont="1" applyFill="1" applyBorder="1" applyAlignment="1">
      <alignment horizontal="right" vertical="center"/>
    </xf>
    <xf numFmtId="171" fontId="72" fillId="0" borderId="88" xfId="18" applyNumberFormat="1" applyFont="1" applyFill="1" applyBorder="1" applyAlignment="1">
      <alignment horizontal="right" vertical="center"/>
    </xf>
    <xf numFmtId="171" fontId="72" fillId="0" borderId="73" xfId="18" applyNumberFormat="1" applyFont="1" applyFill="1" applyBorder="1" applyAlignment="1">
      <alignment horizontal="right" vertical="center"/>
    </xf>
    <xf numFmtId="171" fontId="103" fillId="0" borderId="43" xfId="18" applyNumberFormat="1" applyFont="1" applyFill="1" applyBorder="1" applyAlignment="1">
      <alignment horizontal="right" vertical="center"/>
    </xf>
    <xf numFmtId="171" fontId="103" fillId="0" borderId="88" xfId="18" applyNumberFormat="1" applyFont="1" applyFill="1" applyBorder="1" applyAlignment="1">
      <alignment horizontal="right" vertical="center"/>
    </xf>
    <xf numFmtId="171" fontId="103" fillId="0" borderId="89" xfId="18" applyNumberFormat="1" applyFont="1" applyFill="1" applyBorder="1" applyAlignment="1">
      <alignment horizontal="right" vertical="center"/>
    </xf>
    <xf numFmtId="171" fontId="103" fillId="0" borderId="102" xfId="18" applyNumberFormat="1" applyFont="1" applyFill="1" applyBorder="1" applyAlignment="1">
      <alignment horizontal="right" vertical="center"/>
    </xf>
    <xf numFmtId="0" fontId="74" fillId="0" borderId="43" xfId="18" applyFont="1" applyFill="1" applyBorder="1" applyAlignment="1">
      <alignment horizontal="left" vertical="top" wrapText="1"/>
    </xf>
    <xf numFmtId="0" fontId="73" fillId="0" borderId="66" xfId="18" applyFont="1" applyFill="1" applyBorder="1" applyAlignment="1">
      <alignment horizontal="right" vertical="top" wrapText="1"/>
    </xf>
    <xf numFmtId="0" fontId="73" fillId="0" borderId="115" xfId="18" applyFont="1" applyFill="1" applyBorder="1" applyAlignment="1">
      <alignment horizontal="left" vertical="top" wrapText="1"/>
    </xf>
    <xf numFmtId="0" fontId="73" fillId="0" borderId="84" xfId="18" applyFont="1" applyFill="1" applyBorder="1" applyAlignment="1">
      <alignment horizontal="left" vertical="top" wrapText="1"/>
    </xf>
    <xf numFmtId="49" fontId="73" fillId="0" borderId="71" xfId="18" applyNumberFormat="1" applyFont="1" applyFill="1" applyBorder="1" applyAlignment="1">
      <alignment horizontal="center" vertical="top"/>
    </xf>
    <xf numFmtId="0" fontId="74" fillId="0" borderId="115" xfId="18" applyFont="1" applyFill="1" applyBorder="1" applyAlignment="1">
      <alignment horizontal="left" vertical="top" wrapText="1"/>
    </xf>
    <xf numFmtId="0" fontId="74" fillId="0" borderId="84" xfId="18" applyFont="1" applyFill="1" applyBorder="1" applyAlignment="1">
      <alignment horizontal="left" vertical="top" wrapText="1"/>
    </xf>
    <xf numFmtId="49" fontId="74" fillId="0" borderId="71" xfId="18" applyNumberFormat="1" applyFont="1" applyFill="1" applyBorder="1" applyAlignment="1">
      <alignment horizontal="center" vertical="top"/>
    </xf>
    <xf numFmtId="171" fontId="72" fillId="0" borderId="99" xfId="18" applyNumberFormat="1" applyFont="1" applyFill="1" applyBorder="1" applyAlignment="1">
      <alignment horizontal="right" vertical="center"/>
    </xf>
    <xf numFmtId="171" fontId="103" fillId="0" borderId="116" xfId="18" applyNumberFormat="1" applyFont="1" applyFill="1" applyBorder="1" applyAlignment="1">
      <alignment horizontal="right" vertical="center"/>
    </xf>
    <xf numFmtId="0" fontId="73" fillId="0" borderId="72" xfId="18" applyFont="1" applyFill="1" applyBorder="1" applyAlignment="1">
      <alignment horizontal="right" vertical="top" wrapText="1"/>
    </xf>
    <xf numFmtId="0" fontId="73" fillId="0" borderId="106" xfId="18" applyFont="1" applyFill="1" applyBorder="1" applyAlignment="1">
      <alignment horizontal="left" vertical="top" wrapText="1"/>
    </xf>
    <xf numFmtId="0" fontId="74" fillId="0" borderId="118" xfId="18" applyFont="1" applyFill="1" applyBorder="1" applyAlignment="1">
      <alignment horizontal="center" vertical="center" wrapText="1"/>
    </xf>
    <xf numFmtId="0" fontId="73" fillId="4" borderId="115" xfId="18" applyFont="1" applyFill="1" applyBorder="1" applyAlignment="1">
      <alignment horizontal="left" vertical="top" wrapText="1"/>
    </xf>
    <xf numFmtId="0" fontId="73" fillId="4" borderId="84" xfId="18" applyFont="1" applyFill="1" applyBorder="1" applyAlignment="1">
      <alignment horizontal="left" vertical="top" wrapText="1"/>
    </xf>
    <xf numFmtId="0" fontId="74" fillId="0" borderId="70" xfId="18" applyFont="1" applyFill="1" applyBorder="1" applyAlignment="1">
      <alignment horizontal="right" vertical="top" wrapText="1"/>
    </xf>
    <xf numFmtId="0" fontId="73" fillId="0" borderId="70" xfId="18" applyFont="1" applyFill="1" applyBorder="1" applyAlignment="1">
      <alignment horizontal="left" vertical="top" wrapText="1"/>
    </xf>
    <xf numFmtId="0" fontId="74" fillId="0" borderId="70" xfId="18" applyFont="1" applyFill="1" applyBorder="1" applyAlignment="1">
      <alignment horizontal="left" vertical="top" wrapText="1"/>
    </xf>
    <xf numFmtId="0" fontId="74" fillId="0" borderId="66" xfId="18" applyFont="1" applyFill="1" applyBorder="1" applyAlignment="1">
      <alignment horizontal="left" vertical="top" wrapText="1"/>
    </xf>
    <xf numFmtId="0" fontId="74" fillId="0" borderId="43"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5" fillId="0" borderId="43" xfId="8" applyFont="1" applyFill="1" applyBorder="1" applyAlignment="1">
      <alignment horizontal="center" vertical="center" wrapText="1"/>
    </xf>
    <xf numFmtId="0" fontId="74" fillId="0" borderId="89" xfId="18" applyFont="1" applyFill="1" applyBorder="1" applyAlignment="1">
      <alignment horizontal="center" vertical="center" wrapText="1"/>
    </xf>
    <xf numFmtId="0" fontId="72" fillId="0" borderId="87" xfId="8" applyFont="1" applyFill="1" applyBorder="1" applyAlignment="1">
      <alignment horizontal="left" vertical="center"/>
    </xf>
    <xf numFmtId="0" fontId="74" fillId="0" borderId="85" xfId="18" applyFont="1" applyFill="1" applyBorder="1" applyAlignment="1">
      <alignment horizontal="left" vertical="top" wrapText="1"/>
    </xf>
    <xf numFmtId="0" fontId="73" fillId="0" borderId="104" xfId="18" applyFont="1" applyFill="1" applyBorder="1" applyAlignment="1">
      <alignment horizontal="left" vertical="top" wrapText="1"/>
    </xf>
    <xf numFmtId="171" fontId="72" fillId="0" borderId="113" xfId="18" applyNumberFormat="1" applyFont="1" applyFill="1" applyBorder="1" applyAlignment="1">
      <alignment horizontal="right" vertical="center"/>
    </xf>
    <xf numFmtId="0" fontId="72" fillId="0" borderId="65" xfId="18" applyFont="1" applyFill="1" applyBorder="1" applyAlignment="1">
      <alignment horizontal="right" vertical="center" wrapText="1"/>
    </xf>
    <xf numFmtId="171" fontId="103" fillId="0" borderId="13" xfId="18" applyNumberFormat="1" applyFont="1" applyFill="1" applyBorder="1" applyAlignment="1">
      <alignment horizontal="right" vertical="center"/>
    </xf>
    <xf numFmtId="0" fontId="103" fillId="0" borderId="54" xfId="18" applyFont="1" applyFill="1" applyBorder="1" applyAlignment="1">
      <alignment horizontal="right" vertical="center" wrapText="1"/>
    </xf>
    <xf numFmtId="0" fontId="72" fillId="0" borderId="54" xfId="18" applyFont="1" applyFill="1" applyBorder="1" applyAlignment="1">
      <alignment horizontal="right" vertical="center" wrapText="1"/>
    </xf>
    <xf numFmtId="0" fontId="24" fillId="11" borderId="62" xfId="0" applyFont="1" applyFill="1" applyBorder="1" applyAlignment="1" applyProtection="1">
      <alignment horizontal="left" vertical="top" wrapText="1"/>
    </xf>
    <xf numFmtId="0" fontId="105" fillId="0" borderId="0" xfId="0" applyFont="1" applyAlignment="1">
      <alignment vertical="center"/>
    </xf>
    <xf numFmtId="0" fontId="34" fillId="0" borderId="0" xfId="0" applyFont="1" applyAlignment="1">
      <alignment vertical="center"/>
    </xf>
    <xf numFmtId="0" fontId="106" fillId="0" borderId="0" xfId="0" applyFont="1" applyAlignment="1">
      <alignment vertical="center"/>
    </xf>
    <xf numFmtId="0" fontId="73" fillId="0" borderId="0" xfId="18" applyFont="1" applyFill="1" applyAlignment="1">
      <alignment horizontal="left" vertical="center" wrapText="1"/>
    </xf>
    <xf numFmtId="0" fontId="0" fillId="0" borderId="0" xfId="0" applyAlignment="1">
      <alignment horizontal="justify" vertical="top" wrapText="1"/>
    </xf>
    <xf numFmtId="0" fontId="19" fillId="0" borderId="1"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2" fillId="0" borderId="0" xfId="0" applyFont="1" applyAlignment="1">
      <alignment horizontal="justify" vertical="top" wrapText="1"/>
    </xf>
    <xf numFmtId="0" fontId="7" fillId="0" borderId="0" xfId="0" applyFont="1" applyAlignment="1">
      <alignment horizontal="justify" vertical="top" wrapText="1"/>
    </xf>
    <xf numFmtId="0" fontId="9" fillId="0" borderId="0" xfId="0" applyFont="1" applyAlignment="1">
      <alignment horizontal="left" vertical="top"/>
    </xf>
    <xf numFmtId="0" fontId="24" fillId="7" borderId="17" xfId="8" applyFont="1" applyFill="1" applyBorder="1" applyAlignment="1">
      <alignment wrapText="1"/>
    </xf>
    <xf numFmtId="0" fontId="1" fillId="0" borderId="0" xfId="0" applyFont="1"/>
    <xf numFmtId="0" fontId="1" fillId="0" borderId="0" xfId="0" applyFont="1" applyAlignment="1">
      <alignment horizontal="center"/>
    </xf>
    <xf numFmtId="0" fontId="1" fillId="0" borderId="0" xfId="0" applyFont="1" applyAlignment="1"/>
    <xf numFmtId="0" fontId="20" fillId="0" borderId="0" xfId="0" applyFont="1" applyBorder="1" applyAlignment="1">
      <alignment horizontal="center"/>
    </xf>
    <xf numFmtId="0" fontId="8" fillId="0" borderId="0" xfId="0" applyFont="1" applyBorder="1" applyAlignment="1">
      <alignment horizontal="justify" vertical="top" wrapText="1"/>
    </xf>
    <xf numFmtId="0" fontId="12" fillId="0" borderId="0" xfId="0" applyFont="1" applyBorder="1" applyAlignment="1">
      <alignment horizontal="justify" vertical="top" wrapText="1"/>
    </xf>
    <xf numFmtId="0" fontId="20" fillId="0" borderId="0" xfId="0" applyFont="1" applyBorder="1" applyAlignment="1">
      <alignment horizontal="left" vertical="center" wrapText="1"/>
    </xf>
    <xf numFmtId="3" fontId="1" fillId="0" borderId="0" xfId="0" applyNumberFormat="1" applyFont="1" applyBorder="1" applyAlignment="1">
      <alignment horizontal="center" vertical="center"/>
    </xf>
    <xf numFmtId="3" fontId="20" fillId="0" borderId="0" xfId="0" applyNumberFormat="1" applyFont="1" applyBorder="1" applyAlignment="1">
      <alignment horizontal="center" vertical="center"/>
    </xf>
    <xf numFmtId="0" fontId="7"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3" fontId="1" fillId="0" borderId="115" xfId="0" applyNumberFormat="1" applyFont="1" applyBorder="1"/>
    <xf numFmtId="3" fontId="1" fillId="0" borderId="118" xfId="0" applyNumberFormat="1" applyFont="1" applyBorder="1"/>
    <xf numFmtId="3" fontId="1" fillId="0" borderId="75" xfId="0" applyNumberFormat="1" applyFont="1" applyBorder="1"/>
    <xf numFmtId="3" fontId="1" fillId="0" borderId="77" xfId="0" applyNumberFormat="1" applyFont="1" applyBorder="1"/>
    <xf numFmtId="0" fontId="1" fillId="0" borderId="75" xfId="0" applyFont="1" applyBorder="1"/>
    <xf numFmtId="3" fontId="1" fillId="0" borderId="75" xfId="0" applyNumberFormat="1" applyFont="1" applyFill="1" applyBorder="1"/>
    <xf numFmtId="3" fontId="1" fillId="0" borderId="77" xfId="0" applyNumberFormat="1" applyFont="1" applyFill="1" applyBorder="1"/>
    <xf numFmtId="0" fontId="1" fillId="0" borderId="75" xfId="0" applyFont="1" applyFill="1" applyBorder="1"/>
    <xf numFmtId="0" fontId="1" fillId="0" borderId="77" xfId="0" applyFont="1" applyFill="1" applyBorder="1"/>
    <xf numFmtId="0" fontId="1" fillId="0" borderId="77" xfId="0" applyFont="1" applyBorder="1"/>
    <xf numFmtId="0" fontId="1" fillId="0" borderId="77" xfId="0" applyFont="1" applyBorder="1" applyAlignment="1">
      <alignment vertical="center"/>
    </xf>
    <xf numFmtId="3" fontId="1" fillId="0" borderId="85" xfId="0" applyNumberFormat="1" applyFont="1" applyBorder="1"/>
    <xf numFmtId="0" fontId="1" fillId="0" borderId="0" xfId="0" applyFont="1" applyBorder="1" applyAlignment="1">
      <alignment horizontal="center" vertical="center" wrapText="1"/>
    </xf>
    <xf numFmtId="0" fontId="1" fillId="0" borderId="115" xfId="0" applyFont="1" applyBorder="1" applyAlignment="1">
      <alignment horizontal="center"/>
    </xf>
    <xf numFmtId="0" fontId="1" fillId="0" borderId="118" xfId="0" applyFont="1" applyBorder="1" applyAlignment="1">
      <alignment horizontal="center"/>
    </xf>
    <xf numFmtId="3" fontId="1" fillId="0" borderId="84" xfId="0" applyNumberFormat="1" applyFont="1" applyBorder="1"/>
    <xf numFmtId="0" fontId="1" fillId="0" borderId="116" xfId="0" applyFont="1" applyBorder="1" applyAlignment="1">
      <alignment vertical="center"/>
    </xf>
    <xf numFmtId="0" fontId="1" fillId="0" borderId="118" xfId="0" applyFont="1" applyBorder="1" applyAlignment="1">
      <alignment vertical="center"/>
    </xf>
    <xf numFmtId="3" fontId="1" fillId="0" borderId="116" xfId="0" applyNumberFormat="1" applyFont="1" applyBorder="1" applyAlignment="1">
      <alignment vertical="center"/>
    </xf>
    <xf numFmtId="0" fontId="1" fillId="0" borderId="76" xfId="0" applyFont="1" applyBorder="1" applyAlignment="1">
      <alignment vertical="center"/>
    </xf>
    <xf numFmtId="3" fontId="1" fillId="0" borderId="76" xfId="0" applyNumberFormat="1" applyFont="1" applyBorder="1" applyAlignment="1">
      <alignment vertical="center"/>
    </xf>
    <xf numFmtId="168" fontId="58" fillId="10" borderId="43" xfId="7" applyNumberFormat="1" applyFont="1" applyFill="1" applyBorder="1" applyAlignment="1">
      <alignment horizontal="right" wrapText="1"/>
    </xf>
    <xf numFmtId="0" fontId="20" fillId="4" borderId="0" xfId="0" applyFont="1" applyFill="1"/>
    <xf numFmtId="0" fontId="54" fillId="4" borderId="0" xfId="0" applyFont="1" applyFill="1" applyAlignment="1"/>
    <xf numFmtId="0" fontId="12" fillId="4" borderId="0" xfId="0" applyFont="1" applyFill="1" applyAlignment="1">
      <alignment horizontal="justify" vertical="top" wrapText="1"/>
    </xf>
    <xf numFmtId="3" fontId="24" fillId="0" borderId="0" xfId="2" applyNumberFormat="1" applyFont="1" applyAlignment="1">
      <alignment horizontal="center"/>
    </xf>
    <xf numFmtId="0" fontId="107" fillId="4" borderId="0" xfId="0" applyFont="1" applyFill="1" applyBorder="1" applyAlignment="1">
      <alignment vertical="center"/>
    </xf>
    <xf numFmtId="0" fontId="12" fillId="4" borderId="0" xfId="0" applyFont="1" applyFill="1" applyBorder="1" applyAlignment="1">
      <alignment horizontal="justify" vertical="top" wrapText="1"/>
    </xf>
    <xf numFmtId="3" fontId="24" fillId="0" borderId="62" xfId="2" applyNumberFormat="1" applyFont="1" applyBorder="1" applyAlignment="1" applyProtection="1">
      <alignment vertical="center"/>
    </xf>
    <xf numFmtId="3" fontId="24" fillId="3" borderId="62" xfId="2" applyNumberFormat="1" applyFont="1" applyFill="1" applyBorder="1" applyAlignment="1" applyProtection="1">
      <alignment vertical="center"/>
    </xf>
    <xf numFmtId="3" fontId="25" fillId="0" borderId="62" xfId="2" applyNumberFormat="1" applyFont="1" applyBorder="1" applyAlignment="1" applyProtection="1">
      <alignment vertical="center"/>
    </xf>
    <xf numFmtId="3" fontId="24" fillId="0" borderId="62" xfId="2" applyNumberFormat="1" applyFont="1" applyFill="1" applyBorder="1" applyAlignment="1" applyProtection="1">
      <alignment vertical="center"/>
    </xf>
    <xf numFmtId="3" fontId="30" fillId="0" borderId="62" xfId="2" applyNumberFormat="1" applyFont="1" applyFill="1" applyBorder="1" applyAlignment="1" applyProtection="1">
      <alignment vertical="center"/>
    </xf>
    <xf numFmtId="3" fontId="25" fillId="2" borderId="62" xfId="2" applyNumberFormat="1" applyFont="1" applyFill="1" applyBorder="1" applyAlignment="1" applyProtection="1">
      <alignment vertical="center"/>
    </xf>
    <xf numFmtId="3" fontId="24" fillId="4" borderId="62" xfId="2" applyNumberFormat="1" applyFont="1" applyFill="1" applyBorder="1" applyAlignment="1" applyProtection="1">
      <alignment vertical="center"/>
    </xf>
    <xf numFmtId="3" fontId="30" fillId="0" borderId="62" xfId="2" applyNumberFormat="1" applyFont="1" applyBorder="1" applyAlignment="1" applyProtection="1">
      <alignment vertical="center"/>
    </xf>
    <xf numFmtId="0" fontId="24" fillId="0" borderId="0" xfId="210" applyFont="1" applyAlignment="1">
      <alignment vertical="center"/>
    </xf>
    <xf numFmtId="3" fontId="24" fillId="0" borderId="62" xfId="210" applyNumberFormat="1" applyFont="1" applyBorder="1" applyAlignment="1" applyProtection="1">
      <alignment vertical="center"/>
    </xf>
    <xf numFmtId="3" fontId="25" fillId="5" borderId="62" xfId="210" applyNumberFormat="1" applyFont="1" applyFill="1" applyBorder="1" applyAlignment="1" applyProtection="1">
      <alignment vertical="center"/>
    </xf>
    <xf numFmtId="3" fontId="24" fillId="0" borderId="62" xfId="210" applyNumberFormat="1" applyFont="1" applyFill="1" applyBorder="1" applyAlignment="1" applyProtection="1">
      <alignment vertical="center"/>
    </xf>
    <xf numFmtId="3" fontId="25" fillId="2" borderId="62" xfId="210" applyNumberFormat="1" applyFont="1" applyFill="1" applyBorder="1" applyAlignment="1" applyProtection="1">
      <alignment vertical="center"/>
    </xf>
    <xf numFmtId="3" fontId="24" fillId="4" borderId="62" xfId="210" applyNumberFormat="1" applyFont="1" applyFill="1" applyBorder="1" applyAlignment="1" applyProtection="1">
      <alignment vertical="center"/>
    </xf>
    <xf numFmtId="3" fontId="24" fillId="0" borderId="62" xfId="210" applyNumberFormat="1" applyFont="1" applyBorder="1" applyAlignment="1">
      <alignment vertical="center"/>
    </xf>
    <xf numFmtId="3" fontId="24" fillId="0" borderId="62" xfId="210" applyNumberFormat="1" applyFont="1" applyFill="1" applyBorder="1" applyAlignment="1">
      <alignment vertical="center"/>
    </xf>
    <xf numFmtId="3" fontId="28" fillId="0" borderId="0" xfId="210" applyNumberFormat="1" applyFont="1" applyFill="1" applyAlignment="1">
      <alignment vertical="center"/>
    </xf>
    <xf numFmtId="3" fontId="35" fillId="2" borderId="62" xfId="210" applyNumberFormat="1" applyFont="1" applyFill="1" applyBorder="1" applyAlignment="1">
      <alignment vertical="center"/>
    </xf>
    <xf numFmtId="3" fontId="25" fillId="2" borderId="62" xfId="210" applyNumberFormat="1" applyFont="1" applyFill="1" applyBorder="1" applyAlignment="1">
      <alignment vertical="center"/>
    </xf>
    <xf numFmtId="3" fontId="25" fillId="4" borderId="62" xfId="210" applyNumberFormat="1" applyFont="1" applyFill="1" applyBorder="1" applyAlignment="1">
      <alignment vertical="center"/>
    </xf>
    <xf numFmtId="3" fontId="28" fillId="0" borderId="62" xfId="210" applyNumberFormat="1" applyFont="1" applyFill="1" applyBorder="1" applyAlignment="1">
      <alignment vertical="center"/>
    </xf>
    <xf numFmtId="3" fontId="28" fillId="0" borderId="62" xfId="210" applyNumberFormat="1" applyFont="1" applyBorder="1" applyAlignment="1">
      <alignment vertical="center"/>
    </xf>
    <xf numFmtId="3" fontId="30" fillId="0" borderId="62" xfId="210" applyNumberFormat="1" applyFont="1" applyFill="1" applyBorder="1" applyAlignment="1">
      <alignment vertical="center"/>
    </xf>
    <xf numFmtId="3" fontId="30" fillId="0" borderId="62" xfId="210" applyNumberFormat="1" applyFont="1" applyBorder="1" applyAlignment="1">
      <alignment vertical="center"/>
    </xf>
    <xf numFmtId="3" fontId="28" fillId="0" borderId="0" xfId="210" applyNumberFormat="1" applyFont="1" applyAlignment="1">
      <alignment vertical="center"/>
    </xf>
    <xf numFmtId="1" fontId="20" fillId="0" borderId="75" xfId="0" applyNumberFormat="1" applyFont="1" applyBorder="1" applyAlignment="1">
      <alignment vertical="center"/>
    </xf>
    <xf numFmtId="168" fontId="132" fillId="10" borderId="43" xfId="7" applyNumberFormat="1" applyFont="1" applyFill="1" applyBorder="1" applyAlignment="1">
      <alignment horizontal="right"/>
    </xf>
    <xf numFmtId="0" fontId="7" fillId="0" borderId="0" xfId="0" applyFont="1" applyAlignment="1">
      <alignment horizontal="justify" vertical="top" wrapText="1"/>
    </xf>
    <xf numFmtId="0" fontId="12" fillId="0" borderId="0" xfId="0" applyFont="1" applyAlignment="1">
      <alignment horizontal="justify" vertical="top" wrapText="1"/>
    </xf>
    <xf numFmtId="0" fontId="7" fillId="0" borderId="0" xfId="0" applyFont="1" applyAlignment="1">
      <alignment horizontal="left" vertical="top" wrapText="1"/>
    </xf>
    <xf numFmtId="0" fontId="7" fillId="0" borderId="0" xfId="0" applyFont="1" applyAlignment="1">
      <alignment horizontal="left"/>
    </xf>
    <xf numFmtId="0" fontId="20" fillId="0" borderId="0" xfId="0" applyFont="1" applyAlignment="1">
      <alignment horizontal="center" vertical="center"/>
    </xf>
    <xf numFmtId="0" fontId="81" fillId="0" borderId="0" xfId="0" applyFont="1" applyAlignment="1"/>
    <xf numFmtId="0" fontId="7" fillId="0" borderId="0" xfId="0" applyFont="1" applyAlignment="1">
      <alignment horizontal="left" wrapText="1"/>
    </xf>
    <xf numFmtId="0" fontId="1" fillId="0" borderId="134" xfId="0" applyFont="1" applyBorder="1" applyAlignment="1">
      <alignment vertical="center"/>
    </xf>
    <xf numFmtId="0" fontId="81" fillId="34" borderId="0" xfId="0" applyFont="1" applyFill="1"/>
    <xf numFmtId="0" fontId="20" fillId="34" borderId="0" xfId="0" applyFont="1" applyFill="1" applyAlignment="1">
      <alignment horizontal="center"/>
    </xf>
    <xf numFmtId="0" fontId="81" fillId="4" borderId="0" xfId="0" applyFont="1" applyFill="1"/>
    <xf numFmtId="3" fontId="28" fillId="0" borderId="62" xfId="0" applyNumberFormat="1" applyFont="1" applyFill="1" applyBorder="1" applyAlignment="1">
      <alignment vertical="center"/>
    </xf>
    <xf numFmtId="168" fontId="42" fillId="5" borderId="73" xfId="7" applyNumberFormat="1" applyFont="1" applyFill="1" applyBorder="1" applyAlignment="1">
      <alignment horizontal="right" vertical="center"/>
    </xf>
    <xf numFmtId="0" fontId="7" fillId="0" borderId="0" xfId="0" applyFont="1" applyFill="1" applyAlignment="1">
      <alignment vertical="top"/>
    </xf>
    <xf numFmtId="0" fontId="12" fillId="0" borderId="0" xfId="0" applyFont="1" applyFill="1" applyAlignment="1">
      <alignment vertical="top"/>
    </xf>
    <xf numFmtId="0" fontId="7" fillId="0" borderId="0" xfId="0" applyFont="1" applyAlignment="1">
      <alignment horizontal="left" wrapText="1"/>
    </xf>
    <xf numFmtId="0" fontId="1" fillId="0" borderId="0" xfId="0" applyFont="1" applyAlignment="1">
      <alignment horizontal="center"/>
    </xf>
    <xf numFmtId="0" fontId="1" fillId="0" borderId="0" xfId="0" applyFont="1" applyAlignment="1">
      <alignment horizontal="center"/>
    </xf>
    <xf numFmtId="3" fontId="1" fillId="0" borderId="0" xfId="0" applyNumberFormat="1" applyFont="1" applyAlignment="1">
      <alignment vertical="center"/>
    </xf>
    <xf numFmtId="0" fontId="1" fillId="0" borderId="0" xfId="0" applyFont="1" applyAlignment="1">
      <alignment horizontal="center"/>
    </xf>
    <xf numFmtId="0" fontId="19" fillId="0" borderId="0" xfId="0" applyFont="1" applyFill="1" applyBorder="1" applyAlignment="1">
      <alignment horizontal="left" vertical="center"/>
    </xf>
    <xf numFmtId="3" fontId="20" fillId="0" borderId="0" xfId="0" applyNumberFormat="1" applyFont="1" applyFill="1" applyBorder="1" applyAlignment="1">
      <alignment horizontal="right" vertical="center"/>
    </xf>
    <xf numFmtId="0" fontId="7" fillId="0" borderId="0" xfId="0" applyFont="1" applyFill="1" applyBorder="1" applyAlignment="1">
      <alignment horizontal="left" vertical="center"/>
    </xf>
    <xf numFmtId="0" fontId="54" fillId="0" borderId="0" xfId="0" applyFont="1" applyFill="1" applyAlignment="1"/>
    <xf numFmtId="0" fontId="7" fillId="0" borderId="0" xfId="0" applyFont="1" applyFill="1"/>
    <xf numFmtId="0" fontId="1" fillId="0" borderId="0" xfId="0" applyFont="1" applyFill="1"/>
    <xf numFmtId="0" fontId="27" fillId="0" borderId="0" xfId="0" applyFont="1" applyFill="1" applyAlignment="1">
      <alignment horizontal="left" vertical="top"/>
    </xf>
    <xf numFmtId="3" fontId="24" fillId="0" borderId="0" xfId="2" applyNumberFormat="1" applyFont="1" applyFill="1" applyAlignment="1">
      <alignment horizontal="center"/>
    </xf>
    <xf numFmtId="0" fontId="7" fillId="0" borderId="0" xfId="0" applyFont="1" applyAlignment="1">
      <alignment horizontal="left" vertical="top"/>
    </xf>
    <xf numFmtId="0" fontId="11" fillId="0" borderId="0" xfId="0" applyFont="1" applyAlignment="1">
      <alignment horizontal="left" vertical="top"/>
    </xf>
    <xf numFmtId="0" fontId="1" fillId="0" borderId="0" xfId="0" applyFont="1" applyAlignment="1">
      <alignment horizontal="center"/>
    </xf>
    <xf numFmtId="0" fontId="7" fillId="0" borderId="0" xfId="0" applyFont="1" applyFill="1" applyAlignment="1">
      <alignment horizontal="left" vertical="top" wrapText="1"/>
    </xf>
    <xf numFmtId="0" fontId="1" fillId="0" borderId="0" xfId="0" applyFont="1" applyFill="1" applyAlignment="1">
      <alignment horizontal="center"/>
    </xf>
    <xf numFmtId="0" fontId="1" fillId="0" borderId="0" xfId="0" applyFont="1" applyBorder="1" applyAlignment="1">
      <alignment horizontal="left" vertical="center" wrapText="1"/>
    </xf>
    <xf numFmtId="3" fontId="1" fillId="0" borderId="0" xfId="0" applyNumberFormat="1" applyFont="1" applyFill="1" applyBorder="1" applyAlignment="1">
      <alignment horizontal="right" vertical="center" wrapText="1"/>
    </xf>
    <xf numFmtId="3" fontId="20" fillId="0" borderId="76" xfId="0" applyNumberFormat="1" applyFont="1" applyFill="1" applyBorder="1"/>
    <xf numFmtId="0" fontId="19"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2" fillId="0" borderId="0" xfId="0" applyFont="1" applyFill="1" applyAlignment="1">
      <alignment horizontal="justify" vertical="top" wrapText="1"/>
    </xf>
    <xf numFmtId="0" fontId="12" fillId="0" borderId="0" xfId="0" applyFont="1" applyAlignment="1">
      <alignment horizontal="justify" vertical="top" wrapText="1"/>
    </xf>
    <xf numFmtId="0" fontId="1" fillId="0" borderId="0" xfId="0" applyFont="1" applyAlignment="1">
      <alignment horizontal="center"/>
    </xf>
    <xf numFmtId="168" fontId="132" fillId="0" borderId="43" xfId="7" applyNumberFormat="1" applyFont="1" applyFill="1" applyBorder="1" applyAlignment="1">
      <alignment horizontal="right"/>
    </xf>
    <xf numFmtId="168" fontId="132" fillId="0" borderId="43" xfId="7" applyNumberFormat="1" applyFont="1" applyBorder="1" applyAlignment="1">
      <alignment horizontal="right"/>
    </xf>
    <xf numFmtId="0" fontId="12" fillId="0" borderId="0" xfId="0" applyFont="1" applyAlignment="1">
      <alignment horizontal="justify" vertical="top" wrapText="1"/>
    </xf>
    <xf numFmtId="0" fontId="1" fillId="0" borderId="0" xfId="0" applyFont="1" applyBorder="1" applyAlignment="1">
      <alignment vertical="center"/>
    </xf>
    <xf numFmtId="3" fontId="1" fillId="0" borderId="0" xfId="0" applyNumberFormat="1" applyFont="1" applyBorder="1" applyAlignment="1">
      <alignment vertical="center"/>
    </xf>
    <xf numFmtId="0" fontId="7" fillId="0" borderId="0" xfId="0" applyFont="1" applyAlignment="1">
      <alignment horizontal="left" vertical="top" wrapText="1"/>
    </xf>
    <xf numFmtId="0" fontId="10" fillId="0" borderId="0" xfId="0" applyFont="1" applyAlignment="1">
      <alignment horizontal="left" vertical="top" wrapText="1"/>
    </xf>
    <xf numFmtId="0" fontId="7" fillId="0" borderId="0" xfId="0" applyFont="1" applyAlignment="1">
      <alignment horizontal="justify" vertical="top" wrapText="1"/>
    </xf>
    <xf numFmtId="0" fontId="7" fillId="0" borderId="0" xfId="0" applyFont="1" applyAlignment="1">
      <alignment horizontal="justify" vertical="top"/>
    </xf>
    <xf numFmtId="0" fontId="12" fillId="0" borderId="0" xfId="0" applyFont="1" applyAlignment="1">
      <alignment horizontal="justify" vertical="top" wrapText="1"/>
    </xf>
    <xf numFmtId="0" fontId="54" fillId="0" borderId="0" xfId="0" applyFont="1" applyAlignment="1">
      <alignment horizontal="justify" vertical="center"/>
    </xf>
    <xf numFmtId="0" fontId="64" fillId="4" borderId="95" xfId="8" applyFont="1" applyFill="1" applyBorder="1" applyAlignment="1">
      <alignment horizontal="center" vertical="center"/>
    </xf>
    <xf numFmtId="0" fontId="64" fillId="4" borderId="0" xfId="8" applyFont="1" applyFill="1" applyBorder="1" applyAlignment="1">
      <alignment horizontal="center" vertical="center"/>
    </xf>
    <xf numFmtId="0" fontId="7" fillId="0" borderId="0" xfId="0" applyFont="1" applyFill="1" applyAlignment="1">
      <alignment horizontal="justify" vertical="top"/>
    </xf>
    <xf numFmtId="0" fontId="12" fillId="0" borderId="0" xfId="0" applyFont="1" applyAlignment="1">
      <alignment horizontal="justify" vertical="top" wrapText="1"/>
    </xf>
    <xf numFmtId="0" fontId="12" fillId="0" borderId="0" xfId="0" applyFont="1" applyFill="1" applyAlignment="1">
      <alignment horizontal="justify" vertical="top"/>
    </xf>
    <xf numFmtId="0" fontId="7" fillId="0" borderId="0" xfId="0" applyFont="1" applyFill="1" applyAlignment="1">
      <alignment horizontal="left" vertical="top" wrapText="1"/>
    </xf>
    <xf numFmtId="0" fontId="7" fillId="0" borderId="0" xfId="0" applyFont="1" applyAlignment="1">
      <alignment horizontal="left" vertical="top"/>
    </xf>
    <xf numFmtId="0" fontId="7" fillId="0" borderId="0" xfId="0" applyFont="1" applyFill="1" applyAlignment="1">
      <alignment horizontal="left" vertical="top" wrapText="1"/>
    </xf>
    <xf numFmtId="0" fontId="7" fillId="4" borderId="0" xfId="0" applyFont="1" applyFill="1" applyAlignment="1">
      <alignment horizontal="justify" vertical="top"/>
    </xf>
    <xf numFmtId="0" fontId="7" fillId="0" borderId="0" xfId="0" applyFont="1" applyAlignment="1">
      <alignment horizontal="left" vertical="top" wrapText="1"/>
    </xf>
    <xf numFmtId="0" fontId="7" fillId="0" borderId="0" xfId="0" applyFont="1" applyFill="1" applyAlignment="1">
      <alignment vertical="top" wrapText="1"/>
    </xf>
    <xf numFmtId="0" fontId="12" fillId="0" borderId="0" xfId="0" applyFont="1" applyAlignment="1">
      <alignment horizontal="justify" vertical="top" wrapText="1"/>
    </xf>
    <xf numFmtId="0" fontId="7" fillId="0" borderId="0" xfId="0" applyFont="1" applyAlignment="1">
      <alignment horizontal="justify" vertical="top" wrapText="1"/>
    </xf>
    <xf numFmtId="0" fontId="12" fillId="4" borderId="0" xfId="0" applyFont="1" applyFill="1" applyAlignment="1">
      <alignment horizontal="justify" vertical="top"/>
    </xf>
    <xf numFmtId="0" fontId="7" fillId="0" borderId="0" xfId="0" applyFont="1" applyFill="1" applyAlignment="1">
      <alignment horizontal="left" vertical="top"/>
    </xf>
    <xf numFmtId="0" fontId="12" fillId="0" borderId="0" xfId="0" applyFont="1" applyAlignment="1">
      <alignment horizontal="justify" vertical="top"/>
    </xf>
    <xf numFmtId="0" fontId="54" fillId="0" borderId="0" xfId="0" applyFont="1" applyAlignment="1">
      <alignment horizontal="left" vertical="top"/>
    </xf>
    <xf numFmtId="3" fontId="19" fillId="4" borderId="0" xfId="0" applyNumberFormat="1" applyFont="1" applyFill="1" applyBorder="1" applyAlignment="1">
      <alignment horizontal="right" vertical="center"/>
    </xf>
    <xf numFmtId="0" fontId="54" fillId="0" borderId="0" xfId="0" applyFont="1" applyFill="1" applyAlignment="1">
      <alignment horizontal="left" vertical="top" wrapText="1"/>
    </xf>
    <xf numFmtId="0" fontId="7" fillId="0" borderId="0" xfId="0" applyFont="1" applyFill="1" applyAlignment="1">
      <alignment horizontal="left" vertical="center" indent="3"/>
    </xf>
    <xf numFmtId="0" fontId="0" fillId="0" borderId="0" xfId="0" applyFill="1"/>
    <xf numFmtId="0" fontId="7" fillId="4" borderId="0" xfId="0" applyFont="1" applyFill="1" applyAlignment="1">
      <alignment vertical="top"/>
    </xf>
    <xf numFmtId="0" fontId="12" fillId="4" borderId="0" xfId="0" applyFont="1" applyFill="1" applyAlignment="1">
      <alignment vertical="top"/>
    </xf>
    <xf numFmtId="0" fontId="20" fillId="4" borderId="0" xfId="0" applyFont="1" applyFill="1" applyAlignment="1">
      <alignment horizontal="center"/>
    </xf>
    <xf numFmtId="0" fontId="1" fillId="0" borderId="0" xfId="0" applyFont="1" applyBorder="1" applyAlignment="1">
      <alignment horizontal="left" vertical="center"/>
    </xf>
    <xf numFmtId="3" fontId="20" fillId="0" borderId="0" xfId="0" applyNumberFormat="1" applyFont="1" applyBorder="1" applyAlignment="1">
      <alignment horizontal="right" vertical="center"/>
    </xf>
    <xf numFmtId="0" fontId="7" fillId="0" borderId="0" xfId="0" applyFont="1" applyAlignment="1">
      <alignment vertical="top"/>
    </xf>
    <xf numFmtId="0" fontId="11" fillId="0" borderId="0" xfId="0" applyFont="1" applyAlignment="1">
      <alignment vertical="top"/>
    </xf>
    <xf numFmtId="0" fontId="133" fillId="0" borderId="157" xfId="225" applyBorder="1"/>
    <xf numFmtId="0" fontId="0" fillId="0" borderId="157" xfId="0" applyBorder="1"/>
    <xf numFmtId="0" fontId="88" fillId="0" borderId="0" xfId="9" applyFont="1" applyFill="1" applyBorder="1" applyAlignment="1" applyProtection="1">
      <alignment horizontal="left" vertical="center" wrapText="1" indent="1"/>
      <protection hidden="1"/>
    </xf>
    <xf numFmtId="0" fontId="25" fillId="6" borderId="90" xfId="8" applyFont="1" applyFill="1" applyBorder="1" applyAlignment="1">
      <alignment horizontal="center" vertical="center" wrapText="1"/>
    </xf>
    <xf numFmtId="0" fontId="25" fillId="6" borderId="91" xfId="8" applyFont="1" applyFill="1" applyBorder="1" applyAlignment="1">
      <alignment horizontal="center" vertical="center" wrapText="1"/>
    </xf>
    <xf numFmtId="0" fontId="24" fillId="7" borderId="127" xfId="8" applyFont="1" applyFill="1" applyBorder="1" applyAlignment="1">
      <alignment horizontal="left" vertical="top" wrapText="1"/>
    </xf>
    <xf numFmtId="0" fontId="24" fillId="7" borderId="114" xfId="8" applyFont="1" applyFill="1" applyBorder="1" applyAlignment="1">
      <alignment horizontal="left" vertical="top" wrapText="1"/>
    </xf>
    <xf numFmtId="0" fontId="24" fillId="7" borderId="58" xfId="8" applyFont="1" applyFill="1" applyBorder="1" applyAlignment="1">
      <alignment horizontal="left" vertical="top" wrapText="1"/>
    </xf>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75" xfId="0" applyFont="1" applyBorder="1" applyAlignment="1">
      <alignment horizontal="center"/>
    </xf>
    <xf numFmtId="0" fontId="19" fillId="0" borderId="0" xfId="0" applyFont="1" applyBorder="1" applyAlignment="1">
      <alignment horizontal="center"/>
    </xf>
    <xf numFmtId="0" fontId="19" fillId="0" borderId="77" xfId="0" applyFont="1" applyBorder="1" applyAlignment="1">
      <alignment horizontal="center"/>
    </xf>
    <xf numFmtId="0" fontId="19" fillId="0" borderId="9"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5" xfId="0" applyFont="1" applyBorder="1" applyAlignment="1">
      <alignment horizontal="center" vertical="center"/>
    </xf>
    <xf numFmtId="0" fontId="19" fillId="0" borderId="11" xfId="0" applyFont="1" applyBorder="1" applyAlignment="1">
      <alignment horizontal="center" vertical="center"/>
    </xf>
    <xf numFmtId="0" fontId="19" fillId="0" borderId="10" xfId="0" applyFont="1" applyBorder="1" applyAlignment="1">
      <alignment horizontal="center" vertical="center"/>
    </xf>
    <xf numFmtId="0" fontId="18" fillId="0" borderId="75" xfId="0" applyFont="1" applyBorder="1" applyAlignment="1">
      <alignment horizontal="center"/>
    </xf>
    <xf numFmtId="0" fontId="18" fillId="0" borderId="0" xfId="0" applyFont="1" applyBorder="1" applyAlignment="1">
      <alignment horizontal="center"/>
    </xf>
    <xf numFmtId="0" fontId="18" fillId="0" borderId="77" xfId="0" applyFont="1" applyBorder="1" applyAlignment="1">
      <alignment horizontal="center"/>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4" xfId="0" applyFont="1" applyBorder="1" applyAlignment="1">
      <alignment horizontal="center" vertical="center" wrapText="1"/>
    </xf>
    <xf numFmtId="0" fontId="18" fillId="0" borderId="82" xfId="0" applyFont="1" applyBorder="1" applyAlignment="1">
      <alignment horizontal="center"/>
    </xf>
    <xf numFmtId="0" fontId="18" fillId="0" borderId="51" xfId="0" applyFont="1" applyBorder="1" applyAlignment="1">
      <alignment horizontal="center"/>
    </xf>
    <xf numFmtId="0" fontId="18" fillId="0" borderId="81" xfId="0" applyFont="1" applyBorder="1" applyAlignment="1">
      <alignment horizontal="center"/>
    </xf>
    <xf numFmtId="0" fontId="19"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xf>
    <xf numFmtId="0" fontId="19" fillId="0" borderId="9" xfId="0" applyFont="1" applyBorder="1" applyAlignment="1">
      <alignment horizontal="center" vertical="center"/>
    </xf>
    <xf numFmtId="0" fontId="19" fillId="0" borderId="7" xfId="0" applyFont="1" applyBorder="1" applyAlignment="1">
      <alignment horizontal="center" vertical="center"/>
    </xf>
    <xf numFmtId="0" fontId="19" fillId="0" borderId="47" xfId="0" applyFont="1" applyBorder="1" applyAlignment="1">
      <alignment horizontal="center" vertical="center"/>
    </xf>
    <xf numFmtId="0" fontId="19" fillId="0" borderId="23" xfId="0" applyFont="1" applyBorder="1" applyAlignment="1">
      <alignment horizontal="center" vertical="center"/>
    </xf>
    <xf numFmtId="0" fontId="19" fillId="0" borderId="4" xfId="0" applyFont="1" applyBorder="1" applyAlignment="1">
      <alignment horizontal="center" vertical="center"/>
    </xf>
    <xf numFmtId="0" fontId="19" fillId="0" borderId="35" xfId="0" applyFont="1" applyBorder="1" applyAlignment="1">
      <alignment horizontal="center" vertical="center"/>
    </xf>
    <xf numFmtId="0" fontId="19" fillId="0" borderId="46" xfId="0" applyFont="1" applyBorder="1" applyAlignment="1">
      <alignment horizontal="center" vertical="center"/>
    </xf>
    <xf numFmtId="0" fontId="50" fillId="0" borderId="82" xfId="0" applyNumberFormat="1" applyFont="1" applyBorder="1" applyAlignment="1">
      <alignment horizontal="center"/>
    </xf>
    <xf numFmtId="0" fontId="51" fillId="0" borderId="81" xfId="0" applyNumberFormat="1" applyFont="1" applyBorder="1" applyAlignment="1">
      <alignment horizontal="center"/>
    </xf>
    <xf numFmtId="0" fontId="18" fillId="0" borderId="84" xfId="0" applyFont="1" applyBorder="1" applyAlignment="1">
      <alignment horizontal="center"/>
    </xf>
    <xf numFmtId="0" fontId="18" fillId="0" borderId="85" xfId="0" applyFont="1" applyBorder="1" applyAlignment="1">
      <alignment horizontal="center"/>
    </xf>
    <xf numFmtId="0" fontId="19" fillId="0" borderId="19" xfId="0" applyFont="1" applyBorder="1" applyAlignment="1">
      <alignment horizontal="center" vertical="center" wrapText="1"/>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8" xfId="0" applyFont="1" applyBorder="1" applyAlignment="1">
      <alignment vertical="center"/>
    </xf>
    <xf numFmtId="0" fontId="20" fillId="0" borderId="7" xfId="0" applyFont="1" applyBorder="1" applyAlignment="1">
      <alignment vertical="center"/>
    </xf>
    <xf numFmtId="0" fontId="20" fillId="0" borderId="4" xfId="0" applyFont="1" applyBorder="1" applyAlignment="1">
      <alignment horizontal="center" vertical="center"/>
    </xf>
    <xf numFmtId="0" fontId="20" fillId="0" borderId="25"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1" xfId="0" applyFont="1" applyBorder="1" applyAlignment="1">
      <alignment vertical="center"/>
    </xf>
    <xf numFmtId="0" fontId="20" fillId="0" borderId="5" xfId="0" applyFont="1" applyBorder="1" applyAlignment="1">
      <alignment vertical="center"/>
    </xf>
    <xf numFmtId="3" fontId="29" fillId="0" borderId="0" xfId="2" applyNumberFormat="1" applyFont="1" applyFill="1" applyAlignment="1">
      <alignment horizontal="left" vertical="center" wrapText="1"/>
    </xf>
    <xf numFmtId="3" fontId="29" fillId="0" borderId="0" xfId="2" applyNumberFormat="1" applyFont="1" applyFill="1" applyAlignment="1">
      <alignment vertical="center" wrapText="1"/>
    </xf>
    <xf numFmtId="0" fontId="28" fillId="4" borderId="0" xfId="2" applyFont="1" applyFill="1" applyBorder="1" applyAlignment="1">
      <alignment horizontal="center" vertical="center"/>
    </xf>
    <xf numFmtId="3" fontId="29" fillId="0" borderId="0" xfId="2" applyNumberFormat="1" applyFont="1" applyFill="1" applyAlignment="1">
      <alignment horizontal="left" vertical="top" wrapText="1"/>
    </xf>
    <xf numFmtId="9" fontId="29" fillId="0" borderId="0" xfId="1" applyFont="1" applyFill="1" applyAlignment="1">
      <alignment horizontal="left" vertical="center" wrapText="1"/>
    </xf>
    <xf numFmtId="0" fontId="101" fillId="0" borderId="0" xfId="22" applyFont="1" applyFill="1" applyAlignment="1" applyProtection="1">
      <alignment horizontal="left" vertical="center"/>
    </xf>
    <xf numFmtId="0" fontId="28" fillId="0" borderId="0" xfId="2" applyFont="1" applyFill="1" applyBorder="1" applyAlignment="1">
      <alignment horizontal="center" vertical="center"/>
    </xf>
    <xf numFmtId="9" fontId="101" fillId="0" borderId="0" xfId="1" applyFont="1" applyFill="1" applyAlignment="1" applyProtection="1">
      <alignment horizontal="left" vertical="center"/>
    </xf>
    <xf numFmtId="0" fontId="60" fillId="0" borderId="93" xfId="8" applyFont="1" applyFill="1" applyBorder="1" applyAlignment="1">
      <alignment horizontal="left" vertical="top" wrapText="1"/>
    </xf>
    <xf numFmtId="0" fontId="60" fillId="0" borderId="94" xfId="8" applyFont="1" applyFill="1" applyBorder="1" applyAlignment="1">
      <alignment horizontal="left" vertical="top" wrapText="1"/>
    </xf>
    <xf numFmtId="0" fontId="60" fillId="0" borderId="0" xfId="8" applyFont="1" applyFill="1" applyBorder="1" applyAlignment="1">
      <alignment horizontal="left" vertical="top" wrapText="1"/>
    </xf>
    <xf numFmtId="0" fontId="60" fillId="0" borderId="29" xfId="8" applyFont="1" applyFill="1" applyBorder="1" applyAlignment="1">
      <alignment horizontal="left" vertical="top" wrapText="1"/>
    </xf>
    <xf numFmtId="0" fontId="60" fillId="0" borderId="75" xfId="8" applyFont="1" applyFill="1" applyBorder="1" applyAlignment="1">
      <alignment horizontal="center"/>
    </xf>
    <xf numFmtId="0" fontId="60" fillId="0" borderId="0" xfId="8" applyFont="1" applyFill="1" applyBorder="1" applyAlignment="1">
      <alignment horizontal="center"/>
    </xf>
    <xf numFmtId="0" fontId="60" fillId="0" borderId="29" xfId="8" applyFont="1" applyFill="1" applyBorder="1" applyAlignment="1">
      <alignment horizontal="center"/>
    </xf>
    <xf numFmtId="0" fontId="60" fillId="0" borderId="106" xfId="8" applyFont="1" applyFill="1" applyBorder="1" applyAlignment="1">
      <alignment horizontal="center"/>
    </xf>
    <xf numFmtId="0" fontId="60" fillId="0" borderId="97" xfId="8" applyFont="1" applyFill="1" applyBorder="1" applyAlignment="1">
      <alignment horizontal="center"/>
    </xf>
    <xf numFmtId="0" fontId="60" fillId="0" borderId="13" xfId="8" applyFont="1" applyFill="1" applyBorder="1" applyAlignment="1">
      <alignment horizontal="center"/>
    </xf>
    <xf numFmtId="0" fontId="74" fillId="0" borderId="87" xfId="18" applyFont="1" applyFill="1" applyBorder="1" applyAlignment="1">
      <alignment horizontal="center" vertical="center" wrapText="1"/>
    </xf>
    <xf numFmtId="0" fontId="74" fillId="0" borderId="102" xfId="18" applyFont="1" applyFill="1" applyBorder="1" applyAlignment="1">
      <alignment horizontal="center" vertical="center" wrapText="1"/>
    </xf>
    <xf numFmtId="0" fontId="74" fillId="0" borderId="66" xfId="18" applyFont="1" applyFill="1" applyBorder="1" applyAlignment="1">
      <alignment horizontal="left" vertical="top" wrapText="1"/>
    </xf>
    <xf numFmtId="0" fontId="74" fillId="0" borderId="43" xfId="18" applyFont="1" applyFill="1" applyBorder="1" applyAlignment="1">
      <alignment horizontal="left" vertical="top" wrapText="1"/>
    </xf>
    <xf numFmtId="49" fontId="74" fillId="0" borderId="118" xfId="18" applyNumberFormat="1" applyFont="1" applyFill="1" applyBorder="1" applyAlignment="1">
      <alignment horizontal="center" vertical="top"/>
    </xf>
    <xf numFmtId="49" fontId="74" fillId="0" borderId="85" xfId="18" applyNumberFormat="1" applyFont="1" applyFill="1" applyBorder="1" applyAlignment="1">
      <alignment horizontal="center" vertical="top"/>
    </xf>
    <xf numFmtId="171" fontId="103" fillId="0" borderId="43" xfId="18" applyNumberFormat="1" applyFont="1" applyFill="1" applyBorder="1" applyAlignment="1">
      <alignment horizontal="right" vertical="center"/>
    </xf>
    <xf numFmtId="171" fontId="103" fillId="0" borderId="87" xfId="18" applyNumberFormat="1" applyFont="1" applyFill="1" applyBorder="1" applyAlignment="1">
      <alignment horizontal="right" vertical="center"/>
    </xf>
    <xf numFmtId="171" fontId="103" fillId="0" borderId="88" xfId="18" applyNumberFormat="1" applyFont="1" applyFill="1" applyBorder="1" applyAlignment="1">
      <alignment horizontal="right" vertical="center"/>
    </xf>
    <xf numFmtId="171" fontId="103" fillId="0" borderId="89" xfId="18" applyNumberFormat="1" applyFont="1" applyFill="1" applyBorder="1" applyAlignment="1">
      <alignment horizontal="right" vertical="center"/>
    </xf>
    <xf numFmtId="171" fontId="103" fillId="0" borderId="102" xfId="18" applyNumberFormat="1" applyFont="1" applyFill="1" applyBorder="1" applyAlignment="1">
      <alignment horizontal="right" vertical="center"/>
    </xf>
    <xf numFmtId="0" fontId="75" fillId="0" borderId="63" xfId="18" applyFont="1" applyFill="1" applyBorder="1" applyAlignment="1">
      <alignment horizontal="center" vertical="center" wrapText="1"/>
    </xf>
    <xf numFmtId="0" fontId="75" fillId="0" borderId="66" xfId="18" applyFont="1" applyFill="1" applyBorder="1" applyAlignment="1">
      <alignment horizontal="center" vertical="center" wrapText="1"/>
    </xf>
    <xf numFmtId="0" fontId="74" fillId="0" borderId="64" xfId="18" applyFont="1" applyFill="1" applyBorder="1" applyAlignment="1">
      <alignment horizontal="center" vertical="center" wrapText="1"/>
    </xf>
    <xf numFmtId="0" fontId="74" fillId="0" borderId="43" xfId="18" applyFont="1" applyFill="1" applyBorder="1" applyAlignment="1">
      <alignment horizontal="center" vertical="center" wrapText="1"/>
    </xf>
    <xf numFmtId="0" fontId="75" fillId="0" borderId="103" xfId="18" applyFont="1" applyFill="1" applyBorder="1" applyAlignment="1">
      <alignment horizontal="center" vertical="center" wrapText="1"/>
    </xf>
    <xf numFmtId="0" fontId="75" fillId="0" borderId="77" xfId="18" applyFont="1" applyFill="1" applyBorder="1" applyAlignment="1">
      <alignment horizontal="center" vertical="center" wrapText="1"/>
    </xf>
    <xf numFmtId="0" fontId="75" fillId="0" borderId="85" xfId="18" applyFont="1" applyFill="1" applyBorder="1" applyAlignment="1">
      <alignment horizontal="center" vertical="center" wrapText="1"/>
    </xf>
    <xf numFmtId="0" fontId="74" fillId="0" borderId="111" xfId="18" applyFont="1" applyFill="1" applyBorder="1" applyAlignment="1">
      <alignment horizontal="center" vertical="center" wrapText="1"/>
    </xf>
    <xf numFmtId="0" fontId="74" fillId="0" borderId="113" xfId="18" applyFont="1" applyFill="1" applyBorder="1" applyAlignment="1">
      <alignment horizontal="center" vertical="center" wrapText="1"/>
    </xf>
    <xf numFmtId="0" fontId="74" fillId="0" borderId="112" xfId="18" applyFont="1" applyFill="1" applyBorder="1" applyAlignment="1">
      <alignment horizontal="center" vertical="center" wrapText="1"/>
    </xf>
    <xf numFmtId="0" fontId="74" fillId="0" borderId="104" xfId="18" applyFont="1" applyFill="1" applyBorder="1" applyAlignment="1">
      <alignment horizontal="center" vertical="center" wrapText="1"/>
    </xf>
    <xf numFmtId="0" fontId="74" fillId="0" borderId="94" xfId="18" applyFont="1" applyFill="1" applyBorder="1" applyAlignment="1">
      <alignment horizontal="center" vertical="center" wrapText="1"/>
    </xf>
    <xf numFmtId="0" fontId="74" fillId="0" borderId="84" xfId="18" applyFont="1" applyFill="1" applyBorder="1" applyAlignment="1">
      <alignment horizontal="center" vertical="center" wrapText="1"/>
    </xf>
    <xf numFmtId="0" fontId="74" fillId="0" borderId="100" xfId="18" applyFont="1" applyFill="1" applyBorder="1" applyAlignment="1">
      <alignment horizontal="center" vertical="center" wrapText="1"/>
    </xf>
    <xf numFmtId="1" fontId="74" fillId="0" borderId="43" xfId="18" applyNumberFormat="1" applyFont="1" applyFill="1" applyBorder="1" applyAlignment="1">
      <alignment horizontal="center" vertical="center"/>
    </xf>
    <xf numFmtId="0" fontId="74" fillId="0" borderId="99" xfId="18" applyFont="1" applyFill="1" applyBorder="1" applyAlignment="1">
      <alignment horizontal="center" wrapText="1"/>
    </xf>
    <xf numFmtId="0" fontId="74" fillId="0" borderId="85" xfId="18" applyFont="1" applyFill="1" applyBorder="1" applyAlignment="1">
      <alignment horizontal="center" wrapText="1"/>
    </xf>
    <xf numFmtId="0" fontId="74" fillId="0" borderId="117" xfId="18" quotePrefix="1" applyFont="1" applyFill="1" applyBorder="1" applyAlignment="1">
      <alignment horizontal="left" vertical="top" wrapText="1"/>
    </xf>
    <xf numFmtId="0" fontId="74" fillId="0" borderId="70" xfId="18" quotePrefix="1" applyFont="1" applyFill="1" applyBorder="1" applyAlignment="1">
      <alignment horizontal="left" vertical="top" wrapText="1"/>
    </xf>
    <xf numFmtId="0" fontId="74" fillId="0" borderId="116" xfId="18" quotePrefix="1" applyFont="1" applyFill="1" applyBorder="1" applyAlignment="1">
      <alignment horizontal="left" vertical="top" wrapText="1"/>
    </xf>
    <xf numFmtId="0" fontId="74" fillId="0" borderId="71" xfId="18" quotePrefix="1" applyFont="1" applyFill="1" applyBorder="1" applyAlignment="1">
      <alignment horizontal="left" vertical="top" wrapText="1"/>
    </xf>
    <xf numFmtId="0" fontId="73" fillId="0" borderId="117" xfId="18" applyFont="1" applyFill="1" applyBorder="1" applyAlignment="1">
      <alignment horizontal="right" vertical="top" wrapText="1"/>
    </xf>
    <xf numFmtId="0" fontId="73" fillId="0" borderId="70" xfId="18" applyFont="1" applyFill="1" applyBorder="1" applyAlignment="1">
      <alignment horizontal="right" vertical="top" wrapText="1"/>
    </xf>
    <xf numFmtId="0" fontId="73" fillId="0" borderId="116" xfId="18" applyFont="1" applyFill="1" applyBorder="1" applyAlignment="1">
      <alignment horizontal="left" vertical="top" wrapText="1"/>
    </xf>
    <xf numFmtId="0" fontId="73" fillId="0" borderId="71" xfId="18" applyFont="1" applyFill="1" applyBorder="1" applyAlignment="1">
      <alignment horizontal="left" vertical="top" wrapText="1"/>
    </xf>
    <xf numFmtId="49" fontId="73" fillId="0" borderId="118" xfId="18" applyNumberFormat="1" applyFont="1" applyFill="1" applyBorder="1" applyAlignment="1">
      <alignment horizontal="center" vertical="top"/>
    </xf>
    <xf numFmtId="49" fontId="73" fillId="0" borderId="85" xfId="18" applyNumberFormat="1" applyFont="1" applyFill="1" applyBorder="1" applyAlignment="1">
      <alignment horizontal="center" vertical="top"/>
    </xf>
    <xf numFmtId="171" fontId="72" fillId="0" borderId="43" xfId="18" applyNumberFormat="1" applyFont="1" applyFill="1" applyBorder="1" applyAlignment="1">
      <alignment horizontal="right" vertical="center"/>
    </xf>
    <xf numFmtId="171" fontId="72" fillId="0" borderId="87" xfId="18" applyNumberFormat="1" applyFont="1" applyFill="1" applyBorder="1" applyAlignment="1">
      <alignment horizontal="right" vertical="center"/>
    </xf>
    <xf numFmtId="171" fontId="72" fillId="0" borderId="88" xfId="18" applyNumberFormat="1" applyFont="1" applyFill="1" applyBorder="1" applyAlignment="1">
      <alignment horizontal="right" vertical="center"/>
    </xf>
    <xf numFmtId="171" fontId="72" fillId="0" borderId="89" xfId="18" applyNumberFormat="1" applyFont="1" applyFill="1" applyBorder="1" applyAlignment="1">
      <alignment horizontal="right" vertical="center"/>
    </xf>
    <xf numFmtId="171" fontId="72" fillId="0" borderId="102" xfId="18" applyNumberFormat="1" applyFont="1" applyFill="1" applyBorder="1" applyAlignment="1">
      <alignment horizontal="right" vertical="center"/>
    </xf>
    <xf numFmtId="0" fontId="73" fillId="0" borderId="117" xfId="18" applyFont="1" applyFill="1" applyBorder="1" applyAlignment="1">
      <alignment horizontal="left" vertical="top" wrapText="1"/>
    </xf>
    <xf numFmtId="0" fontId="73" fillId="0" borderId="70" xfId="18" applyFont="1" applyFill="1" applyBorder="1" applyAlignment="1">
      <alignment horizontal="left" vertical="top" wrapText="1"/>
    </xf>
    <xf numFmtId="0" fontId="74" fillId="0" borderId="117" xfId="18" applyFont="1" applyFill="1" applyBorder="1" applyAlignment="1">
      <alignment horizontal="left" vertical="top" wrapText="1"/>
    </xf>
    <xf numFmtId="0" fontId="74" fillId="0" borderId="70" xfId="18" applyFont="1" applyFill="1" applyBorder="1" applyAlignment="1">
      <alignment horizontal="left" vertical="top" wrapText="1"/>
    </xf>
    <xf numFmtId="0" fontId="74" fillId="0" borderId="116" xfId="18" applyFont="1" applyFill="1" applyBorder="1" applyAlignment="1">
      <alignment horizontal="left" vertical="top" wrapText="1"/>
    </xf>
    <xf numFmtId="0" fontId="74" fillId="0" borderId="71" xfId="18" applyFont="1" applyFill="1" applyBorder="1" applyAlignment="1">
      <alignment horizontal="left" vertical="top" wrapText="1"/>
    </xf>
    <xf numFmtId="0" fontId="73" fillId="0" borderId="66" xfId="18" applyFont="1" applyFill="1" applyBorder="1" applyAlignment="1">
      <alignment horizontal="right" vertical="top" wrapText="1"/>
    </xf>
    <xf numFmtId="0" fontId="73" fillId="0" borderId="72" xfId="18" applyFont="1" applyFill="1" applyBorder="1" applyAlignment="1">
      <alignment horizontal="right" vertical="top" wrapText="1"/>
    </xf>
    <xf numFmtId="0" fontId="73" fillId="0" borderId="69" xfId="18" applyFont="1" applyFill="1" applyBorder="1" applyAlignment="1">
      <alignment horizontal="left" vertical="top" wrapText="1"/>
    </xf>
    <xf numFmtId="49" fontId="73" fillId="0" borderId="105" xfId="18" applyNumberFormat="1" applyFont="1" applyFill="1" applyBorder="1" applyAlignment="1">
      <alignment horizontal="center" vertical="top"/>
    </xf>
    <xf numFmtId="171" fontId="72" fillId="0" borderId="73" xfId="18" applyNumberFormat="1" applyFont="1" applyFill="1" applyBorder="1" applyAlignment="1">
      <alignment horizontal="right" vertical="center"/>
    </xf>
    <xf numFmtId="171" fontId="72" fillId="0" borderId="108" xfId="18" applyNumberFormat="1" applyFont="1" applyFill="1" applyBorder="1" applyAlignment="1">
      <alignment horizontal="right" vertical="center"/>
    </xf>
    <xf numFmtId="171" fontId="72" fillId="0" borderId="135" xfId="18" applyNumberFormat="1" applyFont="1" applyFill="1" applyBorder="1" applyAlignment="1">
      <alignment horizontal="right" vertical="center"/>
    </xf>
    <xf numFmtId="171" fontId="72" fillId="0" borderId="107" xfId="18" applyNumberFormat="1" applyFont="1" applyFill="1" applyBorder="1" applyAlignment="1">
      <alignment horizontal="right" vertical="center"/>
    </xf>
    <xf numFmtId="1" fontId="74" fillId="0" borderId="89" xfId="18" applyNumberFormat="1" applyFont="1" applyFill="1" applyBorder="1" applyAlignment="1">
      <alignment horizontal="center" vertical="center"/>
    </xf>
    <xf numFmtId="0" fontId="73" fillId="0" borderId="115" xfId="18" applyFont="1" applyFill="1" applyBorder="1" applyAlignment="1">
      <alignment horizontal="left" vertical="top" wrapText="1"/>
    </xf>
    <xf numFmtId="0" fontId="73" fillId="0" borderId="84" xfId="18" applyFont="1" applyFill="1" applyBorder="1" applyAlignment="1">
      <alignment horizontal="left" vertical="top" wrapText="1"/>
    </xf>
    <xf numFmtId="0" fontId="74" fillId="0" borderId="70" xfId="18" applyFont="1" applyFill="1" applyBorder="1" applyAlignment="1">
      <alignment horizontal="right" vertical="top" wrapText="1"/>
    </xf>
    <xf numFmtId="0" fontId="74" fillId="0" borderId="66" xfId="18" applyFont="1" applyFill="1" applyBorder="1" applyAlignment="1">
      <alignment horizontal="right" vertical="top" wrapText="1"/>
    </xf>
    <xf numFmtId="0" fontId="73" fillId="0" borderId="116" xfId="18" quotePrefix="1" applyFont="1" applyFill="1" applyBorder="1" applyAlignment="1">
      <alignment horizontal="left" vertical="top" wrapText="1"/>
    </xf>
    <xf numFmtId="0" fontId="73" fillId="0" borderId="71" xfId="18" quotePrefix="1" applyFont="1" applyFill="1" applyBorder="1" applyAlignment="1">
      <alignment horizontal="left" vertical="top" wrapText="1"/>
    </xf>
    <xf numFmtId="0" fontId="56" fillId="0" borderId="116" xfId="18" applyFont="1" applyFill="1" applyBorder="1" applyAlignment="1">
      <alignment horizontal="left" vertical="top" wrapText="1"/>
    </xf>
    <xf numFmtId="0" fontId="56" fillId="0" borderId="71" xfId="18" applyFont="1" applyFill="1" applyBorder="1" applyAlignment="1">
      <alignment horizontal="left" vertical="top" wrapText="1"/>
    </xf>
    <xf numFmtId="0" fontId="56" fillId="0" borderId="69" xfId="18" applyFont="1" applyFill="1" applyBorder="1" applyAlignment="1">
      <alignment horizontal="left" vertical="top" wrapText="1"/>
    </xf>
    <xf numFmtId="49" fontId="73" fillId="0" borderId="116" xfId="18" applyNumberFormat="1" applyFont="1" applyFill="1" applyBorder="1" applyAlignment="1">
      <alignment horizontal="center" vertical="top"/>
    </xf>
    <xf numFmtId="49" fontId="73" fillId="0" borderId="71" xfId="18" applyNumberFormat="1" applyFont="1" applyFill="1" applyBorder="1" applyAlignment="1">
      <alignment horizontal="center" vertical="top"/>
    </xf>
    <xf numFmtId="0" fontId="75" fillId="0" borderId="64" xfId="18" applyFont="1" applyFill="1" applyBorder="1" applyAlignment="1">
      <alignment horizontal="center" vertical="center" wrapText="1"/>
    </xf>
    <xf numFmtId="0" fontId="75" fillId="0" borderId="43" xfId="18" applyFont="1" applyFill="1" applyBorder="1" applyAlignment="1">
      <alignment horizontal="center" vertical="center" wrapText="1"/>
    </xf>
    <xf numFmtId="0" fontId="74" fillId="0" borderId="84" xfId="18" applyFont="1" applyFill="1" applyBorder="1" applyAlignment="1">
      <alignment horizontal="center" wrapText="1"/>
    </xf>
    <xf numFmtId="0" fontId="56" fillId="0" borderId="115" xfId="18" applyFont="1" applyFill="1" applyBorder="1" applyAlignment="1">
      <alignment horizontal="left" vertical="top" wrapText="1"/>
    </xf>
    <xf numFmtId="0" fontId="56" fillId="0" borderId="84" xfId="18" applyFont="1" applyFill="1" applyBorder="1" applyAlignment="1">
      <alignment horizontal="left" vertical="top" wrapText="1"/>
    </xf>
    <xf numFmtId="0" fontId="73" fillId="4" borderId="115" xfId="18" applyFont="1" applyFill="1" applyBorder="1" applyAlignment="1">
      <alignment horizontal="left" vertical="top" wrapText="1"/>
    </xf>
    <xf numFmtId="0" fontId="73" fillId="4" borderId="84" xfId="18" applyFont="1" applyFill="1" applyBorder="1" applyAlignment="1">
      <alignment horizontal="left" vertical="top" wrapText="1"/>
    </xf>
    <xf numFmtId="0" fontId="74" fillId="0" borderId="115" xfId="18" applyFont="1" applyFill="1" applyBorder="1" applyAlignment="1">
      <alignment horizontal="left" vertical="top" wrapText="1"/>
    </xf>
    <xf numFmtId="0" fontId="74" fillId="0" borderId="84" xfId="18" applyFont="1" applyFill="1" applyBorder="1" applyAlignment="1">
      <alignment horizontal="left" vertical="top" wrapText="1"/>
    </xf>
    <xf numFmtId="49" fontId="74" fillId="0" borderId="116" xfId="18" applyNumberFormat="1" applyFont="1" applyFill="1" applyBorder="1" applyAlignment="1">
      <alignment horizontal="center" vertical="top"/>
    </xf>
    <xf numFmtId="49" fontId="74" fillId="0" borderId="71" xfId="18" applyNumberFormat="1" applyFont="1" applyFill="1" applyBorder="1" applyAlignment="1">
      <alignment horizontal="center" vertical="top"/>
    </xf>
    <xf numFmtId="0" fontId="73" fillId="0" borderId="106" xfId="18" applyFont="1" applyFill="1" applyBorder="1" applyAlignment="1">
      <alignment horizontal="left" vertical="top" wrapText="1"/>
    </xf>
    <xf numFmtId="49" fontId="73" fillId="0" borderId="69" xfId="18" applyNumberFormat="1" applyFont="1" applyFill="1" applyBorder="1" applyAlignment="1">
      <alignment horizontal="center" vertical="top"/>
    </xf>
    <xf numFmtId="0" fontId="75" fillId="0" borderId="70" xfId="18" applyFont="1" applyFill="1" applyBorder="1" applyAlignment="1">
      <alignment horizontal="center" vertical="center" wrapText="1"/>
    </xf>
    <xf numFmtId="0" fontId="75" fillId="0" borderId="71" xfId="18" applyFont="1" applyFill="1" applyBorder="1" applyAlignment="1">
      <alignment horizontal="center" vertical="center" wrapText="1"/>
    </xf>
    <xf numFmtId="0" fontId="74" fillId="0" borderId="99" xfId="18" applyFont="1" applyFill="1" applyBorder="1" applyAlignment="1">
      <alignment horizontal="center" vertical="center" wrapText="1"/>
    </xf>
    <xf numFmtId="0" fontId="74" fillId="0" borderId="85" xfId="18" applyFont="1" applyFill="1" applyBorder="1" applyAlignment="1">
      <alignment horizontal="center" vertical="center" wrapText="1"/>
    </xf>
    <xf numFmtId="0" fontId="74" fillId="0" borderId="115" xfId="18" applyFont="1" applyFill="1" applyBorder="1" applyAlignment="1">
      <alignment horizontal="center" vertical="center" wrapText="1"/>
    </xf>
    <xf numFmtId="0" fontId="74" fillId="0" borderId="140" xfId="18" applyFont="1" applyFill="1" applyBorder="1" applyAlignment="1">
      <alignment horizontal="center" vertical="center" wrapText="1"/>
    </xf>
    <xf numFmtId="171" fontId="72" fillId="0" borderId="99" xfId="18" applyNumberFormat="1" applyFont="1" applyFill="1" applyBorder="1" applyAlignment="1">
      <alignment horizontal="right" vertical="center"/>
    </xf>
    <xf numFmtId="171" fontId="72" fillId="0" borderId="85" xfId="18" applyNumberFormat="1" applyFont="1" applyFill="1" applyBorder="1" applyAlignment="1">
      <alignment horizontal="right" vertical="center"/>
    </xf>
    <xf numFmtId="171" fontId="103" fillId="0" borderId="116" xfId="18" applyNumberFormat="1" applyFont="1" applyFill="1" applyBorder="1" applyAlignment="1">
      <alignment horizontal="right" vertical="center"/>
    </xf>
    <xf numFmtId="171" fontId="103" fillId="0" borderId="115" xfId="18" applyNumberFormat="1" applyFont="1" applyFill="1" applyBorder="1" applyAlignment="1">
      <alignment horizontal="right" vertical="center"/>
    </xf>
    <xf numFmtId="0" fontId="74" fillId="0" borderId="87" xfId="18" applyFont="1" applyFill="1" applyBorder="1" applyAlignment="1">
      <alignment horizontal="left" vertical="top" wrapText="1"/>
    </xf>
    <xf numFmtId="0" fontId="74" fillId="0" borderId="88" xfId="18" applyFont="1" applyFill="1" applyBorder="1" applyAlignment="1">
      <alignment horizontal="left" vertical="top" wrapText="1"/>
    </xf>
    <xf numFmtId="0" fontId="74" fillId="0" borderId="89" xfId="18" applyFont="1" applyFill="1" applyBorder="1" applyAlignment="1">
      <alignment horizontal="left" vertical="top" wrapText="1"/>
    </xf>
    <xf numFmtId="0" fontId="74" fillId="0" borderId="110" xfId="18" applyFont="1" applyFill="1" applyBorder="1" applyAlignment="1">
      <alignment horizontal="center" vertical="center" wrapText="1"/>
    </xf>
    <xf numFmtId="0" fontId="27" fillId="0" borderId="43" xfId="18" applyFill="1" applyBorder="1" applyAlignment="1">
      <alignment horizontal="left" vertical="top" wrapText="1"/>
    </xf>
    <xf numFmtId="0" fontId="73" fillId="0" borderId="87" xfId="18" applyFont="1" applyFill="1" applyBorder="1" applyAlignment="1">
      <alignment horizontal="left" vertical="top" wrapText="1"/>
    </xf>
    <xf numFmtId="0" fontId="73" fillId="0" borderId="88" xfId="18" applyFont="1" applyFill="1" applyBorder="1" applyAlignment="1">
      <alignment horizontal="left" vertical="top" wrapText="1"/>
    </xf>
    <xf numFmtId="0" fontId="73" fillId="0" borderId="89" xfId="18" applyFont="1" applyFill="1" applyBorder="1" applyAlignment="1">
      <alignment horizontal="left" vertical="top" wrapText="1"/>
    </xf>
    <xf numFmtId="0" fontId="73" fillId="0" borderId="108" xfId="18" applyFont="1" applyFill="1" applyBorder="1" applyAlignment="1">
      <alignment horizontal="left" vertical="top" wrapText="1"/>
    </xf>
    <xf numFmtId="0" fontId="73" fillId="0" borderId="135" xfId="18" applyFont="1" applyFill="1" applyBorder="1" applyAlignment="1">
      <alignment horizontal="left" vertical="top" wrapText="1"/>
    </xf>
    <xf numFmtId="0" fontId="73" fillId="0" borderId="109" xfId="18" applyFont="1" applyFill="1" applyBorder="1" applyAlignment="1">
      <alignment horizontal="left" vertical="top" wrapText="1"/>
    </xf>
    <xf numFmtId="171" fontId="72" fillId="0" borderId="109" xfId="18" applyNumberFormat="1" applyFont="1" applyFill="1" applyBorder="1" applyAlignment="1">
      <alignment horizontal="right" vertical="center"/>
    </xf>
    <xf numFmtId="0" fontId="27" fillId="0" borderId="71" xfId="18" applyFont="1" applyFill="1" applyBorder="1" applyAlignment="1">
      <alignment horizontal="left" vertical="top" wrapText="1"/>
    </xf>
    <xf numFmtId="171" fontId="72" fillId="0" borderId="84" xfId="18" applyNumberFormat="1" applyFont="1" applyFill="1" applyBorder="1" applyAlignment="1">
      <alignment horizontal="right" vertical="center"/>
    </xf>
    <xf numFmtId="171" fontId="72" fillId="0" borderId="100" xfId="18" applyNumberFormat="1" applyFont="1" applyFill="1" applyBorder="1" applyAlignment="1">
      <alignment horizontal="right" vertical="center"/>
    </xf>
    <xf numFmtId="0" fontId="59" fillId="0" borderId="71" xfId="18" applyFont="1" applyFill="1" applyBorder="1" applyAlignment="1">
      <alignment horizontal="left" vertical="top" wrapText="1"/>
    </xf>
    <xf numFmtId="171" fontId="103" fillId="0" borderId="84" xfId="18" applyNumberFormat="1" applyFont="1" applyFill="1" applyBorder="1" applyAlignment="1">
      <alignment horizontal="right" vertical="center"/>
    </xf>
    <xf numFmtId="171" fontId="103" fillId="0" borderId="85" xfId="18" applyNumberFormat="1" applyFont="1" applyFill="1" applyBorder="1" applyAlignment="1">
      <alignment horizontal="right" vertical="center"/>
    </xf>
    <xf numFmtId="171" fontId="103" fillId="0" borderId="100" xfId="18" applyNumberFormat="1" applyFont="1" applyFill="1" applyBorder="1" applyAlignment="1">
      <alignment horizontal="right" vertical="center"/>
    </xf>
    <xf numFmtId="0" fontId="75" fillId="0" borderId="124" xfId="18" applyFont="1" applyFill="1" applyBorder="1" applyAlignment="1">
      <alignment horizontal="center" vertical="center" wrapText="1"/>
    </xf>
    <xf numFmtId="0" fontId="75" fillId="0" borderId="145" xfId="18" applyFont="1" applyFill="1" applyBorder="1" applyAlignment="1">
      <alignment horizontal="center" vertical="center" wrapText="1"/>
    </xf>
    <xf numFmtId="0" fontId="74" fillId="0" borderId="136" xfId="18" applyFont="1" applyFill="1" applyBorder="1" applyAlignment="1">
      <alignment horizontal="center" vertical="center" wrapText="1"/>
    </xf>
    <xf numFmtId="0" fontId="74" fillId="0" borderId="76" xfId="18" applyFont="1" applyFill="1" applyBorder="1" applyAlignment="1">
      <alignment horizontal="center" vertical="center" wrapText="1"/>
    </xf>
    <xf numFmtId="0" fontId="74" fillId="0" borderId="71" xfId="18" applyFont="1" applyFill="1" applyBorder="1" applyAlignment="1">
      <alignment horizontal="center" vertical="center" wrapText="1"/>
    </xf>
    <xf numFmtId="1" fontId="74" fillId="0" borderId="116" xfId="18" applyNumberFormat="1" applyFont="1" applyFill="1" applyBorder="1" applyAlignment="1">
      <alignment horizontal="center" vertical="center"/>
    </xf>
    <xf numFmtId="1" fontId="74" fillId="0" borderId="71" xfId="18" applyNumberFormat="1" applyFont="1" applyFill="1" applyBorder="1" applyAlignment="1">
      <alignment horizontal="center" vertical="center"/>
    </xf>
    <xf numFmtId="0" fontId="74" fillId="0" borderId="88" xfId="18" applyFont="1" applyFill="1" applyBorder="1" applyAlignment="1">
      <alignment horizontal="center" vertical="center" wrapText="1"/>
    </xf>
    <xf numFmtId="0" fontId="74" fillId="0" borderId="87" xfId="18" applyFont="1" applyFill="1" applyBorder="1" applyAlignment="1">
      <alignment horizontal="center" wrapText="1"/>
    </xf>
    <xf numFmtId="0" fontId="74" fillId="0" borderId="89" xfId="18" applyFont="1" applyFill="1" applyBorder="1" applyAlignment="1">
      <alignment horizontal="center" wrapText="1"/>
    </xf>
    <xf numFmtId="0" fontId="74" fillId="0" borderId="72" xfId="18" applyFont="1" applyFill="1" applyBorder="1" applyAlignment="1">
      <alignment horizontal="right" vertical="top" wrapText="1"/>
    </xf>
    <xf numFmtId="0" fontId="74" fillId="0" borderId="69" xfId="18" applyFont="1" applyFill="1" applyBorder="1" applyAlignment="1">
      <alignment horizontal="left" vertical="top" wrapText="1"/>
    </xf>
    <xf numFmtId="49" fontId="74" fillId="0" borderId="105" xfId="18" applyNumberFormat="1" applyFont="1" applyFill="1" applyBorder="1" applyAlignment="1">
      <alignment horizontal="center" vertical="top"/>
    </xf>
    <xf numFmtId="0" fontId="74" fillId="0" borderId="65" xfId="18" applyFont="1" applyFill="1" applyBorder="1" applyAlignment="1">
      <alignment horizontal="center" vertical="center" wrapText="1"/>
    </xf>
    <xf numFmtId="0" fontId="73" fillId="0" borderId="87" xfId="18" quotePrefix="1" applyFont="1" applyFill="1" applyBorder="1" applyAlignment="1">
      <alignment horizontal="left" vertical="top" wrapText="1"/>
    </xf>
    <xf numFmtId="0" fontId="73" fillId="0" borderId="88" xfId="18" quotePrefix="1" applyFont="1" applyFill="1" applyBorder="1" applyAlignment="1">
      <alignment horizontal="left" vertical="top" wrapText="1"/>
    </xf>
    <xf numFmtId="0" fontId="73" fillId="0" borderId="89" xfId="18" quotePrefix="1" applyFont="1" applyFill="1" applyBorder="1" applyAlignment="1">
      <alignment horizontal="left" vertical="top" wrapText="1"/>
    </xf>
    <xf numFmtId="0" fontId="104" fillId="0" borderId="87" xfId="18" applyFont="1" applyFill="1" applyBorder="1" applyAlignment="1">
      <alignment horizontal="left" vertical="top" wrapText="1"/>
    </xf>
    <xf numFmtId="0" fontId="104" fillId="0" borderId="88" xfId="18" applyFont="1" applyFill="1" applyBorder="1" applyAlignment="1">
      <alignment horizontal="left" vertical="top" wrapText="1"/>
    </xf>
    <xf numFmtId="0" fontId="104" fillId="0" borderId="89" xfId="18" applyFont="1" applyFill="1" applyBorder="1" applyAlignment="1">
      <alignment horizontal="left" vertical="top" wrapText="1"/>
    </xf>
    <xf numFmtId="0" fontId="74" fillId="0" borderId="87" xfId="18" quotePrefix="1" applyFont="1" applyFill="1" applyBorder="1" applyAlignment="1">
      <alignment horizontal="left" vertical="top" wrapText="1"/>
    </xf>
    <xf numFmtId="0" fontId="74" fillId="0" borderId="88" xfId="18" quotePrefix="1" applyFont="1" applyFill="1" applyBorder="1" applyAlignment="1">
      <alignment horizontal="left" vertical="top" wrapText="1"/>
    </xf>
    <xf numFmtId="0" fontId="74" fillId="0" borderId="89" xfId="18" quotePrefix="1" applyFont="1" applyFill="1" applyBorder="1" applyAlignment="1">
      <alignment horizontal="left" vertical="top" wrapText="1"/>
    </xf>
    <xf numFmtId="0" fontId="74" fillId="0" borderId="108" xfId="18" applyFont="1" applyFill="1" applyBorder="1" applyAlignment="1">
      <alignment horizontal="left" vertical="top" wrapText="1"/>
    </xf>
    <xf numFmtId="0" fontId="74" fillId="0" borderId="135" xfId="18" applyFont="1" applyFill="1" applyBorder="1" applyAlignment="1">
      <alignment horizontal="left" vertical="top" wrapText="1"/>
    </xf>
    <xf numFmtId="0" fontId="74" fillId="0" borderId="109" xfId="18" applyFont="1" applyFill="1" applyBorder="1" applyAlignment="1">
      <alignment horizontal="left" vertical="top" wrapText="1"/>
    </xf>
    <xf numFmtId="0" fontId="104" fillId="0" borderId="87" xfId="18" quotePrefix="1" applyFont="1" applyFill="1" applyBorder="1" applyAlignment="1">
      <alignment horizontal="left" vertical="top" wrapText="1"/>
    </xf>
    <xf numFmtId="0" fontId="104" fillId="0" borderId="88" xfId="18" quotePrefix="1" applyFont="1" applyFill="1" applyBorder="1" applyAlignment="1">
      <alignment horizontal="left" vertical="top" wrapText="1"/>
    </xf>
    <xf numFmtId="0" fontId="104" fillId="0" borderId="89" xfId="18" quotePrefix="1" applyFont="1" applyFill="1" applyBorder="1" applyAlignment="1">
      <alignment horizontal="left" vertical="top" wrapText="1"/>
    </xf>
    <xf numFmtId="0" fontId="20" fillId="0" borderId="130" xfId="0" applyFont="1" applyBorder="1" applyAlignment="1">
      <alignment horizontal="left" vertical="center"/>
    </xf>
    <xf numFmtId="3" fontId="20" fillId="0" borderId="130" xfId="0" applyNumberFormat="1" applyFont="1" applyFill="1" applyBorder="1" applyAlignment="1">
      <alignment horizontal="right" vertical="center" wrapText="1"/>
    </xf>
    <xf numFmtId="3" fontId="20" fillId="0" borderId="130" xfId="0" applyNumberFormat="1" applyFont="1" applyFill="1" applyBorder="1" applyAlignment="1">
      <alignment horizontal="right" vertical="center"/>
    </xf>
    <xf numFmtId="3" fontId="20" fillId="0" borderId="130" xfId="0" applyNumberFormat="1" applyFont="1" applyBorder="1" applyAlignment="1">
      <alignment horizontal="right" vertical="center" wrapText="1"/>
    </xf>
    <xf numFmtId="3" fontId="1" fillId="0" borderId="130" xfId="0" applyNumberFormat="1" applyFont="1" applyFill="1" applyBorder="1" applyAlignment="1">
      <alignment horizontal="right" vertical="center"/>
    </xf>
    <xf numFmtId="3" fontId="20" fillId="2" borderId="130" xfId="0" applyNumberFormat="1" applyFont="1" applyFill="1" applyBorder="1" applyAlignment="1">
      <alignment horizontal="right" vertical="center"/>
    </xf>
    <xf numFmtId="0" fontId="20" fillId="0" borderId="90" xfId="0" applyFont="1" applyBorder="1" applyAlignment="1">
      <alignment horizontal="left" vertical="center"/>
    </xf>
    <xf numFmtId="0" fontId="20" fillId="0" borderId="91" xfId="0" applyFont="1" applyBorder="1" applyAlignment="1">
      <alignment horizontal="left" vertical="center"/>
    </xf>
    <xf numFmtId="0" fontId="20" fillId="0" borderId="17" xfId="0" applyFont="1" applyBorder="1" applyAlignment="1">
      <alignment horizontal="left" vertical="center"/>
    </xf>
    <xf numFmtId="0" fontId="1" fillId="0" borderId="101" xfId="0" applyFont="1" applyFill="1" applyBorder="1" applyAlignment="1">
      <alignment horizontal="left" vertical="center" wrapText="1"/>
    </xf>
    <xf numFmtId="0" fontId="20" fillId="0" borderId="88" xfId="0" applyFont="1" applyFill="1" applyBorder="1" applyAlignment="1">
      <alignment horizontal="left" vertical="center" wrapText="1"/>
    </xf>
    <xf numFmtId="0" fontId="20" fillId="0" borderId="102" xfId="0" applyFont="1" applyFill="1" applyBorder="1" applyAlignment="1">
      <alignment horizontal="left" vertical="center" wrapText="1"/>
    </xf>
    <xf numFmtId="3" fontId="20" fillId="2" borderId="129" xfId="0" applyNumberFormat="1" applyFont="1" applyFill="1" applyBorder="1" applyAlignment="1">
      <alignment horizontal="right" vertical="center" wrapText="1"/>
    </xf>
    <xf numFmtId="0" fontId="19" fillId="0" borderId="126" xfId="0" applyFont="1" applyBorder="1" applyAlignment="1">
      <alignment horizontal="left" vertical="center" wrapText="1"/>
    </xf>
    <xf numFmtId="3" fontId="20" fillId="2" borderId="126" xfId="0" applyNumberFormat="1" applyFont="1" applyFill="1" applyBorder="1" applyAlignment="1">
      <alignment horizontal="right" vertical="center" wrapText="1"/>
    </xf>
    <xf numFmtId="3" fontId="20" fillId="0" borderId="66" xfId="0" applyNumberFormat="1" applyFont="1" applyBorder="1" applyAlignment="1">
      <alignment horizontal="right" vertical="center"/>
    </xf>
    <xf numFmtId="3" fontId="20" fillId="0" borderId="43" xfId="0" applyNumberFormat="1" applyFont="1" applyBorder="1" applyAlignment="1">
      <alignment horizontal="right" vertical="center"/>
    </xf>
    <xf numFmtId="3" fontId="20" fillId="4" borderId="43" xfId="0" applyNumberFormat="1" applyFont="1" applyFill="1" applyBorder="1" applyAlignment="1">
      <alignment horizontal="right" vertical="center"/>
    </xf>
    <xf numFmtId="3" fontId="20" fillId="2" borderId="43" xfId="0" applyNumberFormat="1" applyFont="1" applyFill="1" applyBorder="1" applyAlignment="1">
      <alignment horizontal="right" vertical="center"/>
    </xf>
    <xf numFmtId="3" fontId="20" fillId="2" borderId="67" xfId="0" applyNumberFormat="1" applyFont="1" applyFill="1" applyBorder="1" applyAlignment="1">
      <alignment horizontal="right" vertical="center"/>
    </xf>
    <xf numFmtId="0" fontId="20" fillId="0" borderId="122" xfId="0" applyFont="1" applyBorder="1" applyAlignment="1">
      <alignment horizontal="left" vertical="center" wrapText="1"/>
    </xf>
    <xf numFmtId="0" fontId="20" fillId="0" borderId="113" xfId="0" applyFont="1" applyBorder="1" applyAlignment="1">
      <alignment horizontal="left" vertical="center" wrapText="1"/>
    </xf>
    <xf numFmtId="0" fontId="20" fillId="0" borderId="110" xfId="0" applyFont="1" applyBorder="1" applyAlignment="1">
      <alignment horizontal="left" vertical="center" wrapText="1"/>
    </xf>
    <xf numFmtId="0" fontId="1" fillId="4" borderId="101" xfId="0" applyFont="1" applyFill="1" applyBorder="1" applyAlignment="1">
      <alignment horizontal="left" vertical="center" wrapText="1"/>
    </xf>
    <xf numFmtId="0" fontId="20" fillId="4" borderId="88" xfId="0" applyFont="1" applyFill="1" applyBorder="1" applyAlignment="1">
      <alignment horizontal="left" vertical="center" wrapText="1"/>
    </xf>
    <xf numFmtId="0" fontId="20" fillId="4" borderId="102" xfId="0" applyFont="1" applyFill="1" applyBorder="1" applyAlignment="1">
      <alignment horizontal="left" vertical="center" wrapText="1"/>
    </xf>
    <xf numFmtId="3" fontId="1" fillId="0" borderId="43" xfId="0" applyNumberFormat="1" applyFont="1" applyFill="1" applyBorder="1" applyAlignment="1">
      <alignment horizontal="right" vertical="center"/>
    </xf>
    <xf numFmtId="3" fontId="20" fillId="0" borderId="43" xfId="0" applyNumberFormat="1" applyFont="1" applyFill="1" applyBorder="1" applyAlignment="1">
      <alignment horizontal="right" vertical="center"/>
    </xf>
    <xf numFmtId="3" fontId="20" fillId="0" borderId="127" xfId="0" applyNumberFormat="1" applyFont="1" applyBorder="1" applyAlignment="1">
      <alignment horizontal="right" vertical="center"/>
    </xf>
    <xf numFmtId="3" fontId="20" fillId="0" borderId="128" xfId="0" applyNumberFormat="1" applyFont="1" applyBorder="1" applyAlignment="1">
      <alignment horizontal="right" vertical="center"/>
    </xf>
    <xf numFmtId="3" fontId="20" fillId="0" borderId="124" xfId="0" applyNumberFormat="1" applyFont="1" applyBorder="1" applyAlignment="1">
      <alignment horizontal="right" vertical="center"/>
    </xf>
    <xf numFmtId="3" fontId="20" fillId="0" borderId="89" xfId="0" applyNumberFormat="1" applyFont="1" applyBorder="1" applyAlignment="1">
      <alignment horizontal="right" vertical="center"/>
    </xf>
    <xf numFmtId="3" fontId="20" fillId="0" borderId="67" xfId="0" applyNumberFormat="1" applyFont="1" applyBorder="1" applyAlignment="1">
      <alignment horizontal="right" vertical="center"/>
    </xf>
    <xf numFmtId="0" fontId="20" fillId="0" borderId="130" xfId="0" applyFont="1" applyBorder="1" applyAlignment="1">
      <alignment horizontal="left" vertical="center" wrapText="1"/>
    </xf>
    <xf numFmtId="0" fontId="7" fillId="0" borderId="0" xfId="0" applyFont="1" applyFill="1" applyAlignment="1">
      <alignment horizontal="justify" vertical="top"/>
    </xf>
    <xf numFmtId="0" fontId="11" fillId="0" borderId="0" xfId="0" applyFont="1" applyFill="1" applyAlignment="1">
      <alignment horizontal="justify" vertical="top"/>
    </xf>
    <xf numFmtId="0" fontId="20" fillId="0" borderId="101" xfId="0" applyFont="1" applyBorder="1" applyAlignment="1">
      <alignment horizontal="left" vertical="center" wrapText="1"/>
    </xf>
    <xf numFmtId="0" fontId="20" fillId="0" borderId="88" xfId="0" applyFont="1" applyBorder="1" applyAlignment="1">
      <alignment horizontal="left" vertical="center" wrapText="1"/>
    </xf>
    <xf numFmtId="0" fontId="20" fillId="0" borderId="102" xfId="0" applyFont="1" applyBorder="1" applyAlignment="1">
      <alignment horizontal="left" vertical="center" wrapText="1"/>
    </xf>
    <xf numFmtId="3" fontId="19" fillId="2" borderId="43" xfId="0" applyNumberFormat="1" applyFont="1" applyFill="1" applyBorder="1" applyAlignment="1">
      <alignment horizontal="right" vertical="center"/>
    </xf>
    <xf numFmtId="3" fontId="1" fillId="0" borderId="128" xfId="0" applyNumberFormat="1" applyFont="1" applyFill="1" applyBorder="1" applyAlignment="1">
      <alignment horizontal="right" vertical="center"/>
    </xf>
    <xf numFmtId="3" fontId="20" fillId="0" borderId="128" xfId="0" applyNumberFormat="1" applyFont="1" applyFill="1" applyBorder="1" applyAlignment="1">
      <alignment horizontal="right" vertical="center"/>
    </xf>
    <xf numFmtId="3" fontId="20" fillId="2" borderId="129" xfId="0" applyNumberFormat="1" applyFont="1" applyFill="1" applyBorder="1" applyAlignment="1">
      <alignment horizontal="right" vertical="center"/>
    </xf>
    <xf numFmtId="3" fontId="1" fillId="0" borderId="128" xfId="0" applyNumberFormat="1" applyFont="1" applyBorder="1" applyAlignment="1">
      <alignment horizontal="right" vertical="center" wrapText="1"/>
    </xf>
    <xf numFmtId="3" fontId="1" fillId="0" borderId="101" xfId="0" applyNumberFormat="1" applyFont="1" applyFill="1" applyBorder="1" applyAlignment="1">
      <alignment horizontal="right" vertical="center" wrapText="1"/>
    </xf>
    <xf numFmtId="3" fontId="1" fillId="0" borderId="88" xfId="0" applyNumberFormat="1" applyFont="1" applyFill="1" applyBorder="1" applyAlignment="1">
      <alignment horizontal="right" vertical="center" wrapText="1"/>
    </xf>
    <xf numFmtId="3" fontId="1" fillId="0" borderId="102" xfId="0" applyNumberFormat="1" applyFont="1" applyFill="1" applyBorder="1" applyAlignment="1">
      <alignment horizontal="right" vertical="center" wrapText="1"/>
    </xf>
    <xf numFmtId="0" fontId="20" fillId="0" borderId="98" xfId="0" applyFont="1" applyBorder="1" applyAlignment="1">
      <alignment horizontal="left" vertical="center" wrapText="1"/>
    </xf>
    <xf numFmtId="0" fontId="20" fillId="0" borderId="99" xfId="0" applyFont="1" applyBorder="1" applyAlignment="1">
      <alignment horizontal="left" vertical="center" wrapText="1"/>
    </xf>
    <xf numFmtId="0" fontId="20" fillId="0" borderId="100" xfId="0" applyFont="1" applyBorder="1" applyAlignment="1">
      <alignment horizontal="left" vertical="center" wrapText="1"/>
    </xf>
    <xf numFmtId="3" fontId="20" fillId="0" borderId="122" xfId="0" applyNumberFormat="1" applyFont="1" applyBorder="1" applyAlignment="1">
      <alignment horizontal="right" vertical="center"/>
    </xf>
    <xf numFmtId="3" fontId="20" fillId="0" borderId="113" xfId="0" applyNumberFormat="1" applyFont="1" applyBorder="1" applyAlignment="1">
      <alignment horizontal="right" vertical="center"/>
    </xf>
    <xf numFmtId="3" fontId="20" fillId="0" borderId="112" xfId="0" applyNumberFormat="1" applyFont="1" applyBorder="1" applyAlignment="1">
      <alignment horizontal="right" vertical="center"/>
    </xf>
    <xf numFmtId="3" fontId="20" fillId="0" borderId="111" xfId="0" applyNumberFormat="1" applyFont="1" applyBorder="1" applyAlignment="1">
      <alignment horizontal="right" vertical="center"/>
    </xf>
    <xf numFmtId="3" fontId="1" fillId="4" borderId="130" xfId="0" applyNumberFormat="1" applyFont="1" applyFill="1" applyBorder="1" applyAlignment="1">
      <alignment horizontal="right" vertical="center" wrapText="1"/>
    </xf>
    <xf numFmtId="0" fontId="19" fillId="0" borderId="96" xfId="0" applyFont="1" applyBorder="1" applyAlignment="1">
      <alignment horizontal="left" vertical="center" wrapText="1"/>
    </xf>
    <xf numFmtId="0" fontId="19" fillId="0" borderId="97" xfId="0" applyFont="1" applyBorder="1" applyAlignment="1">
      <alignment horizontal="left" vertical="center" wrapText="1"/>
    </xf>
    <xf numFmtId="0" fontId="19" fillId="0" borderId="13" xfId="0" applyFont="1" applyBorder="1" applyAlignment="1">
      <alignment horizontal="left" vertical="center" wrapText="1"/>
    </xf>
    <xf numFmtId="3" fontId="1" fillId="0" borderId="130" xfId="0" applyNumberFormat="1" applyFont="1" applyBorder="1" applyAlignment="1">
      <alignment horizontal="right" vertical="center" wrapText="1"/>
    </xf>
    <xf numFmtId="3" fontId="20" fillId="2" borderId="125" xfId="0" applyNumberFormat="1" applyFont="1" applyFill="1" applyBorder="1" applyAlignment="1">
      <alignment horizontal="right" vertical="center" wrapText="1"/>
    </xf>
    <xf numFmtId="3" fontId="20" fillId="0" borderId="37" xfId="0" applyNumberFormat="1" applyFont="1" applyBorder="1" applyAlignment="1">
      <alignment horizontal="right" vertical="center"/>
    </xf>
    <xf numFmtId="3" fontId="20" fillId="4" borderId="130" xfId="0" applyNumberFormat="1" applyFont="1" applyFill="1" applyBorder="1" applyAlignment="1">
      <alignment horizontal="right" vertical="center" wrapText="1"/>
    </xf>
    <xf numFmtId="0" fontId="19" fillId="0" borderId="37" xfId="0" applyFont="1" applyBorder="1" applyAlignment="1">
      <alignment horizontal="center" vertical="center" wrapText="1"/>
    </xf>
    <xf numFmtId="3" fontId="20" fillId="0" borderId="122" xfId="0" applyNumberFormat="1" applyFont="1" applyFill="1" applyBorder="1" applyAlignment="1">
      <alignment horizontal="right" vertical="center"/>
    </xf>
    <xf numFmtId="3" fontId="20" fillId="0" borderId="113" xfId="0" applyNumberFormat="1" applyFont="1" applyFill="1" applyBorder="1" applyAlignment="1">
      <alignment horizontal="right" vertical="center"/>
    </xf>
    <xf numFmtId="3" fontId="20" fillId="0" borderId="110" xfId="0" applyNumberFormat="1" applyFont="1" applyFill="1" applyBorder="1" applyAlignment="1">
      <alignment horizontal="right" vertical="center"/>
    </xf>
    <xf numFmtId="3" fontId="20" fillId="0" borderId="101" xfId="0" applyNumberFormat="1" applyFont="1" applyFill="1" applyBorder="1" applyAlignment="1">
      <alignment horizontal="right" vertical="center"/>
    </xf>
    <xf numFmtId="3" fontId="20" fillId="0" borderId="88" xfId="0" applyNumberFormat="1" applyFont="1" applyFill="1" applyBorder="1" applyAlignment="1">
      <alignment horizontal="right" vertical="center"/>
    </xf>
    <xf numFmtId="3" fontId="20" fillId="0" borderId="102" xfId="0" applyNumberFormat="1" applyFont="1" applyFill="1" applyBorder="1" applyAlignment="1">
      <alignment horizontal="right" vertical="center"/>
    </xf>
    <xf numFmtId="3" fontId="20" fillId="0" borderId="13" xfId="0" applyNumberFormat="1" applyFont="1" applyBorder="1" applyAlignment="1">
      <alignment horizontal="right" vertical="center"/>
    </xf>
    <xf numFmtId="3" fontId="20" fillId="0" borderId="129" xfId="0" applyNumberFormat="1" applyFont="1" applyBorder="1" applyAlignment="1">
      <alignment horizontal="right" vertical="center"/>
    </xf>
    <xf numFmtId="3" fontId="20" fillId="0" borderId="92" xfId="0" applyNumberFormat="1" applyFont="1" applyBorder="1" applyAlignment="1">
      <alignment horizontal="right" vertical="center"/>
    </xf>
    <xf numFmtId="3" fontId="5" fillId="0" borderId="132" xfId="0" applyNumberFormat="1" applyFont="1" applyBorder="1" applyAlignment="1">
      <alignment horizontal="center" vertical="center"/>
    </xf>
    <xf numFmtId="3" fontId="5" fillId="0" borderId="91" xfId="0" applyNumberFormat="1" applyFont="1" applyBorder="1" applyAlignment="1">
      <alignment horizontal="center" vertical="center"/>
    </xf>
    <xf numFmtId="3" fontId="5" fillId="0" borderId="133" xfId="0" applyNumberFormat="1" applyFont="1" applyBorder="1" applyAlignment="1">
      <alignment horizontal="center" vertical="center"/>
    </xf>
    <xf numFmtId="0" fontId="21" fillId="0" borderId="101" xfId="0" applyFont="1" applyBorder="1" applyAlignment="1">
      <alignment horizontal="left" vertical="center" wrapText="1"/>
    </xf>
    <xf numFmtId="0" fontId="21" fillId="0" borderId="88" xfId="0" applyFont="1" applyBorder="1" applyAlignment="1">
      <alignment horizontal="left" vertical="center" wrapText="1"/>
    </xf>
    <xf numFmtId="0" fontId="21" fillId="0" borderId="102" xfId="0" applyFont="1" applyBorder="1" applyAlignment="1">
      <alignment horizontal="left" vertical="center" wrapText="1"/>
    </xf>
    <xf numFmtId="0" fontId="1" fillId="0" borderId="130" xfId="0" applyFont="1" applyBorder="1" applyAlignment="1">
      <alignment horizontal="left" vertical="center" wrapText="1"/>
    </xf>
    <xf numFmtId="0" fontId="21" fillId="0" borderId="130" xfId="0" applyFont="1" applyBorder="1" applyAlignment="1">
      <alignment horizontal="left" vertical="center" wrapText="1"/>
    </xf>
    <xf numFmtId="0" fontId="54" fillId="0" borderId="0" xfId="0" applyFont="1" applyFill="1" applyAlignment="1">
      <alignment horizontal="left"/>
    </xf>
    <xf numFmtId="0" fontId="20" fillId="0" borderId="128" xfId="0" applyFont="1" applyBorder="1" applyAlignment="1">
      <alignment horizontal="left" vertical="center" wrapText="1"/>
    </xf>
    <xf numFmtId="3" fontId="19" fillId="2" borderId="89" xfId="0" applyNumberFormat="1" applyFont="1" applyFill="1" applyBorder="1" applyAlignment="1">
      <alignment horizontal="right" vertical="center"/>
    </xf>
    <xf numFmtId="0" fontId="20" fillId="0" borderId="89" xfId="0" applyFont="1" applyBorder="1" applyAlignment="1">
      <alignment horizontal="center" vertical="center"/>
    </xf>
    <xf numFmtId="0" fontId="20" fillId="0" borderId="43" xfId="0" applyFont="1" applyBorder="1" applyAlignment="1">
      <alignment horizontal="center" vertical="center"/>
    </xf>
    <xf numFmtId="0" fontId="20" fillId="0" borderId="13" xfId="0" applyFont="1" applyBorder="1" applyAlignment="1">
      <alignment horizontal="center" vertical="center"/>
    </xf>
    <xf numFmtId="0" fontId="20" fillId="0" borderId="129" xfId="0" applyFont="1" applyBorder="1" applyAlignment="1">
      <alignment horizontal="center" vertical="center"/>
    </xf>
    <xf numFmtId="0" fontId="20" fillId="0" borderId="96" xfId="0" applyFont="1" applyBorder="1" applyAlignment="1">
      <alignment horizontal="center" vertical="center"/>
    </xf>
    <xf numFmtId="0" fontId="19" fillId="0" borderId="92"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96" xfId="0" applyFont="1" applyBorder="1" applyAlignment="1">
      <alignment horizontal="center" vertical="center" wrapText="1"/>
    </xf>
    <xf numFmtId="0" fontId="19" fillId="0" borderId="97" xfId="0" applyFont="1" applyBorder="1" applyAlignment="1">
      <alignment horizontal="center" vertical="center" wrapText="1"/>
    </xf>
    <xf numFmtId="0" fontId="19" fillId="0" borderId="94"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92" xfId="0" applyFont="1" applyBorder="1" applyAlignment="1">
      <alignment horizontal="left" vertical="center" wrapText="1"/>
    </xf>
    <xf numFmtId="0" fontId="20" fillId="0" borderId="93" xfId="0" applyFont="1" applyBorder="1" applyAlignment="1">
      <alignment horizontal="left" vertical="center" wrapText="1"/>
    </xf>
    <xf numFmtId="0" fontId="20" fillId="0" borderId="94" xfId="0" applyFont="1" applyBorder="1" applyAlignment="1">
      <alignment horizontal="left" vertical="center" wrapText="1"/>
    </xf>
    <xf numFmtId="0" fontId="10" fillId="0" borderId="0" xfId="0" applyFont="1" applyAlignment="1">
      <alignment horizontal="left" vertical="top"/>
    </xf>
    <xf numFmtId="0" fontId="19" fillId="0" borderId="90" xfId="0" applyFont="1" applyBorder="1" applyAlignment="1">
      <alignment horizontal="center" vertical="center"/>
    </xf>
    <xf numFmtId="0" fontId="19" fillId="0" borderId="91" xfId="0" applyFont="1" applyBorder="1" applyAlignment="1">
      <alignment horizontal="center" vertical="center"/>
    </xf>
    <xf numFmtId="0" fontId="19" fillId="0" borderId="17" xfId="0" applyFont="1" applyBorder="1" applyAlignment="1">
      <alignment horizontal="center" vertical="center"/>
    </xf>
    <xf numFmtId="0" fontId="19" fillId="0" borderId="130" xfId="0" applyFont="1" applyBorder="1" applyAlignment="1">
      <alignment horizontal="left" vertical="center" wrapText="1"/>
    </xf>
    <xf numFmtId="3" fontId="19" fillId="0" borderId="130" xfId="0" applyNumberFormat="1" applyFont="1" applyBorder="1" applyAlignment="1">
      <alignment horizontal="right" vertical="center" wrapText="1"/>
    </xf>
    <xf numFmtId="0" fontId="1" fillId="4" borderId="130" xfId="0" applyFont="1" applyFill="1" applyBorder="1" applyAlignment="1">
      <alignment horizontal="left" vertical="center" wrapText="1"/>
    </xf>
    <xf numFmtId="0" fontId="20" fillId="4" borderId="130" xfId="0" applyFont="1" applyFill="1" applyBorder="1" applyAlignment="1">
      <alignment horizontal="left" vertical="center" wrapText="1"/>
    </xf>
    <xf numFmtId="0" fontId="19" fillId="0" borderId="129" xfId="0" applyFont="1" applyBorder="1" applyAlignment="1">
      <alignment horizontal="left" vertical="center" wrapText="1"/>
    </xf>
    <xf numFmtId="3" fontId="19" fillId="0" borderId="37" xfId="0" applyNumberFormat="1" applyFont="1" applyBorder="1" applyAlignment="1">
      <alignment horizontal="right" vertical="center"/>
    </xf>
    <xf numFmtId="0" fontId="1" fillId="0" borderId="122" xfId="0" applyFont="1" applyBorder="1" applyAlignment="1">
      <alignment horizontal="left"/>
    </xf>
    <xf numFmtId="0" fontId="20" fillId="0" borderId="113" xfId="0" applyFont="1" applyBorder="1" applyAlignment="1">
      <alignment horizontal="left"/>
    </xf>
    <xf numFmtId="0" fontId="20" fillId="0" borderId="110" xfId="0" applyFont="1" applyBorder="1" applyAlignment="1">
      <alignment horizontal="left"/>
    </xf>
    <xf numFmtId="3" fontId="20" fillId="2" borderId="128" xfId="0" applyNumberFormat="1" applyFont="1" applyFill="1" applyBorder="1" applyAlignment="1">
      <alignment horizontal="right" vertical="center"/>
    </xf>
    <xf numFmtId="0" fontId="11" fillId="0" borderId="0" xfId="0" applyFont="1" applyFill="1" applyAlignment="1">
      <alignment horizontal="left" vertical="top"/>
    </xf>
    <xf numFmtId="3" fontId="1" fillId="0" borderId="130" xfId="0" applyNumberFormat="1" applyFont="1" applyBorder="1" applyAlignment="1">
      <alignment horizontal="right" vertical="center"/>
    </xf>
    <xf numFmtId="3" fontId="1" fillId="2" borderId="130" xfId="0" applyNumberFormat="1" applyFont="1" applyFill="1" applyBorder="1" applyAlignment="1">
      <alignment horizontal="right" vertical="center"/>
    </xf>
    <xf numFmtId="3" fontId="1" fillId="0" borderId="125" xfId="0" applyNumberFormat="1" applyFont="1" applyBorder="1" applyAlignment="1">
      <alignment horizontal="right" vertical="center" wrapText="1"/>
    </xf>
    <xf numFmtId="0" fontId="1" fillId="0" borderId="130" xfId="0" applyFont="1" applyFill="1" applyBorder="1" applyAlignment="1">
      <alignment horizontal="left" vertical="center" wrapText="1"/>
    </xf>
    <xf numFmtId="0" fontId="20" fillId="0" borderId="37" xfId="0" applyFont="1" applyBorder="1" applyAlignment="1">
      <alignment horizontal="center" vertical="center"/>
    </xf>
    <xf numFmtId="0" fontId="20" fillId="0" borderId="90" xfId="0" applyFont="1" applyBorder="1" applyAlignment="1">
      <alignment horizontal="center" vertical="center"/>
    </xf>
    <xf numFmtId="3" fontId="1" fillId="0" borderId="130" xfId="0" applyNumberFormat="1" applyFont="1" applyFill="1" applyBorder="1" applyAlignment="1">
      <alignment horizontal="right" vertical="center" wrapText="1"/>
    </xf>
    <xf numFmtId="0" fontId="1" fillId="0" borderId="101" xfId="0" applyFont="1" applyBorder="1" applyAlignment="1">
      <alignment horizontal="left" vertical="center" wrapText="1"/>
    </xf>
    <xf numFmtId="0" fontId="1" fillId="0" borderId="88" xfId="0" applyFont="1" applyBorder="1" applyAlignment="1">
      <alignment horizontal="left" vertical="center" wrapText="1"/>
    </xf>
    <xf numFmtId="0" fontId="1" fillId="0" borderId="102" xfId="0" applyFont="1" applyBorder="1" applyAlignment="1">
      <alignment horizontal="left" vertical="center" wrapText="1"/>
    </xf>
    <xf numFmtId="0" fontId="19" fillId="0" borderId="37" xfId="0" applyFont="1" applyFill="1" applyBorder="1" applyAlignment="1">
      <alignment horizontal="center" vertical="center" wrapText="1"/>
    </xf>
    <xf numFmtId="0" fontId="1" fillId="0" borderId="122" xfId="0" applyFont="1" applyFill="1" applyBorder="1" applyAlignment="1">
      <alignment horizontal="left" vertical="center" wrapText="1"/>
    </xf>
    <xf numFmtId="0" fontId="20" fillId="0" borderId="113" xfId="0" applyFont="1" applyFill="1" applyBorder="1" applyAlignment="1">
      <alignment horizontal="left" vertical="center" wrapText="1"/>
    </xf>
    <xf numFmtId="0" fontId="20" fillId="0" borderId="110" xfId="0" applyFont="1" applyFill="1" applyBorder="1" applyAlignment="1">
      <alignment horizontal="left" vertical="center" wrapText="1"/>
    </xf>
    <xf numFmtId="175" fontId="1" fillId="0" borderId="128" xfId="0" applyNumberFormat="1" applyFont="1" applyFill="1" applyBorder="1" applyAlignment="1">
      <alignment horizontal="right" vertical="center"/>
    </xf>
    <xf numFmtId="175" fontId="20" fillId="0" borderId="128" xfId="0" applyNumberFormat="1" applyFont="1" applyFill="1" applyBorder="1" applyAlignment="1">
      <alignment horizontal="right" vertical="center"/>
    </xf>
    <xf numFmtId="10" fontId="20" fillId="0" borderId="128" xfId="0" applyNumberFormat="1" applyFont="1" applyFill="1" applyBorder="1" applyAlignment="1">
      <alignment horizontal="right" vertical="center"/>
    </xf>
    <xf numFmtId="0" fontId="20" fillId="0" borderId="130" xfId="0" applyFont="1" applyFill="1" applyBorder="1" applyAlignment="1">
      <alignment horizontal="center" vertical="center" wrapText="1"/>
    </xf>
    <xf numFmtId="175" fontId="20" fillId="0" borderId="130" xfId="0" applyNumberFormat="1" applyFont="1" applyFill="1" applyBorder="1" applyAlignment="1">
      <alignment horizontal="right" vertical="center"/>
    </xf>
    <xf numFmtId="0" fontId="20" fillId="0" borderId="130" xfId="0" applyFont="1" applyFill="1" applyBorder="1" applyAlignment="1">
      <alignment horizontal="right" vertical="center"/>
    </xf>
    <xf numFmtId="0" fontId="19" fillId="0" borderId="37" xfId="0" applyFont="1" applyBorder="1" applyAlignment="1">
      <alignment horizontal="center" vertical="center"/>
    </xf>
    <xf numFmtId="0" fontId="19" fillId="0" borderId="128" xfId="0" applyFont="1" applyBorder="1" applyAlignment="1">
      <alignment horizontal="left" vertical="center" wrapText="1"/>
    </xf>
    <xf numFmtId="3" fontId="20" fillId="0" borderId="128" xfId="0" applyNumberFormat="1" applyFont="1" applyFill="1" applyBorder="1" applyAlignment="1">
      <alignment horizontal="right" vertical="center" wrapText="1"/>
    </xf>
    <xf numFmtId="3" fontId="20" fillId="2" borderId="122" xfId="0" applyNumberFormat="1" applyFont="1" applyFill="1" applyBorder="1" applyAlignment="1">
      <alignment horizontal="right" vertical="center"/>
    </xf>
    <xf numFmtId="3" fontId="20" fillId="2" borderId="113" xfId="0" applyNumberFormat="1" applyFont="1" applyFill="1" applyBorder="1" applyAlignment="1">
      <alignment horizontal="right" vertical="center"/>
    </xf>
    <xf numFmtId="3" fontId="20" fillId="2" borderId="110" xfId="0" applyNumberFormat="1" applyFont="1" applyFill="1" applyBorder="1" applyAlignment="1">
      <alignment horizontal="right" vertical="center"/>
    </xf>
    <xf numFmtId="3" fontId="1" fillId="0" borderId="128" xfId="0" applyNumberFormat="1" applyFont="1" applyFill="1" applyBorder="1" applyAlignment="1">
      <alignment horizontal="right" vertical="center" wrapText="1"/>
    </xf>
    <xf numFmtId="3" fontId="1" fillId="0" borderId="101" xfId="0" applyNumberFormat="1" applyFont="1" applyFill="1" applyBorder="1" applyAlignment="1">
      <alignment horizontal="right" vertical="center"/>
    </xf>
    <xf numFmtId="3" fontId="1" fillId="0" borderId="88" xfId="0" applyNumberFormat="1" applyFont="1" applyFill="1" applyBorder="1" applyAlignment="1">
      <alignment horizontal="right" vertical="center"/>
    </xf>
    <xf numFmtId="3" fontId="1" fillId="0" borderId="102" xfId="0" applyNumberFormat="1" applyFont="1" applyFill="1" applyBorder="1" applyAlignment="1">
      <alignment horizontal="right" vertical="center"/>
    </xf>
    <xf numFmtId="3" fontId="1" fillId="0" borderId="122" xfId="0" applyNumberFormat="1" applyFont="1" applyFill="1" applyBorder="1" applyAlignment="1">
      <alignment horizontal="right" vertical="center" wrapText="1"/>
    </xf>
    <xf numFmtId="3" fontId="1" fillId="0" borderId="113" xfId="0" applyNumberFormat="1" applyFont="1" applyFill="1" applyBorder="1" applyAlignment="1">
      <alignment horizontal="right" vertical="center" wrapText="1"/>
    </xf>
    <xf numFmtId="3" fontId="1" fillId="0" borderId="110" xfId="0" applyNumberFormat="1" applyFont="1" applyFill="1" applyBorder="1" applyAlignment="1">
      <alignment horizontal="right" vertical="center" wrapText="1"/>
    </xf>
    <xf numFmtId="3" fontId="1" fillId="0" borderId="122" xfId="0" applyNumberFormat="1" applyFont="1" applyFill="1" applyBorder="1" applyAlignment="1">
      <alignment horizontal="right" vertical="center"/>
    </xf>
    <xf numFmtId="3" fontId="1" fillId="0" borderId="113" xfId="0" applyNumberFormat="1" applyFont="1" applyFill="1" applyBorder="1" applyAlignment="1">
      <alignment horizontal="right" vertical="center"/>
    </xf>
    <xf numFmtId="3" fontId="1" fillId="0" borderId="110" xfId="0" applyNumberFormat="1" applyFont="1" applyFill="1" applyBorder="1" applyAlignment="1">
      <alignment horizontal="right" vertical="center"/>
    </xf>
    <xf numFmtId="0" fontId="7" fillId="0" borderId="0" xfId="0" applyFont="1" applyFill="1" applyAlignment="1">
      <alignment horizontal="justify" vertical="top" wrapText="1"/>
    </xf>
    <xf numFmtId="0" fontId="12" fillId="0" borderId="0" xfId="0" applyFont="1" applyFill="1" applyAlignment="1">
      <alignment horizontal="justify" vertical="top" wrapText="1"/>
    </xf>
    <xf numFmtId="0" fontId="7" fillId="0" borderId="0" xfId="0" applyFont="1" applyAlignment="1">
      <alignment horizontal="left" vertical="center"/>
    </xf>
    <xf numFmtId="3" fontId="20" fillId="0" borderId="122" xfId="0" applyNumberFormat="1" applyFont="1" applyFill="1" applyBorder="1" applyAlignment="1">
      <alignment horizontal="right" vertical="center" wrapText="1"/>
    </xf>
    <xf numFmtId="3" fontId="20" fillId="0" borderId="113" xfId="0" applyNumberFormat="1" applyFont="1" applyFill="1" applyBorder="1" applyAlignment="1">
      <alignment horizontal="right" vertical="center" wrapText="1"/>
    </xf>
    <xf numFmtId="3" fontId="20" fillId="0" borderId="110" xfId="0" applyNumberFormat="1" applyFont="1" applyFill="1" applyBorder="1" applyAlignment="1">
      <alignment horizontal="right" vertical="center" wrapText="1"/>
    </xf>
    <xf numFmtId="0" fontId="1" fillId="0" borderId="37" xfId="0" applyFont="1" applyBorder="1" applyAlignment="1">
      <alignment horizontal="left" vertical="center"/>
    </xf>
    <xf numFmtId="3" fontId="1" fillId="2" borderId="126" xfId="0" applyNumberFormat="1" applyFont="1" applyFill="1" applyBorder="1" applyAlignment="1">
      <alignment horizontal="right" vertical="center"/>
    </xf>
    <xf numFmtId="3" fontId="1" fillId="2" borderId="129" xfId="0" applyNumberFormat="1" applyFont="1" applyFill="1" applyBorder="1" applyAlignment="1">
      <alignment horizontal="right" vertical="center"/>
    </xf>
    <xf numFmtId="0" fontId="1" fillId="0" borderId="101" xfId="0" applyFont="1" applyBorder="1" applyAlignment="1">
      <alignment horizontal="left" vertical="center"/>
    </xf>
    <xf numFmtId="0" fontId="1" fillId="0" borderId="88" xfId="0" applyFont="1" applyBorder="1" applyAlignment="1">
      <alignment horizontal="left" vertical="center"/>
    </xf>
    <xf numFmtId="0" fontId="1" fillId="0" borderId="102" xfId="0" applyFont="1" applyBorder="1" applyAlignment="1">
      <alignment horizontal="left" vertical="center"/>
    </xf>
    <xf numFmtId="3" fontId="1" fillId="0" borderId="101" xfId="0" applyNumberFormat="1" applyFont="1" applyBorder="1" applyAlignment="1">
      <alignment horizontal="right" vertical="center"/>
    </xf>
    <xf numFmtId="3" fontId="1" fillId="0" borderId="88" xfId="0" applyNumberFormat="1" applyFont="1" applyBorder="1" applyAlignment="1">
      <alignment horizontal="right" vertical="center"/>
    </xf>
    <xf numFmtId="3" fontId="1" fillId="0" borderId="102" xfId="0" applyNumberFormat="1" applyFont="1" applyBorder="1" applyAlignment="1">
      <alignment horizontal="right" vertical="center"/>
    </xf>
    <xf numFmtId="3" fontId="1" fillId="2" borderId="101" xfId="0" applyNumberFormat="1" applyFont="1" applyFill="1" applyBorder="1" applyAlignment="1">
      <alignment horizontal="right" vertical="center"/>
    </xf>
    <xf numFmtId="3" fontId="1" fillId="2" borderId="88" xfId="0" applyNumberFormat="1" applyFont="1" applyFill="1" applyBorder="1" applyAlignment="1">
      <alignment horizontal="right" vertical="center"/>
    </xf>
    <xf numFmtId="3" fontId="1" fillId="2" borderId="102" xfId="0" applyNumberFormat="1" applyFont="1" applyFill="1" applyBorder="1" applyAlignment="1">
      <alignment horizontal="right" vertical="center"/>
    </xf>
    <xf numFmtId="0" fontId="19" fillId="0" borderId="121" xfId="0" applyFont="1" applyBorder="1" applyAlignment="1">
      <alignment horizontal="left" vertical="center" wrapText="1"/>
    </xf>
    <xf numFmtId="0" fontId="19" fillId="0" borderId="135" xfId="0" applyFont="1" applyBorder="1" applyAlignment="1">
      <alignment horizontal="left" vertical="center" wrapText="1"/>
    </xf>
    <xf numFmtId="0" fontId="19" fillId="0" borderId="107" xfId="0" applyFont="1" applyBorder="1" applyAlignment="1">
      <alignment horizontal="left" vertical="center" wrapText="1"/>
    </xf>
    <xf numFmtId="0" fontId="1" fillId="0" borderId="130" xfId="0" applyFont="1" applyBorder="1" applyAlignment="1">
      <alignment horizontal="left" vertical="center"/>
    </xf>
    <xf numFmtId="0" fontId="19" fillId="0" borderId="122" xfId="0" applyFont="1" applyBorder="1" applyAlignment="1">
      <alignment horizontal="left" vertical="center" wrapText="1"/>
    </xf>
    <xf numFmtId="0" fontId="19" fillId="0" borderId="113" xfId="0" applyFont="1" applyBorder="1" applyAlignment="1">
      <alignment horizontal="left" vertical="center" wrapText="1"/>
    </xf>
    <xf numFmtId="0" fontId="19" fillId="0" borderId="110" xfId="0" applyFont="1" applyBorder="1" applyAlignment="1">
      <alignment horizontal="left" vertical="center" wrapText="1"/>
    </xf>
    <xf numFmtId="3" fontId="1" fillId="2" borderId="122" xfId="0" applyNumberFormat="1" applyFont="1" applyFill="1" applyBorder="1" applyAlignment="1">
      <alignment horizontal="right" vertical="center"/>
    </xf>
    <xf numFmtId="3" fontId="1" fillId="2" borderId="113" xfId="0" applyNumberFormat="1" applyFont="1" applyFill="1" applyBorder="1" applyAlignment="1">
      <alignment horizontal="right" vertical="center"/>
    </xf>
    <xf numFmtId="3" fontId="1" fillId="2" borderId="110" xfId="0" applyNumberFormat="1" applyFont="1" applyFill="1" applyBorder="1" applyAlignment="1">
      <alignment horizontal="right" vertical="center"/>
    </xf>
    <xf numFmtId="3" fontId="20" fillId="2" borderId="126" xfId="0" applyNumberFormat="1" applyFont="1" applyFill="1" applyBorder="1" applyAlignment="1">
      <alignment horizontal="right" vertical="center"/>
    </xf>
    <xf numFmtId="0" fontId="20" fillId="0" borderId="37" xfId="0" applyFont="1" applyBorder="1" applyAlignment="1">
      <alignment horizontal="left" vertical="center"/>
    </xf>
    <xf numFmtId="3" fontId="20" fillId="0" borderId="130" xfId="0" applyNumberFormat="1" applyFont="1" applyBorder="1" applyAlignment="1">
      <alignment horizontal="right" vertical="center"/>
    </xf>
    <xf numFmtId="3" fontId="20" fillId="0" borderId="101" xfId="0" applyNumberFormat="1" applyFont="1" applyBorder="1" applyAlignment="1">
      <alignment horizontal="right" vertical="center"/>
    </xf>
    <xf numFmtId="3" fontId="20" fillId="0" borderId="88" xfId="0" applyNumberFormat="1" applyFont="1" applyBorder="1" applyAlignment="1">
      <alignment horizontal="right" vertical="center"/>
    </xf>
    <xf numFmtId="3" fontId="20" fillId="0" borderId="102" xfId="0" applyNumberFormat="1" applyFont="1" applyBorder="1" applyAlignment="1">
      <alignment horizontal="right" vertical="center"/>
    </xf>
    <xf numFmtId="0" fontId="20" fillId="0" borderId="101" xfId="0" applyFont="1" applyBorder="1" applyAlignment="1">
      <alignment horizontal="left" vertical="center"/>
    </xf>
    <xf numFmtId="0" fontId="20" fillId="0" borderId="88" xfId="0" applyFont="1" applyBorder="1" applyAlignment="1">
      <alignment horizontal="left" vertical="center"/>
    </xf>
    <xf numFmtId="0" fontId="20" fillId="0" borderId="102" xfId="0" applyFont="1" applyBorder="1" applyAlignment="1">
      <alignment horizontal="left" vertical="center"/>
    </xf>
    <xf numFmtId="3" fontId="20" fillId="2" borderId="101" xfId="0" applyNumberFormat="1" applyFont="1" applyFill="1" applyBorder="1" applyAlignment="1">
      <alignment horizontal="right" vertical="center"/>
    </xf>
    <xf numFmtId="3" fontId="20" fillId="2" borderId="88" xfId="0" applyNumberFormat="1" applyFont="1" applyFill="1" applyBorder="1" applyAlignment="1">
      <alignment horizontal="right" vertical="center"/>
    </xf>
    <xf numFmtId="3" fontId="20" fillId="2" borderId="102" xfId="0" applyNumberFormat="1" applyFont="1" applyFill="1" applyBorder="1" applyAlignment="1">
      <alignment horizontal="right" vertical="center"/>
    </xf>
    <xf numFmtId="3" fontId="20" fillId="0" borderId="110" xfId="0" applyNumberFormat="1" applyFont="1" applyBorder="1" applyAlignment="1">
      <alignment horizontal="right" vertical="center"/>
    </xf>
    <xf numFmtId="0" fontId="54" fillId="0" borderId="0" xfId="0" applyFont="1" applyAlignment="1">
      <alignment horizontal="left"/>
    </xf>
    <xf numFmtId="0" fontId="54" fillId="4" borderId="0" xfId="0" applyFont="1" applyFill="1" applyAlignment="1">
      <alignment horizontal="left"/>
    </xf>
    <xf numFmtId="0" fontId="19" fillId="0" borderId="92" xfId="0" applyFont="1" applyBorder="1" applyAlignment="1">
      <alignment horizontal="left" vertical="center" wrapText="1"/>
    </xf>
    <xf numFmtId="0" fontId="19" fillId="0" borderId="93" xfId="0" applyFont="1" applyBorder="1" applyAlignment="1">
      <alignment horizontal="left" vertical="center" wrapText="1"/>
    </xf>
    <xf numFmtId="0" fontId="19" fillId="0" borderId="94" xfId="0" applyFont="1" applyBorder="1" applyAlignment="1">
      <alignment horizontal="left" vertical="center" wrapText="1"/>
    </xf>
    <xf numFmtId="3" fontId="19" fillId="0" borderId="128" xfId="0" applyNumberFormat="1" applyFont="1" applyBorder="1" applyAlignment="1">
      <alignment horizontal="right" vertical="center" wrapText="1"/>
    </xf>
    <xf numFmtId="3" fontId="19" fillId="2" borderId="66" xfId="0" applyNumberFormat="1" applyFont="1" applyFill="1" applyBorder="1" applyAlignment="1">
      <alignment horizontal="right" vertical="center"/>
    </xf>
    <xf numFmtId="3" fontId="19" fillId="2" borderId="67" xfId="0" applyNumberFormat="1" applyFont="1" applyFill="1" applyBorder="1" applyAlignment="1">
      <alignment horizontal="right" vertical="center"/>
    </xf>
    <xf numFmtId="0" fontId="20" fillId="0" borderId="58" xfId="0" applyFont="1" applyBorder="1" applyAlignment="1">
      <alignment horizontal="center" vertical="center"/>
    </xf>
    <xf numFmtId="0" fontId="20" fillId="0" borderId="68" xfId="0" applyFont="1" applyBorder="1" applyAlignment="1">
      <alignment horizontal="center" vertical="center"/>
    </xf>
    <xf numFmtId="0" fontId="20" fillId="0" borderId="123" xfId="0" applyFont="1" applyBorder="1" applyAlignment="1">
      <alignment horizontal="center" vertical="center"/>
    </xf>
    <xf numFmtId="0" fontId="20" fillId="0" borderId="131" xfId="0" applyFont="1" applyBorder="1" applyAlignment="1">
      <alignment horizontal="center" vertical="center"/>
    </xf>
    <xf numFmtId="3" fontId="20" fillId="0" borderId="94" xfId="0" applyNumberFormat="1" applyFont="1" applyBorder="1" applyAlignment="1">
      <alignment horizontal="right" vertical="center"/>
    </xf>
    <xf numFmtId="3" fontId="20" fillId="0" borderId="87" xfId="0" applyNumberFormat="1" applyFont="1" applyBorder="1" applyAlignment="1">
      <alignment horizontal="right" vertical="center"/>
    </xf>
    <xf numFmtId="3" fontId="19" fillId="2" borderId="87" xfId="0" applyNumberFormat="1" applyFont="1" applyFill="1" applyBorder="1" applyAlignment="1">
      <alignment horizontal="right" vertical="center"/>
    </xf>
    <xf numFmtId="0" fontId="20" fillId="0" borderId="87" xfId="0" applyFont="1" applyBorder="1" applyAlignment="1">
      <alignment horizontal="center" vertical="center"/>
    </xf>
    <xf numFmtId="0" fontId="20" fillId="0" borderId="17" xfId="0" applyFont="1" applyBorder="1" applyAlignment="1">
      <alignment horizontal="center" vertical="center"/>
    </xf>
    <xf numFmtId="0" fontId="19" fillId="0" borderId="37" xfId="0" applyFont="1" applyBorder="1" applyAlignment="1">
      <alignment horizontal="left" vertical="center" wrapText="1"/>
    </xf>
    <xf numFmtId="0" fontId="20" fillId="0" borderId="129" xfId="0" applyFont="1" applyBorder="1" applyAlignment="1">
      <alignment horizontal="left" vertical="center" wrapText="1"/>
    </xf>
    <xf numFmtId="0" fontId="20" fillId="0" borderId="66" xfId="0" applyFont="1" applyBorder="1" applyAlignment="1">
      <alignment horizontal="left" vertical="center" wrapText="1"/>
    </xf>
    <xf numFmtId="0" fontId="20" fillId="0" borderId="43" xfId="0" applyFont="1" applyBorder="1" applyAlignment="1">
      <alignment horizontal="left" vertical="center" wrapText="1"/>
    </xf>
    <xf numFmtId="0" fontId="20" fillId="0" borderId="67" xfId="0" applyFont="1" applyBorder="1" applyAlignment="1">
      <alignment horizontal="left" vertical="center" wrapText="1"/>
    </xf>
    <xf numFmtId="0" fontId="19" fillId="0" borderId="66" xfId="0" applyFont="1" applyBorder="1" applyAlignment="1">
      <alignment horizontal="left" vertical="center" wrapText="1"/>
    </xf>
    <xf numFmtId="0" fontId="19" fillId="0" borderId="43" xfId="0" applyFont="1" applyBorder="1" applyAlignment="1">
      <alignment horizontal="left" vertical="center" wrapText="1"/>
    </xf>
    <xf numFmtId="0" fontId="19" fillId="0" borderId="67" xfId="0" applyFont="1" applyBorder="1" applyAlignment="1">
      <alignment horizontal="left" vertical="center" wrapText="1"/>
    </xf>
    <xf numFmtId="3" fontId="19" fillId="0" borderId="130" xfId="0" applyNumberFormat="1" applyFont="1" applyFill="1" applyBorder="1" applyAlignment="1">
      <alignment horizontal="right" vertical="center"/>
    </xf>
    <xf numFmtId="3" fontId="20" fillId="0" borderId="129" xfId="0" applyNumberFormat="1" applyFont="1" applyFill="1" applyBorder="1" applyAlignment="1">
      <alignment horizontal="right" vertical="center"/>
    </xf>
    <xf numFmtId="0" fontId="7" fillId="0" borderId="0" xfId="0" applyFont="1" applyAlignment="1">
      <alignment horizontal="left" vertical="top"/>
    </xf>
    <xf numFmtId="0" fontId="11" fillId="0" borderId="0" xfId="0" applyFont="1" applyAlignment="1">
      <alignment horizontal="left" vertical="top"/>
    </xf>
    <xf numFmtId="0" fontId="19" fillId="0" borderId="101" xfId="0" applyFont="1" applyBorder="1" applyAlignment="1">
      <alignment horizontal="left" vertical="center"/>
    </xf>
    <xf numFmtId="0" fontId="19" fillId="0" borderId="88" xfId="0" applyFont="1" applyBorder="1" applyAlignment="1">
      <alignment horizontal="left" vertical="center"/>
    </xf>
    <xf numFmtId="0" fontId="19" fillId="0" borderId="102" xfId="0" applyFont="1" applyBorder="1" applyAlignment="1">
      <alignment horizontal="left" vertical="center"/>
    </xf>
    <xf numFmtId="0" fontId="19" fillId="0" borderId="121" xfId="0" applyFont="1" applyBorder="1" applyAlignment="1">
      <alignment horizontal="left" vertical="center"/>
    </xf>
    <xf numFmtId="0" fontId="19" fillId="0" borderId="135" xfId="0" applyFont="1" applyBorder="1" applyAlignment="1">
      <alignment horizontal="left" vertical="center"/>
    </xf>
    <xf numFmtId="0" fontId="19" fillId="0" borderId="107" xfId="0" applyFont="1" applyBorder="1" applyAlignment="1">
      <alignment horizontal="left" vertical="center"/>
    </xf>
    <xf numFmtId="3" fontId="19" fillId="2" borderId="13" xfId="0" applyNumberFormat="1" applyFont="1" applyFill="1" applyBorder="1" applyAlignment="1">
      <alignment horizontal="right" vertical="center"/>
    </xf>
    <xf numFmtId="3" fontId="19" fillId="2" borderId="129" xfId="0" applyNumberFormat="1" applyFont="1" applyFill="1" applyBorder="1" applyAlignment="1">
      <alignment horizontal="right" vertical="center"/>
    </xf>
    <xf numFmtId="0" fontId="19" fillId="0" borderId="37" xfId="0" applyFont="1" applyBorder="1" applyAlignment="1">
      <alignment horizontal="left" vertical="center"/>
    </xf>
    <xf numFmtId="0" fontId="5" fillId="0" borderId="37" xfId="0" applyFont="1" applyBorder="1" applyAlignment="1">
      <alignment horizontal="left" vertical="center"/>
    </xf>
    <xf numFmtId="0" fontId="5" fillId="0" borderId="128" xfId="0" applyFont="1" applyBorder="1" applyAlignment="1">
      <alignment horizontal="right" vertical="center"/>
    </xf>
    <xf numFmtId="0" fontId="4" fillId="0" borderId="130" xfId="0" applyFont="1" applyBorder="1" applyAlignment="1">
      <alignment horizontal="left" vertical="center" wrapText="1"/>
    </xf>
    <xf numFmtId="0" fontId="54" fillId="0" borderId="0" xfId="0" applyFont="1" applyFill="1" applyAlignment="1">
      <alignment horizontal="left" vertical="top" wrapText="1"/>
    </xf>
    <xf numFmtId="0" fontId="19" fillId="0" borderId="90" xfId="0" applyFont="1" applyFill="1" applyBorder="1" applyAlignment="1">
      <alignment horizontal="center" vertical="center" wrapText="1"/>
    </xf>
    <xf numFmtId="0" fontId="19" fillId="0" borderId="91"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1" fillId="0" borderId="122" xfId="0" applyFont="1" applyFill="1" applyBorder="1" applyAlignment="1">
      <alignment horizontal="left" vertical="center"/>
    </xf>
    <xf numFmtId="0" fontId="1" fillId="0" borderId="113" xfId="0" applyFont="1" applyFill="1" applyBorder="1" applyAlignment="1">
      <alignment horizontal="left" vertical="center"/>
    </xf>
    <xf numFmtId="0" fontId="1" fillId="0" borderId="110" xfId="0" applyFont="1" applyFill="1" applyBorder="1" applyAlignment="1">
      <alignment horizontal="left" vertical="center"/>
    </xf>
    <xf numFmtId="3" fontId="1" fillId="0" borderId="100" xfId="0" applyNumberFormat="1" applyFont="1" applyFill="1" applyBorder="1" applyAlignment="1">
      <alignment horizontal="right" vertical="center"/>
    </xf>
    <xf numFmtId="3" fontId="1" fillId="0" borderId="139" xfId="0" applyNumberFormat="1" applyFont="1" applyFill="1" applyBorder="1" applyAlignment="1">
      <alignment horizontal="right" vertical="center"/>
    </xf>
    <xf numFmtId="0" fontId="7" fillId="0" borderId="0" xfId="0" applyFont="1" applyFill="1" applyAlignment="1">
      <alignment horizontal="left" vertical="top" wrapText="1"/>
    </xf>
    <xf numFmtId="3" fontId="19" fillId="0" borderId="128" xfId="0" applyNumberFormat="1" applyFont="1" applyFill="1" applyBorder="1" applyAlignment="1">
      <alignment horizontal="right" vertical="center"/>
    </xf>
    <xf numFmtId="0" fontId="7" fillId="0" borderId="0" xfId="0" applyFont="1" applyFill="1" applyAlignment="1">
      <alignment horizontal="left" vertical="top"/>
    </xf>
    <xf numFmtId="0" fontId="1" fillId="0" borderId="90" xfId="0" applyFont="1" applyBorder="1" applyAlignment="1">
      <alignment horizontal="center" vertical="center"/>
    </xf>
    <xf numFmtId="0" fontId="5" fillId="0" borderId="91" xfId="0" applyFont="1" applyBorder="1" applyAlignment="1">
      <alignment horizontal="center" vertical="center"/>
    </xf>
    <xf numFmtId="0" fontId="5" fillId="0" borderId="17" xfId="0" applyFont="1" applyBorder="1" applyAlignment="1">
      <alignment horizontal="center" vertical="center"/>
    </xf>
    <xf numFmtId="0" fontId="1" fillId="0" borderId="90" xfId="0" quotePrefix="1" applyFont="1" applyBorder="1" applyAlignment="1">
      <alignment horizontal="center" vertical="center"/>
    </xf>
    <xf numFmtId="0" fontId="5" fillId="0" borderId="133" xfId="0" applyFont="1" applyBorder="1" applyAlignment="1">
      <alignment horizontal="center" vertical="center"/>
    </xf>
    <xf numFmtId="3" fontId="19" fillId="0" borderId="101" xfId="0" applyNumberFormat="1" applyFont="1" applyBorder="1" applyAlignment="1">
      <alignment horizontal="right" vertical="center"/>
    </xf>
    <xf numFmtId="3" fontId="19" fillId="0" borderId="88" xfId="0" applyNumberFormat="1" applyFont="1" applyBorder="1" applyAlignment="1">
      <alignment horizontal="right" vertical="center"/>
    </xf>
    <xf numFmtId="3" fontId="19" fillId="0" borderId="102" xfId="0" applyNumberFormat="1" applyFont="1" applyBorder="1" applyAlignment="1">
      <alignment horizontal="right" vertical="center"/>
    </xf>
    <xf numFmtId="3" fontId="19" fillId="0" borderId="101" xfId="0" applyNumberFormat="1" applyFont="1" applyFill="1" applyBorder="1" applyAlignment="1">
      <alignment horizontal="right" vertical="center"/>
    </xf>
    <xf numFmtId="3" fontId="19" fillId="0" borderId="88" xfId="0" applyNumberFormat="1" applyFont="1" applyFill="1" applyBorder="1" applyAlignment="1">
      <alignment horizontal="right" vertical="center"/>
    </xf>
    <xf numFmtId="3" fontId="19" fillId="0" borderId="102" xfId="0" applyNumberFormat="1" applyFont="1" applyFill="1" applyBorder="1" applyAlignment="1">
      <alignment horizontal="right" vertical="center"/>
    </xf>
    <xf numFmtId="0" fontId="19" fillId="0" borderId="90" xfId="0" applyFont="1" applyBorder="1" applyAlignment="1">
      <alignment horizontal="center" vertical="center" wrapText="1"/>
    </xf>
    <xf numFmtId="0" fontId="19" fillId="0" borderId="91" xfId="0" applyFont="1" applyBorder="1" applyAlignment="1">
      <alignment horizontal="center" vertical="center" wrapText="1"/>
    </xf>
    <xf numFmtId="0" fontId="19" fillId="0" borderId="17" xfId="0" applyFont="1" applyBorder="1" applyAlignment="1">
      <alignment horizontal="center" vertical="center" wrapText="1"/>
    </xf>
    <xf numFmtId="0" fontId="5" fillId="0" borderId="122" xfId="0" applyFont="1" applyBorder="1" applyAlignment="1">
      <alignment horizontal="right" vertical="center"/>
    </xf>
    <xf numFmtId="0" fontId="5" fillId="0" borderId="113" xfId="0" applyFont="1" applyBorder="1" applyAlignment="1">
      <alignment horizontal="right" vertical="center"/>
    </xf>
    <xf numFmtId="0" fontId="5" fillId="0" borderId="64" xfId="0" applyFont="1" applyBorder="1" applyAlignment="1">
      <alignment horizontal="right" vertical="center"/>
    </xf>
    <xf numFmtId="0" fontId="19" fillId="0" borderId="122" xfId="0" applyFont="1" applyBorder="1" applyAlignment="1">
      <alignment horizontal="left" vertical="center"/>
    </xf>
    <xf numFmtId="0" fontId="19" fillId="0" borderId="113" xfId="0" applyFont="1" applyBorder="1" applyAlignment="1">
      <alignment horizontal="left" vertical="center"/>
    </xf>
    <xf numFmtId="0" fontId="19" fillId="0" borderId="110" xfId="0" applyFont="1" applyBorder="1" applyAlignment="1">
      <alignment horizontal="left" vertical="center"/>
    </xf>
    <xf numFmtId="3" fontId="20" fillId="0" borderId="100" xfId="0" applyNumberFormat="1" applyFont="1" applyBorder="1" applyAlignment="1">
      <alignment horizontal="right" vertical="center"/>
    </xf>
    <xf numFmtId="3" fontId="20" fillId="0" borderId="139" xfId="0" applyNumberFormat="1" applyFont="1" applyBorder="1" applyAlignment="1">
      <alignment horizontal="right" vertical="center"/>
    </xf>
    <xf numFmtId="0" fontId="1" fillId="0" borderId="121" xfId="0" applyFont="1" applyBorder="1" applyAlignment="1">
      <alignment horizontal="left" vertical="center" wrapText="1"/>
    </xf>
    <xf numFmtId="0" fontId="20" fillId="0" borderId="135" xfId="0" applyFont="1" applyBorder="1" applyAlignment="1">
      <alignment horizontal="left" vertical="center" wrapText="1"/>
    </xf>
    <xf numFmtId="0" fontId="20" fillId="0" borderId="107" xfId="0" applyFont="1" applyBorder="1" applyAlignment="1">
      <alignment horizontal="left" vertical="center" wrapText="1"/>
    </xf>
    <xf numFmtId="3" fontId="20" fillId="2" borderId="111" xfId="0" applyNumberFormat="1" applyFont="1" applyFill="1" applyBorder="1" applyAlignment="1">
      <alignment horizontal="right" vertical="center"/>
    </xf>
    <xf numFmtId="0" fontId="4" fillId="0" borderId="129" xfId="0" applyFont="1" applyBorder="1" applyAlignment="1">
      <alignment horizontal="left" vertical="center" wrapText="1"/>
    </xf>
    <xf numFmtId="3" fontId="20" fillId="0" borderId="121" xfId="0" applyNumberFormat="1" applyFont="1" applyBorder="1" applyAlignment="1">
      <alignment horizontal="right" vertical="center"/>
    </xf>
    <xf numFmtId="3" fontId="20" fillId="0" borderId="135" xfId="0" applyNumberFormat="1" applyFont="1" applyBorder="1" applyAlignment="1">
      <alignment horizontal="right" vertical="center"/>
    </xf>
    <xf numFmtId="3" fontId="20" fillId="0" borderId="107" xfId="0" applyNumberFormat="1" applyFont="1" applyBorder="1" applyAlignment="1">
      <alignment horizontal="right" vertical="center"/>
    </xf>
    <xf numFmtId="3" fontId="20" fillId="0" borderId="100" xfId="0" applyNumberFormat="1" applyFont="1" applyFill="1" applyBorder="1" applyAlignment="1">
      <alignment horizontal="right" vertical="center"/>
    </xf>
    <xf numFmtId="3" fontId="20" fillId="0" borderId="139" xfId="0" applyNumberFormat="1" applyFont="1" applyFill="1" applyBorder="1" applyAlignment="1">
      <alignment horizontal="right" vertical="center"/>
    </xf>
    <xf numFmtId="3" fontId="1" fillId="0" borderId="139" xfId="0" applyNumberFormat="1" applyFont="1" applyBorder="1" applyAlignment="1">
      <alignment horizontal="right" vertical="center"/>
    </xf>
    <xf numFmtId="0" fontId="1" fillId="0" borderId="135" xfId="0" applyFont="1" applyBorder="1" applyAlignment="1">
      <alignment horizontal="left" vertical="center" wrapText="1"/>
    </xf>
    <xf numFmtId="0" fontId="1" fillId="0" borderId="107" xfId="0" applyFont="1" applyBorder="1" applyAlignment="1">
      <alignment horizontal="left" vertical="center" wrapText="1"/>
    </xf>
    <xf numFmtId="0" fontId="19" fillId="0" borderId="90" xfId="0" applyFont="1" applyBorder="1" applyAlignment="1">
      <alignment horizontal="left" vertical="center" wrapText="1"/>
    </xf>
    <xf numFmtId="0" fontId="19" fillId="0" borderId="91" xfId="0" applyFont="1" applyBorder="1" applyAlignment="1">
      <alignment horizontal="left" vertical="center" wrapText="1"/>
    </xf>
    <xf numFmtId="0" fontId="19" fillId="0" borderId="17" xfId="0" applyFont="1" applyBorder="1" applyAlignment="1">
      <alignment horizontal="left" vertical="center" wrapText="1"/>
    </xf>
    <xf numFmtId="3" fontId="20" fillId="0" borderId="131" xfId="0" applyNumberFormat="1" applyFont="1" applyBorder="1" applyAlignment="1">
      <alignment horizontal="right" vertical="center"/>
    </xf>
    <xf numFmtId="3" fontId="20" fillId="0" borderId="137" xfId="0" applyNumberFormat="1" applyFont="1" applyBorder="1" applyAlignment="1">
      <alignment horizontal="right" vertical="center"/>
    </xf>
    <xf numFmtId="3" fontId="20" fillId="2" borderId="137" xfId="0" applyNumberFormat="1" applyFont="1" applyFill="1" applyBorder="1" applyAlignment="1">
      <alignment horizontal="right" vertical="center"/>
    </xf>
    <xf numFmtId="3" fontId="20" fillId="2" borderId="123" xfId="0" applyNumberFormat="1" applyFont="1" applyFill="1" applyBorder="1" applyAlignment="1">
      <alignment horizontal="right" vertical="center"/>
    </xf>
    <xf numFmtId="0" fontId="1" fillId="0" borderId="122" xfId="0" applyFont="1" applyBorder="1" applyAlignment="1">
      <alignment horizontal="left" vertical="center" wrapText="1"/>
    </xf>
    <xf numFmtId="3" fontId="20" fillId="0" borderId="63" xfId="0" applyNumberFormat="1" applyFont="1" applyBorder="1" applyAlignment="1">
      <alignment horizontal="right" vertical="center"/>
    </xf>
    <xf numFmtId="3" fontId="20" fillId="0" borderId="64" xfId="0" applyNumberFormat="1" applyFont="1" applyBorder="1" applyAlignment="1">
      <alignment horizontal="right" vertical="center"/>
    </xf>
    <xf numFmtId="3" fontId="20" fillId="4" borderId="64" xfId="0" applyNumberFormat="1" applyFont="1" applyFill="1" applyBorder="1" applyAlignment="1">
      <alignment horizontal="right" vertical="center"/>
    </xf>
    <xf numFmtId="3" fontId="20" fillId="2" borderId="64" xfId="0" applyNumberFormat="1" applyFont="1" applyFill="1" applyBorder="1" applyAlignment="1">
      <alignment horizontal="right" vertical="center"/>
    </xf>
    <xf numFmtId="3" fontId="20" fillId="2" borderId="65" xfId="0" applyNumberFormat="1" applyFont="1" applyFill="1" applyBorder="1" applyAlignment="1">
      <alignment horizontal="right" vertical="center"/>
    </xf>
    <xf numFmtId="0" fontId="19" fillId="0" borderId="37" xfId="0" applyFont="1" applyFill="1" applyBorder="1" applyAlignment="1">
      <alignment horizontal="left" vertical="center" wrapText="1"/>
    </xf>
    <xf numFmtId="3" fontId="1" fillId="0" borderId="126" xfId="0" applyNumberFormat="1" applyFont="1" applyBorder="1" applyAlignment="1">
      <alignment horizontal="right" vertical="center"/>
    </xf>
    <xf numFmtId="3" fontId="1" fillId="0" borderId="126" xfId="0" applyNumberFormat="1" applyFont="1" applyFill="1" applyBorder="1" applyAlignment="1">
      <alignment horizontal="right" vertical="center"/>
    </xf>
    <xf numFmtId="3" fontId="20" fillId="0" borderId="64" xfId="0" applyNumberFormat="1" applyFont="1" applyFill="1" applyBorder="1" applyAlignment="1">
      <alignment horizontal="right" vertical="center"/>
    </xf>
    <xf numFmtId="3" fontId="19" fillId="0" borderId="37" xfId="0" applyNumberFormat="1" applyFont="1" applyBorder="1" applyAlignment="1">
      <alignment horizontal="right" vertical="center" wrapText="1"/>
    </xf>
    <xf numFmtId="3" fontId="19" fillId="2" borderId="90" xfId="0" applyNumberFormat="1" applyFont="1" applyFill="1" applyBorder="1" applyAlignment="1">
      <alignment horizontal="right" vertical="center"/>
    </xf>
    <xf numFmtId="3" fontId="19" fillId="2" borderId="91" xfId="0" applyNumberFormat="1" applyFont="1" applyFill="1" applyBorder="1" applyAlignment="1">
      <alignment horizontal="right" vertical="center"/>
    </xf>
    <xf numFmtId="3" fontId="19" fillId="2" borderId="17" xfId="0" applyNumberFormat="1" applyFont="1" applyFill="1" applyBorder="1" applyAlignment="1">
      <alignment horizontal="right" vertical="center"/>
    </xf>
    <xf numFmtId="3" fontId="1" fillId="0" borderId="138" xfId="0" applyNumberFormat="1" applyFont="1" applyBorder="1" applyAlignment="1">
      <alignment horizontal="right" vertical="center" wrapText="1"/>
    </xf>
    <xf numFmtId="3" fontId="1" fillId="0" borderId="138" xfId="0" applyNumberFormat="1" applyFont="1" applyFill="1" applyBorder="1" applyAlignment="1">
      <alignment horizontal="right" vertical="center" wrapText="1"/>
    </xf>
    <xf numFmtId="3" fontId="1" fillId="2" borderId="138" xfId="0" applyNumberFormat="1" applyFont="1" applyFill="1" applyBorder="1" applyAlignment="1">
      <alignment horizontal="right" vertical="center"/>
    </xf>
    <xf numFmtId="0" fontId="1" fillId="0" borderId="138" xfId="0" applyFont="1" applyFill="1" applyBorder="1" applyAlignment="1">
      <alignment horizontal="left" vertical="center" wrapText="1"/>
    </xf>
    <xf numFmtId="0" fontId="1" fillId="0" borderId="88" xfId="0" applyFont="1" applyFill="1" applyBorder="1" applyAlignment="1">
      <alignment horizontal="left" vertical="center" wrapText="1"/>
    </xf>
    <xf numFmtId="0" fontId="1" fillId="0" borderId="102" xfId="0" applyFont="1" applyFill="1" applyBorder="1" applyAlignment="1">
      <alignment horizontal="left" vertical="center" wrapText="1"/>
    </xf>
    <xf numFmtId="0" fontId="1" fillId="0" borderId="126" xfId="0" applyFont="1" applyFill="1" applyBorder="1" applyAlignment="1">
      <alignment horizontal="left" vertical="center" wrapText="1"/>
    </xf>
    <xf numFmtId="3" fontId="20" fillId="0" borderId="122" xfId="0" applyNumberFormat="1" applyFont="1" applyBorder="1" applyAlignment="1">
      <alignment horizontal="center"/>
    </xf>
    <xf numFmtId="3" fontId="20" fillId="0" borderId="113" xfId="0" applyNumberFormat="1" applyFont="1" applyBorder="1" applyAlignment="1">
      <alignment horizontal="center"/>
    </xf>
    <xf numFmtId="3" fontId="20" fillId="0" borderId="112" xfId="0" applyNumberFormat="1" applyFont="1" applyBorder="1" applyAlignment="1">
      <alignment horizontal="center"/>
    </xf>
    <xf numFmtId="0" fontId="20" fillId="0" borderId="125" xfId="0" applyFont="1" applyBorder="1" applyAlignment="1">
      <alignment horizontal="left" vertical="center" wrapText="1"/>
    </xf>
    <xf numFmtId="3" fontId="20" fillId="0" borderId="125" xfId="0" applyNumberFormat="1" applyFont="1" applyBorder="1" applyAlignment="1">
      <alignment horizontal="center"/>
    </xf>
    <xf numFmtId="3" fontId="20" fillId="0" borderId="72" xfId="0" applyNumberFormat="1" applyFont="1" applyBorder="1" applyAlignment="1">
      <alignment horizontal="center"/>
    </xf>
    <xf numFmtId="0" fontId="7" fillId="0" borderId="0" xfId="0" applyFont="1" applyAlignment="1">
      <alignment horizontal="justify" vertical="top" wrapText="1"/>
    </xf>
    <xf numFmtId="0" fontId="11" fillId="0" borderId="0" xfId="0" applyFont="1" applyAlignment="1">
      <alignment horizontal="justify" vertical="top" wrapText="1"/>
    </xf>
    <xf numFmtId="0" fontId="19" fillId="0" borderId="125" xfId="0" applyFont="1" applyBorder="1" applyAlignment="1">
      <alignment horizontal="left" vertical="center"/>
    </xf>
    <xf numFmtId="0" fontId="20" fillId="0" borderId="126" xfId="0" applyFont="1" applyBorder="1" applyAlignment="1">
      <alignment horizontal="left" vertical="center"/>
    </xf>
    <xf numFmtId="3" fontId="20" fillId="0" borderId="126" xfId="0" applyNumberFormat="1" applyFont="1" applyFill="1" applyBorder="1" applyAlignment="1">
      <alignment horizontal="right" vertical="center"/>
    </xf>
    <xf numFmtId="0" fontId="19" fillId="4" borderId="37" xfId="0" applyFont="1" applyFill="1" applyBorder="1" applyAlignment="1">
      <alignment horizontal="center" vertical="center"/>
    </xf>
    <xf numFmtId="3" fontId="20" fillId="0" borderId="90" xfId="0" applyNumberFormat="1" applyFont="1" applyFill="1" applyBorder="1" applyAlignment="1">
      <alignment horizontal="right" vertical="center"/>
    </xf>
    <xf numFmtId="3" fontId="20" fillId="0" borderId="91" xfId="0" applyNumberFormat="1" applyFont="1" applyFill="1" applyBorder="1" applyAlignment="1">
      <alignment horizontal="right" vertical="center"/>
    </xf>
    <xf numFmtId="3" fontId="20" fillId="0" borderId="17" xfId="0" applyNumberFormat="1" applyFont="1" applyFill="1" applyBorder="1" applyAlignment="1">
      <alignment horizontal="right" vertical="center"/>
    </xf>
    <xf numFmtId="3" fontId="20" fillId="4" borderId="121" xfId="0" applyNumberFormat="1" applyFont="1" applyFill="1" applyBorder="1" applyAlignment="1">
      <alignment horizontal="right" vertical="center"/>
    </xf>
    <xf numFmtId="3" fontId="20" fillId="4" borderId="135" xfId="0" applyNumberFormat="1" applyFont="1" applyFill="1" applyBorder="1" applyAlignment="1">
      <alignment horizontal="right" vertical="center"/>
    </xf>
    <xf numFmtId="3" fontId="20" fillId="4" borderId="107" xfId="0" applyNumberFormat="1" applyFont="1" applyFill="1" applyBorder="1" applyAlignment="1">
      <alignment horizontal="right" vertical="center"/>
    </xf>
    <xf numFmtId="3" fontId="19" fillId="0" borderId="90" xfId="0" applyNumberFormat="1" applyFont="1" applyBorder="1" applyAlignment="1">
      <alignment horizontal="right" vertical="center"/>
    </xf>
    <xf numFmtId="3" fontId="19" fillId="0" borderId="91" xfId="0" applyNumberFormat="1" applyFont="1" applyBorder="1" applyAlignment="1">
      <alignment horizontal="right" vertical="center"/>
    </xf>
    <xf numFmtId="3" fontId="19" fillId="0" borderId="17" xfId="0" applyNumberFormat="1" applyFont="1" applyBorder="1" applyAlignment="1">
      <alignment horizontal="right" vertical="center"/>
    </xf>
    <xf numFmtId="0" fontId="20" fillId="0" borderId="121" xfId="0" applyFont="1" applyBorder="1" applyAlignment="1">
      <alignment horizontal="left" vertical="center" wrapText="1"/>
    </xf>
    <xf numFmtId="3" fontId="20" fillId="0" borderId="121" xfId="0" applyNumberFormat="1" applyFont="1" applyBorder="1" applyAlignment="1">
      <alignment horizontal="center"/>
    </xf>
    <xf numFmtId="3" fontId="20" fillId="0" borderId="135" xfId="0" applyNumberFormat="1" applyFont="1" applyBorder="1" applyAlignment="1">
      <alignment horizontal="center"/>
    </xf>
    <xf numFmtId="3" fontId="20" fillId="0" borderId="109" xfId="0" applyNumberFormat="1" applyFont="1" applyBorder="1" applyAlignment="1">
      <alignment horizontal="center"/>
    </xf>
    <xf numFmtId="3" fontId="20" fillId="0" borderId="122" xfId="0" applyNumberFormat="1" applyFont="1" applyBorder="1" applyAlignment="1">
      <alignment horizontal="right"/>
    </xf>
    <xf numFmtId="3" fontId="20" fillId="0" borderId="113" xfId="0" applyNumberFormat="1" applyFont="1" applyBorder="1" applyAlignment="1">
      <alignment horizontal="right"/>
    </xf>
    <xf numFmtId="3" fontId="20" fillId="0" borderId="112" xfId="0" applyNumberFormat="1" applyFont="1" applyBorder="1" applyAlignment="1">
      <alignment horizontal="right"/>
    </xf>
    <xf numFmtId="3" fontId="20" fillId="0" borderId="121" xfId="0" applyNumberFormat="1" applyFont="1" applyBorder="1" applyAlignment="1">
      <alignment horizontal="right"/>
    </xf>
    <xf numFmtId="3" fontId="20" fillId="0" borderId="135" xfId="0" applyNumberFormat="1" applyFont="1" applyBorder="1" applyAlignment="1">
      <alignment horizontal="right"/>
    </xf>
    <xf numFmtId="3" fontId="20" fillId="0" borderId="109" xfId="0" applyNumberFormat="1" applyFont="1" applyBorder="1" applyAlignment="1">
      <alignment horizontal="right"/>
    </xf>
    <xf numFmtId="0" fontId="2" fillId="0" borderId="101" xfId="0" applyFont="1" applyBorder="1" applyAlignment="1">
      <alignment horizontal="left" vertical="center" wrapText="1"/>
    </xf>
    <xf numFmtId="0" fontId="7" fillId="0" borderId="0" xfId="0" applyFont="1" applyAlignment="1">
      <alignment horizontal="left" vertical="top" wrapText="1"/>
    </xf>
    <xf numFmtId="3" fontId="1" fillId="0" borderId="13" xfId="0" applyNumberFormat="1" applyFont="1" applyBorder="1" applyAlignment="1">
      <alignment horizontal="right" vertical="center"/>
    </xf>
    <xf numFmtId="3" fontId="1" fillId="0" borderId="129" xfId="0" applyNumberFormat="1" applyFont="1" applyBorder="1" applyAlignment="1">
      <alignment horizontal="right" vertical="center"/>
    </xf>
    <xf numFmtId="0" fontId="20" fillId="0" borderId="126" xfId="0" applyFont="1" applyBorder="1" applyAlignment="1">
      <alignment horizontal="left" vertical="center" wrapText="1"/>
    </xf>
    <xf numFmtId="3" fontId="1" fillId="4" borderId="94" xfId="0" applyNumberFormat="1" applyFont="1" applyFill="1" applyBorder="1" applyAlignment="1">
      <alignment horizontal="right" vertical="center"/>
    </xf>
    <xf numFmtId="3" fontId="20" fillId="4" borderId="128" xfId="0" applyNumberFormat="1" applyFont="1" applyFill="1" applyBorder="1" applyAlignment="1">
      <alignment horizontal="right" vertical="center"/>
    </xf>
    <xf numFmtId="3" fontId="1" fillId="4" borderId="128" xfId="0" applyNumberFormat="1" applyFont="1" applyFill="1" applyBorder="1" applyAlignment="1">
      <alignment horizontal="right" vertical="center"/>
    </xf>
    <xf numFmtId="0" fontId="7" fillId="0" borderId="0" xfId="0" applyFont="1" applyAlignment="1">
      <alignment horizontal="justify" vertical="top"/>
    </xf>
    <xf numFmtId="0" fontId="11" fillId="0" borderId="0" xfId="0" applyFont="1" applyAlignment="1">
      <alignment horizontal="justify" vertical="top"/>
    </xf>
    <xf numFmtId="0" fontId="7" fillId="4" borderId="0" xfId="0" applyFont="1" applyFill="1" applyAlignment="1">
      <alignment horizontal="justify" vertical="top"/>
    </xf>
    <xf numFmtId="0" fontId="11" fillId="4" borderId="0" xfId="0" applyFont="1" applyFill="1" applyAlignment="1">
      <alignment horizontal="justify" vertical="top"/>
    </xf>
    <xf numFmtId="3" fontId="19" fillId="2" borderId="72" xfId="0" applyNumberFormat="1" applyFont="1" applyFill="1" applyBorder="1" applyAlignment="1">
      <alignment horizontal="right" vertical="center"/>
    </xf>
    <xf numFmtId="3" fontId="19" fillId="2" borderId="73" xfId="0" applyNumberFormat="1" applyFont="1" applyFill="1" applyBorder="1" applyAlignment="1">
      <alignment horizontal="right" vertical="center"/>
    </xf>
    <xf numFmtId="3" fontId="19" fillId="2" borderId="74" xfId="0" applyNumberFormat="1" applyFont="1" applyFill="1" applyBorder="1" applyAlignment="1">
      <alignment horizontal="right" vertical="center"/>
    </xf>
    <xf numFmtId="3" fontId="20" fillId="0" borderId="66" xfId="0" applyNumberFormat="1" applyFont="1" applyFill="1" applyBorder="1" applyAlignment="1">
      <alignment horizontal="right" vertical="center"/>
    </xf>
    <xf numFmtId="0" fontId="20" fillId="0" borderId="37" xfId="0" applyFont="1" applyBorder="1" applyAlignment="1">
      <alignment horizontal="left" vertical="center" wrapText="1"/>
    </xf>
    <xf numFmtId="0" fontId="7" fillId="4" borderId="0" xfId="0" applyFont="1" applyFill="1" applyAlignment="1">
      <alignment horizontal="justify" vertical="top" wrapText="1"/>
    </xf>
    <xf numFmtId="0" fontId="11" fillId="4" borderId="0" xfId="0" applyFont="1" applyFill="1" applyAlignment="1">
      <alignment horizontal="justify" vertical="top" wrapText="1"/>
    </xf>
    <xf numFmtId="0" fontId="12" fillId="0" borderId="0" xfId="0" applyFont="1" applyAlignment="1">
      <alignment horizontal="justify" vertical="top" wrapText="1"/>
    </xf>
    <xf numFmtId="0" fontId="12" fillId="4" borderId="0" xfId="0" applyFont="1" applyFill="1" applyAlignment="1">
      <alignment horizontal="justify" vertical="top" wrapText="1"/>
    </xf>
    <xf numFmtId="3" fontId="1" fillId="0" borderId="128" xfId="0" applyNumberFormat="1" applyFont="1" applyBorder="1" applyAlignment="1">
      <alignment horizontal="right" vertical="center"/>
    </xf>
    <xf numFmtId="3" fontId="1" fillId="2" borderId="128" xfId="0" applyNumberFormat="1" applyFont="1" applyFill="1" applyBorder="1" applyAlignment="1">
      <alignment horizontal="right" vertical="center"/>
    </xf>
    <xf numFmtId="0" fontId="19" fillId="0" borderId="0" xfId="0" applyFont="1" applyAlignment="1">
      <alignment horizontal="center"/>
    </xf>
    <xf numFmtId="0" fontId="27" fillId="0" borderId="0" xfId="0" applyFont="1" applyFill="1" applyAlignment="1">
      <alignment horizontal="justify" vertical="top" wrapText="1"/>
    </xf>
    <xf numFmtId="0" fontId="13" fillId="0" borderId="0" xfId="0" applyFont="1" applyAlignment="1">
      <alignment horizontal="justify" vertical="top" wrapText="1"/>
    </xf>
    <xf numFmtId="0" fontId="20" fillId="0" borderId="0" xfId="0" applyFont="1" applyAlignment="1">
      <alignment horizontal="left"/>
    </xf>
    <xf numFmtId="0" fontId="1" fillId="0" borderId="0" xfId="0" applyNumberFormat="1" applyFont="1" applyAlignment="1">
      <alignment horizontal="center"/>
    </xf>
    <xf numFmtId="0" fontId="1" fillId="0" borderId="0" xfId="0" applyFont="1" applyAlignment="1">
      <alignment horizontal="center"/>
    </xf>
    <xf numFmtId="0" fontId="1" fillId="0" borderId="0" xfId="0" applyNumberFormat="1" applyFont="1" applyFill="1" applyAlignment="1">
      <alignment horizontal="center"/>
    </xf>
    <xf numFmtId="0" fontId="1" fillId="0" borderId="0" xfId="0" quotePrefix="1" applyFont="1" applyFill="1" applyAlignment="1">
      <alignment horizontal="center"/>
    </xf>
    <xf numFmtId="0" fontId="1" fillId="0" borderId="0" xfId="0" applyFont="1" applyFill="1" applyAlignment="1">
      <alignment horizontal="center"/>
    </xf>
    <xf numFmtId="0" fontId="19" fillId="0" borderId="97" xfId="0" applyFont="1" applyBorder="1" applyAlignment="1">
      <alignment horizontal="center" wrapText="1"/>
    </xf>
    <xf numFmtId="0" fontId="19" fillId="0" borderId="97" xfId="0" applyFont="1" applyFill="1" applyBorder="1" applyAlignment="1">
      <alignment horizontal="center" wrapText="1"/>
    </xf>
    <xf numFmtId="0" fontId="7" fillId="0" borderId="0" xfId="0" applyFont="1" applyFill="1" applyAlignment="1">
      <alignment vertical="top" wrapText="1"/>
    </xf>
    <xf numFmtId="0" fontId="19" fillId="0" borderId="106" xfId="0" applyFont="1" applyBorder="1" applyAlignment="1">
      <alignment horizontal="center"/>
    </xf>
    <xf numFmtId="0" fontId="19" fillId="0" borderId="97" xfId="0" applyFont="1" applyBorder="1" applyAlignment="1">
      <alignment horizontal="center"/>
    </xf>
    <xf numFmtId="0" fontId="19" fillId="0" borderId="105" xfId="0" applyFont="1" applyBorder="1" applyAlignment="1">
      <alignment horizontal="center"/>
    </xf>
    <xf numFmtId="3" fontId="20" fillId="4" borderId="129" xfId="0" applyNumberFormat="1" applyFont="1" applyFill="1" applyBorder="1" applyAlignment="1">
      <alignment horizontal="right" vertical="center" wrapText="1"/>
    </xf>
    <xf numFmtId="0" fontId="19" fillId="0" borderId="37" xfId="0" applyNumberFormat="1" applyFont="1" applyBorder="1" applyAlignment="1">
      <alignment horizontal="center" vertical="center" wrapText="1"/>
    </xf>
    <xf numFmtId="3" fontId="20" fillId="0" borderId="129" xfId="0" applyNumberFormat="1" applyFont="1" applyFill="1" applyBorder="1" applyAlignment="1">
      <alignment horizontal="right" vertical="center" wrapText="1"/>
    </xf>
    <xf numFmtId="0" fontId="20" fillId="0" borderId="129" xfId="0" applyNumberFormat="1" applyFont="1" applyBorder="1" applyAlignment="1">
      <alignment horizontal="left" vertical="center" wrapText="1"/>
    </xf>
    <xf numFmtId="0" fontId="20" fillId="0" borderId="130" xfId="0" applyNumberFormat="1" applyFont="1" applyBorder="1" applyAlignment="1">
      <alignment horizontal="left" vertical="center" wrapText="1"/>
    </xf>
    <xf numFmtId="0" fontId="20" fillId="0" borderId="128" xfId="0" applyNumberFormat="1" applyFont="1" applyBorder="1" applyAlignment="1">
      <alignment horizontal="left" vertical="center" wrapText="1"/>
    </xf>
    <xf numFmtId="0" fontId="19" fillId="0" borderId="121" xfId="0" applyFont="1" applyFill="1" applyBorder="1" applyAlignment="1">
      <alignment horizontal="left" vertical="center" wrapText="1"/>
    </xf>
    <xf numFmtId="0" fontId="19" fillId="0" borderId="135" xfId="0" applyFont="1" applyFill="1" applyBorder="1" applyAlignment="1">
      <alignment horizontal="left" vertical="center" wrapText="1"/>
    </xf>
    <xf numFmtId="0" fontId="19" fillId="0" borderId="107" xfId="0" applyFont="1" applyFill="1" applyBorder="1" applyAlignment="1">
      <alignment horizontal="left" vertical="center" wrapText="1"/>
    </xf>
    <xf numFmtId="175" fontId="20" fillId="0" borderId="129" xfId="0" applyNumberFormat="1" applyFont="1" applyFill="1" applyBorder="1" applyAlignment="1">
      <alignment horizontal="right" vertical="center"/>
    </xf>
    <xf numFmtId="9" fontId="20" fillId="0" borderId="121" xfId="1" applyFont="1" applyFill="1" applyBorder="1" applyAlignment="1">
      <alignment horizontal="right" vertical="center"/>
    </xf>
    <xf numFmtId="9" fontId="20" fillId="0" borderId="135" xfId="1" applyFont="1" applyFill="1" applyBorder="1" applyAlignment="1">
      <alignment horizontal="right" vertical="center"/>
    </xf>
    <xf numFmtId="9" fontId="20" fillId="0" borderId="107" xfId="1" applyFont="1" applyFill="1" applyBorder="1" applyAlignment="1">
      <alignment horizontal="right" vertical="center"/>
    </xf>
    <xf numFmtId="0" fontId="20" fillId="2" borderId="97" xfId="0" applyFont="1" applyFill="1" applyBorder="1" applyAlignment="1">
      <alignment horizontal="center"/>
    </xf>
    <xf numFmtId="0" fontId="20" fillId="2" borderId="105" xfId="0" applyFont="1" applyFill="1" applyBorder="1" applyAlignment="1">
      <alignment horizontal="center"/>
    </xf>
    <xf numFmtId="0" fontId="7" fillId="0" borderId="0" xfId="0" applyFont="1" applyAlignment="1">
      <alignment horizontal="left"/>
    </xf>
    <xf numFmtId="0" fontId="12" fillId="4" borderId="0" xfId="0" applyFont="1" applyFill="1" applyAlignment="1">
      <alignment horizontal="justify" vertical="top"/>
    </xf>
    <xf numFmtId="0" fontId="27" fillId="0" borderId="0" xfId="0" applyFont="1" applyAlignment="1">
      <alignment horizontal="justify" vertical="top" wrapText="1"/>
    </xf>
    <xf numFmtId="0" fontId="12" fillId="0" borderId="0" xfId="0" applyFont="1" applyFill="1" applyAlignment="1">
      <alignment horizontal="justify" vertical="top"/>
    </xf>
    <xf numFmtId="0" fontId="81" fillId="0" borderId="0" xfId="0" applyFont="1" applyAlignment="1">
      <alignment horizontal="center"/>
    </xf>
    <xf numFmtId="0" fontId="20" fillId="0" borderId="99" xfId="0" applyFont="1" applyBorder="1" applyAlignment="1">
      <alignment horizontal="left"/>
    </xf>
    <xf numFmtId="0" fontId="81" fillId="0" borderId="99" xfId="0" applyFont="1" applyBorder="1" applyAlignment="1">
      <alignment horizontal="center"/>
    </xf>
    <xf numFmtId="0" fontId="7" fillId="4" borderId="0" xfId="0" applyFont="1" applyFill="1" applyAlignment="1">
      <alignment horizontal="left" vertical="top" wrapText="1"/>
    </xf>
    <xf numFmtId="0" fontId="12" fillId="4" borderId="0" xfId="0" applyFont="1" applyFill="1" applyAlignment="1">
      <alignment horizontal="left" vertical="top"/>
    </xf>
    <xf numFmtId="3" fontId="1" fillId="0" borderId="122" xfId="0" applyNumberFormat="1" applyFont="1" applyBorder="1" applyAlignment="1">
      <alignment horizontal="right" vertical="center" wrapText="1"/>
    </xf>
    <xf numFmtId="3" fontId="1" fillId="0" borderId="113" xfId="0" applyNumberFormat="1" applyFont="1" applyBorder="1" applyAlignment="1">
      <alignment horizontal="right" vertical="center" wrapText="1"/>
    </xf>
    <xf numFmtId="3" fontId="1" fillId="0" borderId="110" xfId="0" applyNumberFormat="1" applyFont="1" applyBorder="1" applyAlignment="1">
      <alignment horizontal="right" vertical="center" wrapText="1"/>
    </xf>
    <xf numFmtId="3" fontId="5" fillId="0" borderId="113" xfId="0" applyNumberFormat="1" applyFont="1" applyBorder="1" applyAlignment="1">
      <alignment horizontal="right" vertical="center"/>
    </xf>
    <xf numFmtId="3" fontId="5" fillId="0" borderId="110" xfId="0" applyNumberFormat="1" applyFont="1" applyBorder="1" applyAlignment="1">
      <alignment horizontal="right" vertical="center"/>
    </xf>
    <xf numFmtId="0" fontId="7" fillId="4" borderId="0" xfId="0" applyFont="1" applyFill="1" applyAlignment="1">
      <alignment horizontal="left"/>
    </xf>
    <xf numFmtId="0" fontId="19" fillId="0" borderId="128" xfId="0" applyFont="1" applyBorder="1" applyAlignment="1">
      <alignment horizontal="center" vertical="center" wrapText="1"/>
    </xf>
    <xf numFmtId="3" fontId="5" fillId="0" borderId="91" xfId="0" applyNumberFormat="1" applyFont="1" applyBorder="1" applyAlignment="1">
      <alignment horizontal="right" vertical="center"/>
    </xf>
    <xf numFmtId="3" fontId="5" fillId="0" borderId="17" xfId="0" applyNumberFormat="1" applyFont="1" applyBorder="1" applyAlignment="1">
      <alignment horizontal="right" vertical="center"/>
    </xf>
    <xf numFmtId="0" fontId="5" fillId="0" borderId="128" xfId="0" applyFont="1" applyBorder="1" applyAlignment="1">
      <alignment horizontal="center" vertical="center"/>
    </xf>
    <xf numFmtId="0" fontId="11" fillId="0" borderId="0" xfId="0" applyFont="1" applyAlignment="1">
      <alignment horizontal="left" vertical="top" wrapText="1"/>
    </xf>
    <xf numFmtId="0" fontId="19" fillId="0" borderId="129" xfId="0" applyFont="1" applyBorder="1" applyAlignment="1">
      <alignment horizontal="left"/>
    </xf>
    <xf numFmtId="0" fontId="1" fillId="0" borderId="101" xfId="0" applyFont="1" applyBorder="1" applyAlignment="1">
      <alignment horizontal="left"/>
    </xf>
    <xf numFmtId="0" fontId="20" fillId="0" borderId="88" xfId="0" applyFont="1" applyBorder="1" applyAlignment="1">
      <alignment horizontal="left"/>
    </xf>
    <xf numFmtId="0" fontId="20" fillId="0" borderId="102" xfId="0" applyFont="1" applyBorder="1" applyAlignment="1">
      <alignment horizontal="left"/>
    </xf>
    <xf numFmtId="3" fontId="1" fillId="0" borderId="101" xfId="0" applyNumberFormat="1" applyFont="1" applyBorder="1" applyAlignment="1">
      <alignment horizontal="right" vertical="center" wrapText="1"/>
    </xf>
    <xf numFmtId="3" fontId="1" fillId="0" borderId="88" xfId="0" applyNumberFormat="1" applyFont="1" applyBorder="1" applyAlignment="1">
      <alignment horizontal="right" vertical="center" wrapText="1"/>
    </xf>
    <xf numFmtId="3" fontId="1" fillId="0" borderId="102" xfId="0" applyNumberFormat="1" applyFont="1" applyBorder="1" applyAlignment="1">
      <alignment horizontal="right" vertical="center" wrapText="1"/>
    </xf>
    <xf numFmtId="3" fontId="1" fillId="0" borderId="67" xfId="0" applyNumberFormat="1" applyFont="1" applyFill="1" applyBorder="1" applyAlignment="1">
      <alignment horizontal="right" vertical="center"/>
    </xf>
    <xf numFmtId="3" fontId="1" fillId="0" borderId="66" xfId="0" applyNumberFormat="1" applyFont="1" applyFill="1" applyBorder="1" applyAlignment="1">
      <alignment horizontal="right" vertical="center"/>
    </xf>
    <xf numFmtId="0" fontId="1" fillId="0" borderId="29" xfId="0" applyFont="1" applyFill="1" applyBorder="1" applyAlignment="1">
      <alignment horizontal="right" vertical="center"/>
    </xf>
    <xf numFmtId="0" fontId="1" fillId="0" borderId="44" xfId="0" applyFont="1" applyFill="1" applyBorder="1" applyAlignment="1">
      <alignment horizontal="right" vertical="center"/>
    </xf>
    <xf numFmtId="3" fontId="1" fillId="0" borderId="66" xfId="0" applyNumberFormat="1" applyFont="1" applyBorder="1" applyAlignment="1">
      <alignment horizontal="right" vertical="center"/>
    </xf>
    <xf numFmtId="3" fontId="1" fillId="0" borderId="43" xfId="0" applyNumberFormat="1" applyFont="1" applyBorder="1" applyAlignment="1">
      <alignment horizontal="right" vertical="center"/>
    </xf>
    <xf numFmtId="3" fontId="1" fillId="0" borderId="114" xfId="0" applyNumberFormat="1" applyFont="1" applyBorder="1" applyAlignment="1">
      <alignment horizontal="right" vertical="center"/>
    </xf>
    <xf numFmtId="3" fontId="1" fillId="0" borderId="44" xfId="0" applyNumberFormat="1" applyFont="1" applyBorder="1" applyAlignment="1">
      <alignment horizontal="right" vertical="center"/>
    </xf>
    <xf numFmtId="3" fontId="1" fillId="0" borderId="145" xfId="0" applyNumberFormat="1" applyFont="1" applyBorder="1" applyAlignment="1">
      <alignment horizontal="right" vertical="center"/>
    </xf>
    <xf numFmtId="0" fontId="1" fillId="0" borderId="29" xfId="0" applyFont="1" applyBorder="1" applyAlignment="1">
      <alignment horizontal="right" vertical="center"/>
    </xf>
    <xf numFmtId="0" fontId="1" fillId="0" borderId="44" xfId="0" applyFont="1" applyBorder="1" applyAlignment="1">
      <alignment horizontal="right" vertical="center"/>
    </xf>
    <xf numFmtId="0" fontId="1" fillId="0" borderId="102" xfId="0" applyFont="1" applyFill="1" applyBorder="1" applyAlignment="1">
      <alignment horizontal="right" vertical="center"/>
    </xf>
    <xf numFmtId="0" fontId="1" fillId="0" borderId="130" xfId="0" applyFont="1" applyFill="1" applyBorder="1" applyAlignment="1">
      <alignment horizontal="right" vertical="center"/>
    </xf>
    <xf numFmtId="3" fontId="1" fillId="0" borderId="67" xfId="0" applyNumberFormat="1" applyFont="1" applyBorder="1" applyAlignment="1">
      <alignment horizontal="right" vertical="center"/>
    </xf>
    <xf numFmtId="0" fontId="1" fillId="0" borderId="102" xfId="0" applyFont="1" applyBorder="1" applyAlignment="1">
      <alignment horizontal="right" vertical="center"/>
    </xf>
    <xf numFmtId="0" fontId="1" fillId="0" borderId="130" xfId="0" applyFont="1" applyBorder="1" applyAlignment="1">
      <alignment horizontal="right" vertical="center"/>
    </xf>
    <xf numFmtId="0" fontId="1" fillId="0" borderId="130" xfId="0" applyFont="1" applyFill="1" applyBorder="1" applyAlignment="1">
      <alignment horizontal="center" vertical="center"/>
    </xf>
    <xf numFmtId="0" fontId="1" fillId="0" borderId="101" xfId="0" applyFont="1" applyFill="1" applyBorder="1" applyAlignment="1">
      <alignment horizontal="center" vertical="center"/>
    </xf>
    <xf numFmtId="1" fontId="1" fillId="0" borderId="102" xfId="0" applyNumberFormat="1" applyFont="1" applyFill="1" applyBorder="1" applyAlignment="1">
      <alignment horizontal="right" vertical="center"/>
    </xf>
    <xf numFmtId="1" fontId="1" fillId="0" borderId="130" xfId="0" applyNumberFormat="1" applyFont="1" applyFill="1" applyBorder="1" applyAlignment="1">
      <alignment horizontal="right" vertical="center"/>
    </xf>
    <xf numFmtId="0" fontId="1" fillId="0" borderId="130" xfId="0" applyFont="1" applyBorder="1" applyAlignment="1">
      <alignment horizontal="center" vertical="center"/>
    </xf>
    <xf numFmtId="0" fontId="1" fillId="0" borderId="101" xfId="0" applyFont="1" applyBorder="1" applyAlignment="1">
      <alignment horizontal="center" vertical="center"/>
    </xf>
    <xf numFmtId="1" fontId="19" fillId="0" borderId="74" xfId="0" applyNumberFormat="1" applyFont="1" applyFill="1" applyBorder="1" applyAlignment="1">
      <alignment horizontal="right" vertical="center"/>
    </xf>
    <xf numFmtId="1" fontId="19" fillId="0" borderId="125" xfId="0" applyNumberFormat="1" applyFont="1" applyFill="1" applyBorder="1" applyAlignment="1">
      <alignment horizontal="right" vertical="center"/>
    </xf>
    <xf numFmtId="0" fontId="19" fillId="0" borderId="125" xfId="0" applyFont="1" applyBorder="1" applyAlignment="1">
      <alignment horizontal="center" vertical="center"/>
    </xf>
    <xf numFmtId="0" fontId="19" fillId="0" borderId="121" xfId="0" applyFont="1" applyBorder="1" applyAlignment="1">
      <alignment horizontal="center" vertical="center"/>
    </xf>
    <xf numFmtId="0" fontId="1" fillId="0" borderId="129" xfId="0" applyFont="1" applyBorder="1" applyAlignment="1">
      <alignment horizontal="center" vertical="center"/>
    </xf>
    <xf numFmtId="3" fontId="1" fillId="4" borderId="122" xfId="0" applyNumberFormat="1" applyFont="1" applyFill="1" applyBorder="1" applyAlignment="1">
      <alignment horizontal="right" vertical="center"/>
    </xf>
    <xf numFmtId="3" fontId="1" fillId="4" borderId="113" xfId="0" applyNumberFormat="1" applyFont="1" applyFill="1" applyBorder="1" applyAlignment="1">
      <alignment horizontal="right" vertical="center"/>
    </xf>
    <xf numFmtId="3" fontId="1" fillId="4" borderId="110" xfId="0" applyNumberFormat="1" applyFont="1" applyFill="1" applyBorder="1" applyAlignment="1">
      <alignment horizontal="right" vertical="center"/>
    </xf>
    <xf numFmtId="3" fontId="1" fillId="4" borderId="101" xfId="0" applyNumberFormat="1" applyFont="1" applyFill="1" applyBorder="1" applyAlignment="1">
      <alignment horizontal="right" vertical="center"/>
    </xf>
    <xf numFmtId="3" fontId="1" fillId="4" borderId="88" xfId="0" applyNumberFormat="1" applyFont="1" applyFill="1" applyBorder="1" applyAlignment="1">
      <alignment horizontal="right" vertical="center"/>
    </xf>
    <xf numFmtId="3" fontId="1" fillId="4" borderId="102" xfId="0" applyNumberFormat="1" applyFont="1" applyFill="1" applyBorder="1" applyAlignment="1">
      <alignment horizontal="right" vertical="center"/>
    </xf>
    <xf numFmtId="0" fontId="1" fillId="0" borderId="128" xfId="0" applyFont="1" applyBorder="1" applyAlignment="1">
      <alignment horizontal="center" vertical="center"/>
    </xf>
    <xf numFmtId="0" fontId="19" fillId="0" borderId="125" xfId="0" applyFont="1" applyFill="1" applyBorder="1" applyAlignment="1">
      <alignment horizontal="center" vertical="center"/>
    </xf>
    <xf numFmtId="0" fontId="19" fillId="0" borderId="121" xfId="0" applyFont="1" applyFill="1" applyBorder="1" applyAlignment="1">
      <alignment horizontal="center" vertical="center"/>
    </xf>
    <xf numFmtId="3" fontId="19" fillId="0" borderId="67" xfId="0" applyNumberFormat="1" applyFont="1" applyFill="1" applyBorder="1" applyAlignment="1">
      <alignment horizontal="right" vertical="center"/>
    </xf>
    <xf numFmtId="3" fontId="19" fillId="0" borderId="66" xfId="0" applyNumberFormat="1" applyFont="1" applyFill="1" applyBorder="1" applyAlignment="1">
      <alignment horizontal="right" vertical="center"/>
    </xf>
    <xf numFmtId="3" fontId="19" fillId="0" borderId="67" xfId="0" applyNumberFormat="1" applyFont="1" applyBorder="1" applyAlignment="1">
      <alignment horizontal="right" vertical="center"/>
    </xf>
    <xf numFmtId="3" fontId="19" fillId="0" borderId="130" xfId="0" applyNumberFormat="1" applyFont="1" applyBorder="1" applyAlignment="1">
      <alignment horizontal="right" vertical="center"/>
    </xf>
    <xf numFmtId="3" fontId="19" fillId="0" borderId="66" xfId="0" applyNumberFormat="1" applyFont="1" applyBorder="1" applyAlignment="1">
      <alignment horizontal="right" vertical="center"/>
    </xf>
    <xf numFmtId="0" fontId="19" fillId="0" borderId="101" xfId="0" applyFont="1" applyBorder="1" applyAlignment="1">
      <alignment horizontal="left" vertical="center" wrapText="1"/>
    </xf>
    <xf numFmtId="0" fontId="19" fillId="0" borderId="88" xfId="0" applyFont="1" applyBorder="1" applyAlignment="1">
      <alignment horizontal="left" vertical="center" wrapText="1"/>
    </xf>
    <xf numFmtId="0" fontId="107" fillId="0" borderId="122" xfId="0" applyFont="1" applyFill="1" applyBorder="1" applyAlignment="1">
      <alignment horizontal="left" vertical="center" wrapText="1"/>
    </xf>
    <xf numFmtId="0" fontId="107" fillId="0" borderId="113" xfId="0" applyFont="1" applyFill="1" applyBorder="1" applyAlignment="1">
      <alignment horizontal="left" vertical="center" wrapText="1"/>
    </xf>
    <xf numFmtId="0" fontId="107" fillId="0" borderId="110" xfId="0" applyFont="1" applyFill="1" applyBorder="1" applyAlignment="1">
      <alignment horizontal="left" vertical="center" wrapText="1"/>
    </xf>
    <xf numFmtId="3" fontId="1" fillId="0" borderId="122" xfId="0" applyNumberFormat="1" applyFont="1" applyBorder="1" applyAlignment="1">
      <alignment horizontal="center" vertical="center"/>
    </xf>
    <xf numFmtId="3" fontId="20" fillId="0" borderId="113" xfId="0" applyNumberFormat="1" applyFont="1" applyBorder="1" applyAlignment="1">
      <alignment horizontal="center" vertical="center"/>
    </xf>
    <xf numFmtId="3" fontId="20" fillId="0" borderId="110" xfId="0" applyNumberFormat="1" applyFont="1" applyBorder="1" applyAlignment="1">
      <alignment horizontal="center" vertical="center"/>
    </xf>
    <xf numFmtId="3" fontId="1" fillId="0" borderId="121" xfId="0" applyNumberFormat="1" applyFont="1" applyBorder="1" applyAlignment="1">
      <alignment horizontal="center" vertical="center"/>
    </xf>
    <xf numFmtId="3" fontId="20" fillId="0" borderId="135" xfId="0" applyNumberFormat="1" applyFont="1" applyBorder="1" applyAlignment="1">
      <alignment horizontal="center" vertical="center"/>
    </xf>
    <xf numFmtId="3" fontId="20" fillId="0" borderId="107" xfId="0" applyNumberFormat="1" applyFont="1" applyBorder="1" applyAlignment="1">
      <alignment horizontal="center" vertical="center"/>
    </xf>
    <xf numFmtId="0" fontId="1" fillId="0" borderId="127" xfId="0" applyFont="1" applyFill="1" applyBorder="1" applyAlignment="1">
      <alignment horizontal="center" vertical="center"/>
    </xf>
    <xf numFmtId="0" fontId="1" fillId="0" borderId="128" xfId="0" applyFont="1" applyFill="1" applyBorder="1" applyAlignment="1">
      <alignment horizontal="center" vertical="center"/>
    </xf>
    <xf numFmtId="0" fontId="1" fillId="0" borderId="124" xfId="0" applyFont="1" applyFill="1" applyBorder="1" applyAlignment="1">
      <alignment horizontal="center" vertical="center"/>
    </xf>
    <xf numFmtId="0" fontId="1" fillId="0" borderId="94" xfId="0" applyFont="1" applyFill="1" applyBorder="1" applyAlignment="1">
      <alignment horizontal="center" vertical="center"/>
    </xf>
    <xf numFmtId="3" fontId="1" fillId="0" borderId="92" xfId="0" applyNumberFormat="1" applyFont="1" applyBorder="1" applyAlignment="1">
      <alignment horizontal="right" vertical="center"/>
    </xf>
    <xf numFmtId="0" fontId="1" fillId="0" borderId="127" xfId="0" applyFont="1" applyBorder="1" applyAlignment="1">
      <alignment horizontal="center" vertical="center"/>
    </xf>
    <xf numFmtId="0" fontId="1" fillId="0" borderId="124" xfId="0" applyFont="1" applyBorder="1" applyAlignment="1">
      <alignment horizontal="center" vertical="center"/>
    </xf>
    <xf numFmtId="0" fontId="1" fillId="0" borderId="67" xfId="0" applyFont="1" applyFill="1" applyBorder="1" applyAlignment="1">
      <alignment horizontal="right" vertical="center"/>
    </xf>
    <xf numFmtId="3" fontId="1" fillId="4" borderId="67" xfId="0" applyNumberFormat="1" applyFont="1" applyFill="1" applyBorder="1" applyAlignment="1">
      <alignment horizontal="right" vertical="center"/>
    </xf>
    <xf numFmtId="3" fontId="1" fillId="4" borderId="130" xfId="0" applyNumberFormat="1" applyFont="1" applyFill="1" applyBorder="1" applyAlignment="1">
      <alignment horizontal="right" vertical="center"/>
    </xf>
    <xf numFmtId="3" fontId="1" fillId="4" borderId="66" xfId="0" applyNumberFormat="1" applyFont="1" applyFill="1" applyBorder="1" applyAlignment="1">
      <alignment horizontal="right" vertical="center"/>
    </xf>
    <xf numFmtId="3" fontId="1" fillId="0" borderId="126" xfId="0" applyNumberFormat="1" applyFont="1" applyBorder="1" applyAlignment="1">
      <alignment horizontal="center" vertical="center"/>
    </xf>
    <xf numFmtId="3" fontId="20" fillId="0" borderId="126" xfId="0" applyNumberFormat="1" applyFont="1" applyBorder="1" applyAlignment="1">
      <alignment horizontal="center" vertical="center"/>
    </xf>
    <xf numFmtId="0" fontId="95" fillId="0" borderId="101" xfId="0" applyFont="1" applyBorder="1" applyAlignment="1">
      <alignment horizontal="left" vertical="center" wrapText="1"/>
    </xf>
    <xf numFmtId="0" fontId="95" fillId="0" borderId="88" xfId="0" applyFont="1" applyBorder="1" applyAlignment="1">
      <alignment horizontal="left" vertical="center" wrapText="1"/>
    </xf>
    <xf numFmtId="0" fontId="95" fillId="0" borderId="102" xfId="0" applyFont="1" applyBorder="1" applyAlignment="1">
      <alignment horizontal="left" vertical="center" wrapText="1"/>
    </xf>
    <xf numFmtId="0" fontId="1" fillId="0" borderId="94" xfId="0" applyFont="1" applyBorder="1" applyAlignment="1">
      <alignment horizontal="center" vertical="center"/>
    </xf>
    <xf numFmtId="0" fontId="1" fillId="0" borderId="67" xfId="0" applyFont="1" applyBorder="1" applyAlignment="1">
      <alignment horizontal="right" vertical="center"/>
    </xf>
    <xf numFmtId="0" fontId="19" fillId="0" borderId="92" xfId="0" applyFont="1" applyBorder="1" applyAlignment="1">
      <alignment horizontal="center" vertical="center"/>
    </xf>
    <xf numFmtId="0" fontId="19" fillId="0" borderId="93" xfId="0" applyFont="1" applyBorder="1" applyAlignment="1">
      <alignment horizontal="center" vertical="center"/>
    </xf>
    <xf numFmtId="0" fontId="19" fillId="0" borderId="94" xfId="0" applyFont="1" applyBorder="1" applyAlignment="1">
      <alignment horizontal="center" vertical="center"/>
    </xf>
    <xf numFmtId="0" fontId="19" fillId="0" borderId="96" xfId="0" applyFont="1" applyBorder="1" applyAlignment="1">
      <alignment horizontal="center" vertical="center"/>
    </xf>
    <xf numFmtId="0" fontId="19" fillId="0" borderId="97" xfId="0" applyFont="1" applyBorder="1" applyAlignment="1">
      <alignment horizontal="center" vertical="center"/>
    </xf>
    <xf numFmtId="0" fontId="19" fillId="0" borderId="13" xfId="0" applyFont="1" applyBorder="1" applyAlignment="1">
      <alignment horizontal="center" vertical="center"/>
    </xf>
    <xf numFmtId="0" fontId="19" fillId="0" borderId="92" xfId="0" applyFont="1" applyFill="1" applyBorder="1" applyAlignment="1">
      <alignment horizontal="center" vertical="center" wrapText="1"/>
    </xf>
    <xf numFmtId="0" fontId="19" fillId="0" borderId="93" xfId="0" applyFont="1" applyFill="1" applyBorder="1" applyAlignment="1">
      <alignment horizontal="center" vertical="center" wrapText="1"/>
    </xf>
    <xf numFmtId="0" fontId="19" fillId="0" borderId="94" xfId="0" applyFont="1" applyFill="1" applyBorder="1" applyAlignment="1">
      <alignment horizontal="center" vertical="center" wrapText="1"/>
    </xf>
    <xf numFmtId="0" fontId="19" fillId="0" borderId="96" xfId="0" applyFont="1" applyFill="1" applyBorder="1" applyAlignment="1">
      <alignment horizontal="center" vertical="center" wrapText="1"/>
    </xf>
    <xf numFmtId="0" fontId="19" fillId="0" borderId="97" xfId="0" applyFont="1" applyFill="1" applyBorder="1" applyAlignment="1">
      <alignment horizontal="center" vertical="center" wrapText="1"/>
    </xf>
    <xf numFmtId="0" fontId="19" fillId="0" borderId="13" xfId="0" applyFont="1" applyFill="1" applyBorder="1" applyAlignment="1">
      <alignment horizontal="center" vertical="center" wrapText="1"/>
    </xf>
    <xf numFmtId="3" fontId="1" fillId="0" borderId="129" xfId="0" applyNumberFormat="1" applyFont="1" applyBorder="1" applyAlignment="1">
      <alignment horizontal="center" vertical="center"/>
    </xf>
    <xf numFmtId="3" fontId="20" fillId="0" borderId="129" xfId="0" applyNumberFormat="1" applyFont="1" applyBorder="1" applyAlignment="1">
      <alignment horizontal="center" vertical="center"/>
    </xf>
    <xf numFmtId="0" fontId="95" fillId="0" borderId="66" xfId="0" applyFont="1" applyFill="1" applyBorder="1" applyAlignment="1">
      <alignment horizontal="left" vertical="center" wrapText="1"/>
    </xf>
    <xf numFmtId="0" fontId="95" fillId="0" borderId="43" xfId="0" applyFont="1" applyFill="1" applyBorder="1" applyAlignment="1">
      <alignment horizontal="left" vertical="center" wrapText="1"/>
    </xf>
    <xf numFmtId="0" fontId="95" fillId="0" borderId="72" xfId="0" applyFont="1" applyFill="1" applyBorder="1" applyAlignment="1">
      <alignment horizontal="left" vertical="center" wrapText="1"/>
    </xf>
    <xf numFmtId="0" fontId="95" fillId="0" borderId="73" xfId="0" applyFont="1" applyFill="1" applyBorder="1" applyAlignment="1">
      <alignment horizontal="left" vertical="center" wrapText="1"/>
    </xf>
    <xf numFmtId="0" fontId="107" fillId="0" borderId="66" xfId="0" applyFont="1" applyFill="1" applyBorder="1" applyAlignment="1">
      <alignment horizontal="left"/>
    </xf>
    <xf numFmtId="0" fontId="107" fillId="0" borderId="43" xfId="0" applyFont="1" applyFill="1" applyBorder="1" applyAlignment="1">
      <alignment horizontal="left"/>
    </xf>
    <xf numFmtId="0" fontId="107" fillId="0" borderId="43" xfId="0" applyFont="1" applyFill="1" applyBorder="1" applyAlignment="1">
      <alignment horizontal="center"/>
    </xf>
    <xf numFmtId="0" fontId="107" fillId="0" borderId="67" xfId="0" applyFont="1" applyFill="1" applyBorder="1" applyAlignment="1">
      <alignment horizontal="center"/>
    </xf>
    <xf numFmtId="0" fontId="95" fillId="0" borderId="43" xfId="0" applyFont="1" applyFill="1" applyBorder="1" applyAlignment="1">
      <alignment horizontal="center" vertical="center"/>
    </xf>
    <xf numFmtId="0" fontId="95" fillId="0" borderId="67" xfId="0" applyFont="1" applyFill="1" applyBorder="1" applyAlignment="1">
      <alignment horizontal="center" vertical="center"/>
    </xf>
    <xf numFmtId="0" fontId="95" fillId="0" borderId="73" xfId="0" applyFont="1" applyFill="1" applyBorder="1" applyAlignment="1">
      <alignment horizontal="center" vertical="center"/>
    </xf>
    <xf numFmtId="0" fontId="95" fillId="0" borderId="74" xfId="0" applyFont="1" applyFill="1" applyBorder="1" applyAlignment="1">
      <alignment horizontal="center" vertical="center"/>
    </xf>
    <xf numFmtId="0" fontId="1" fillId="0" borderId="122" xfId="0" applyFont="1" applyBorder="1" applyAlignment="1">
      <alignment horizontal="left" vertical="center"/>
    </xf>
    <xf numFmtId="0" fontId="1" fillId="0" borderId="113" xfId="0" applyFont="1" applyBorder="1" applyAlignment="1">
      <alignment horizontal="left" vertical="center"/>
    </xf>
    <xf numFmtId="0" fontId="1" fillId="0" borderId="110" xfId="0" applyFont="1" applyBorder="1" applyAlignment="1">
      <alignment horizontal="left" vertical="center"/>
    </xf>
    <xf numFmtId="3" fontId="19" fillId="0" borderId="74" xfId="0" applyNumberFormat="1" applyFont="1" applyFill="1" applyBorder="1" applyAlignment="1">
      <alignment horizontal="right" vertical="center"/>
    </xf>
    <xf numFmtId="3" fontId="19" fillId="0" borderId="125" xfId="0" applyNumberFormat="1" applyFont="1" applyFill="1" applyBorder="1" applyAlignment="1">
      <alignment horizontal="right" vertical="center"/>
    </xf>
    <xf numFmtId="3" fontId="19" fillId="0" borderId="72" xfId="0" applyNumberFormat="1" applyFont="1" applyFill="1" applyBorder="1" applyAlignment="1">
      <alignment horizontal="right" vertical="center"/>
    </xf>
    <xf numFmtId="0" fontId="1" fillId="0" borderId="101" xfId="0" applyFont="1" applyFill="1" applyBorder="1" applyAlignment="1">
      <alignment horizontal="left" vertical="center"/>
    </xf>
    <xf numFmtId="0" fontId="1" fillId="0" borderId="88" xfId="0" applyFont="1" applyFill="1" applyBorder="1" applyAlignment="1">
      <alignment horizontal="left" vertical="center"/>
    </xf>
    <xf numFmtId="0" fontId="1" fillId="0" borderId="102" xfId="0" applyFont="1" applyFill="1" applyBorder="1" applyAlignment="1">
      <alignment horizontal="left" vertical="center"/>
    </xf>
    <xf numFmtId="1" fontId="19" fillId="0" borderId="74" xfId="0" applyNumberFormat="1" applyFont="1" applyBorder="1" applyAlignment="1">
      <alignment horizontal="right" vertical="center"/>
    </xf>
    <xf numFmtId="1" fontId="19" fillId="0" borderId="125" xfId="0" applyNumberFormat="1" applyFont="1" applyBorder="1" applyAlignment="1">
      <alignment horizontal="right" vertical="center"/>
    </xf>
    <xf numFmtId="3" fontId="1" fillId="0" borderId="92" xfId="0" applyNumberFormat="1" applyFont="1" applyFill="1" applyBorder="1" applyAlignment="1">
      <alignment horizontal="right" vertical="center"/>
    </xf>
    <xf numFmtId="0" fontId="1" fillId="0" borderId="113" xfId="0" applyFont="1" applyBorder="1" applyAlignment="1">
      <alignment horizontal="left" vertical="center" wrapText="1"/>
    </xf>
    <xf numFmtId="0" fontId="27" fillId="0" borderId="0" xfId="0" applyFont="1" applyFill="1" applyAlignment="1">
      <alignment horizontal="left" vertical="top"/>
    </xf>
    <xf numFmtId="0" fontId="27" fillId="4" borderId="0" xfId="0" applyFont="1" applyFill="1" applyAlignment="1">
      <alignment horizontal="justify" vertical="top" wrapText="1"/>
    </xf>
    <xf numFmtId="0" fontId="1" fillId="0" borderId="0" xfId="0" applyFont="1" applyAlignment="1">
      <alignment horizontal="left" wrapText="1"/>
    </xf>
    <xf numFmtId="0" fontId="1" fillId="0" borderId="0" xfId="0" applyFont="1" applyAlignment="1">
      <alignment horizontal="left"/>
    </xf>
    <xf numFmtId="0" fontId="1" fillId="0" borderId="130" xfId="0" applyFont="1" applyFill="1" applyBorder="1" applyAlignment="1">
      <alignment horizontal="center" vertical="center" wrapText="1"/>
    </xf>
    <xf numFmtId="0" fontId="54" fillId="0" borderId="0" xfId="0" applyFont="1" applyFill="1" applyAlignment="1">
      <alignment horizontal="left" vertical="top"/>
    </xf>
    <xf numFmtId="0" fontId="1" fillId="0" borderId="129" xfId="0" applyFont="1" applyBorder="1" applyAlignment="1">
      <alignment horizontal="left" vertical="center" wrapText="1"/>
    </xf>
    <xf numFmtId="3" fontId="1" fillId="0" borderId="129" xfId="0" applyNumberFormat="1" applyFont="1" applyFill="1" applyBorder="1" applyAlignment="1">
      <alignment horizontal="right" vertical="center"/>
    </xf>
    <xf numFmtId="0" fontId="1" fillId="0" borderId="128" xfId="0" applyFont="1" applyBorder="1" applyAlignment="1">
      <alignment horizontal="left" vertical="center" wrapText="1"/>
    </xf>
    <xf numFmtId="0" fontId="11" fillId="0" borderId="0" xfId="0" applyFont="1" applyAlignment="1">
      <alignment horizontal="left"/>
    </xf>
    <xf numFmtId="3" fontId="1" fillId="0" borderId="121" xfId="0" applyNumberFormat="1" applyFont="1" applyBorder="1" applyAlignment="1">
      <alignment horizontal="right" vertical="center"/>
    </xf>
    <xf numFmtId="3" fontId="1" fillId="0" borderId="135" xfId="0" applyNumberFormat="1" applyFont="1" applyBorder="1" applyAlignment="1">
      <alignment horizontal="right" vertical="center"/>
    </xf>
    <xf numFmtId="3" fontId="1" fillId="0" borderId="107" xfId="0" applyNumberFormat="1" applyFont="1" applyBorder="1" applyAlignment="1">
      <alignment horizontal="right" vertical="center"/>
    </xf>
    <xf numFmtId="3" fontId="20" fillId="4" borderId="130" xfId="0" applyNumberFormat="1" applyFont="1" applyFill="1" applyBorder="1" applyAlignment="1">
      <alignment horizontal="right" vertical="center"/>
    </xf>
    <xf numFmtId="3" fontId="19" fillId="0" borderId="122" xfId="0" applyNumberFormat="1" applyFont="1" applyBorder="1" applyAlignment="1">
      <alignment horizontal="right" vertical="center" wrapText="1"/>
    </xf>
    <xf numFmtId="3" fontId="19" fillId="0" borderId="113" xfId="0" applyNumberFormat="1" applyFont="1" applyBorder="1" applyAlignment="1">
      <alignment horizontal="right" vertical="center" wrapText="1"/>
    </xf>
    <xf numFmtId="3" fontId="19" fillId="0" borderId="110" xfId="0" applyNumberFormat="1" applyFont="1" applyBorder="1" applyAlignment="1">
      <alignment horizontal="right" vertical="center" wrapText="1"/>
    </xf>
    <xf numFmtId="3" fontId="5" fillId="0" borderId="111" xfId="0" applyNumberFormat="1" applyFont="1" applyBorder="1" applyAlignment="1">
      <alignment horizontal="center" vertical="center"/>
    </xf>
    <xf numFmtId="3" fontId="5" fillId="0" borderId="113" xfId="0" applyNumberFormat="1" applyFont="1" applyBorder="1" applyAlignment="1">
      <alignment horizontal="center" vertical="center"/>
    </xf>
    <xf numFmtId="3" fontId="5" fillId="0" borderId="112" xfId="0" applyNumberFormat="1" applyFont="1" applyBorder="1" applyAlignment="1">
      <alignment horizontal="center" vertical="center"/>
    </xf>
    <xf numFmtId="0" fontId="1" fillId="0" borderId="90" xfId="0" quotePrefix="1" applyFont="1" applyFill="1" applyBorder="1" applyAlignment="1">
      <alignment horizontal="center" vertical="center"/>
    </xf>
    <xf numFmtId="0" fontId="5" fillId="0" borderId="91" xfId="0" applyFont="1" applyFill="1" applyBorder="1" applyAlignment="1">
      <alignment horizontal="center" vertical="center"/>
    </xf>
    <xf numFmtId="0" fontId="5" fillId="0" borderId="133" xfId="0" applyFont="1" applyFill="1" applyBorder="1" applyAlignment="1">
      <alignment horizontal="center" vertical="center"/>
    </xf>
    <xf numFmtId="0" fontId="19" fillId="0" borderId="102" xfId="0" applyFont="1" applyBorder="1" applyAlignment="1">
      <alignment horizontal="left" vertical="center" wrapText="1"/>
    </xf>
    <xf numFmtId="3" fontId="1" fillId="0" borderId="121" xfId="0" applyNumberFormat="1" applyFont="1" applyFill="1" applyBorder="1" applyAlignment="1">
      <alignment horizontal="right" vertical="center" wrapText="1"/>
    </xf>
    <xf numFmtId="3" fontId="1" fillId="0" borderId="135" xfId="0" applyNumberFormat="1" applyFont="1" applyFill="1" applyBorder="1" applyAlignment="1">
      <alignment horizontal="right" vertical="center" wrapText="1"/>
    </xf>
    <xf numFmtId="3" fontId="1" fillId="0" borderId="107" xfId="0" applyNumberFormat="1" applyFont="1" applyFill="1" applyBorder="1" applyAlignment="1">
      <alignment horizontal="right" vertical="center" wrapText="1"/>
    </xf>
    <xf numFmtId="3" fontId="20" fillId="0" borderId="125" xfId="0" applyNumberFormat="1" applyFont="1" applyBorder="1" applyAlignment="1">
      <alignment horizontal="right" vertical="center"/>
    </xf>
    <xf numFmtId="3" fontId="29" fillId="0" borderId="0" xfId="2" applyNumberFormat="1" applyFont="1" applyAlignment="1">
      <alignment horizontal="left" vertical="center" wrapText="1"/>
    </xf>
    <xf numFmtId="3" fontId="29" fillId="0" borderId="0" xfId="2" applyNumberFormat="1" applyFont="1" applyAlignment="1">
      <alignment vertical="center" wrapText="1"/>
    </xf>
    <xf numFmtId="0" fontId="60" fillId="0" borderId="104" xfId="8" applyFont="1" applyFill="1" applyBorder="1" applyAlignment="1">
      <alignment horizontal="left" vertical="top" wrapText="1"/>
    </xf>
    <xf numFmtId="0" fontId="60" fillId="0" borderId="103" xfId="8" applyFont="1" applyFill="1" applyBorder="1" applyAlignment="1">
      <alignment horizontal="left" vertical="top" wrapText="1"/>
    </xf>
    <xf numFmtId="0" fontId="60" fillId="0" borderId="75" xfId="8" applyFont="1" applyFill="1" applyBorder="1" applyAlignment="1">
      <alignment horizontal="left" vertical="top" wrapText="1"/>
    </xf>
    <xf numFmtId="0" fontId="60" fillId="0" borderId="77" xfId="8" applyFont="1" applyFill="1" applyBorder="1" applyAlignment="1">
      <alignment horizontal="left" vertical="top" wrapText="1"/>
    </xf>
    <xf numFmtId="0" fontId="30" fillId="0" borderId="106" xfId="8" applyFont="1" applyBorder="1" applyAlignment="1">
      <alignment horizontal="center" vertical="top"/>
    </xf>
    <xf numFmtId="0" fontId="30" fillId="0" borderId="97" xfId="8" applyFont="1" applyBorder="1" applyAlignment="1">
      <alignment horizontal="center" vertical="top"/>
    </xf>
    <xf numFmtId="0" fontId="30" fillId="0" borderId="105" xfId="8" applyFont="1" applyBorder="1" applyAlignment="1">
      <alignment horizontal="center" vertical="top"/>
    </xf>
    <xf numFmtId="0" fontId="30" fillId="0" borderId="106" xfId="8" applyFont="1" applyFill="1" applyBorder="1" applyAlignment="1">
      <alignment horizontal="center" vertical="top"/>
    </xf>
    <xf numFmtId="0" fontId="30" fillId="0" borderId="13" xfId="8" applyFont="1" applyBorder="1" applyAlignment="1">
      <alignment horizontal="center" vertical="top"/>
    </xf>
    <xf numFmtId="171" fontId="72" fillId="0" borderId="87" xfId="8" applyNumberFormat="1" applyFont="1" applyFill="1" applyBorder="1" applyAlignment="1">
      <alignment horizontal="center" vertical="center"/>
    </xf>
    <xf numFmtId="171" fontId="72" fillId="0" borderId="88" xfId="8" applyNumberFormat="1" applyFont="1" applyFill="1" applyBorder="1" applyAlignment="1">
      <alignment horizontal="center" vertical="center"/>
    </xf>
    <xf numFmtId="171" fontId="72" fillId="0" borderId="89" xfId="8" applyNumberFormat="1" applyFont="1" applyFill="1" applyBorder="1" applyAlignment="1">
      <alignment horizontal="center" vertical="center"/>
    </xf>
    <xf numFmtId="49" fontId="74" fillId="0" borderId="115" xfId="8" applyNumberFormat="1" applyFont="1" applyFill="1" applyBorder="1" applyAlignment="1">
      <alignment horizontal="center" vertical="top"/>
    </xf>
    <xf numFmtId="49" fontId="74" fillId="0" borderId="118" xfId="8" applyNumberFormat="1" applyFont="1" applyFill="1" applyBorder="1" applyAlignment="1">
      <alignment horizontal="center" vertical="top"/>
    </xf>
    <xf numFmtId="49" fontId="74" fillId="0" borderId="84" xfId="8" applyNumberFormat="1" applyFont="1" applyFill="1" applyBorder="1" applyAlignment="1">
      <alignment horizontal="center" vertical="top"/>
    </xf>
    <xf numFmtId="49" fontId="74" fillId="0" borderId="85" xfId="8" applyNumberFormat="1" applyFont="1" applyFill="1" applyBorder="1" applyAlignment="1">
      <alignment horizontal="center" vertical="top"/>
    </xf>
    <xf numFmtId="49" fontId="73" fillId="0" borderId="115" xfId="8" applyNumberFormat="1" applyFont="1" applyFill="1" applyBorder="1" applyAlignment="1">
      <alignment horizontal="center" vertical="top"/>
    </xf>
    <xf numFmtId="49" fontId="73" fillId="0" borderId="118" xfId="8" applyNumberFormat="1" applyFont="1" applyFill="1" applyBorder="1" applyAlignment="1">
      <alignment horizontal="center" vertical="top"/>
    </xf>
    <xf numFmtId="49" fontId="73" fillId="0" borderId="84" xfId="8" applyNumberFormat="1" applyFont="1" applyFill="1" applyBorder="1" applyAlignment="1">
      <alignment horizontal="center" vertical="top"/>
    </xf>
    <xf numFmtId="49" fontId="73" fillId="0" borderId="85" xfId="8" applyNumberFormat="1" applyFont="1" applyFill="1" applyBorder="1" applyAlignment="1">
      <alignment horizontal="center" vertical="top"/>
    </xf>
    <xf numFmtId="171" fontId="72" fillId="0" borderId="87" xfId="8" applyNumberFormat="1" applyFont="1" applyFill="1" applyBorder="1" applyAlignment="1">
      <alignment horizontal="right" vertical="center"/>
    </xf>
    <xf numFmtId="171" fontId="72" fillId="0" borderId="88" xfId="8" applyNumberFormat="1" applyFont="1" applyFill="1" applyBorder="1" applyAlignment="1">
      <alignment horizontal="right" vertical="center"/>
    </xf>
    <xf numFmtId="171" fontId="72" fillId="0" borderId="89" xfId="8" applyNumberFormat="1" applyFont="1" applyFill="1" applyBorder="1" applyAlignment="1">
      <alignment horizontal="right" vertical="center"/>
    </xf>
    <xf numFmtId="171" fontId="72" fillId="0" borderId="43" xfId="8" applyNumberFormat="1" applyFont="1" applyFill="1" applyBorder="1" applyAlignment="1">
      <alignment horizontal="right" vertical="center"/>
    </xf>
    <xf numFmtId="171" fontId="72" fillId="0" borderId="102" xfId="8" applyNumberFormat="1" applyFont="1" applyFill="1" applyBorder="1" applyAlignment="1">
      <alignment horizontal="right" vertical="center"/>
    </xf>
    <xf numFmtId="0" fontId="74" fillId="0" borderId="111" xfId="8" applyFont="1" applyFill="1" applyBorder="1" applyAlignment="1">
      <alignment horizontal="center" vertical="center" wrapText="1"/>
    </xf>
    <xf numFmtId="0" fontId="74" fillId="0" borderId="110" xfId="8" applyFont="1" applyFill="1" applyBorder="1" applyAlignment="1">
      <alignment horizontal="center" vertical="center" wrapText="1"/>
    </xf>
    <xf numFmtId="0" fontId="74" fillId="0" borderId="84" xfId="8" applyFont="1" applyFill="1" applyBorder="1" applyAlignment="1">
      <alignment horizontal="center" vertical="center" wrapText="1"/>
    </xf>
    <xf numFmtId="0" fontId="74" fillId="0" borderId="100" xfId="8" applyFont="1" applyFill="1" applyBorder="1" applyAlignment="1">
      <alignment horizontal="center" vertical="center" wrapText="1"/>
    </xf>
    <xf numFmtId="0" fontId="74" fillId="0" borderId="112" xfId="8" applyFont="1" applyFill="1" applyBorder="1" applyAlignment="1">
      <alignment horizontal="center" vertical="center" wrapText="1"/>
    </xf>
    <xf numFmtId="0" fontId="74" fillId="0" borderId="85" xfId="8" applyFont="1" applyFill="1" applyBorder="1" applyAlignment="1">
      <alignment horizontal="center" vertical="center" wrapText="1"/>
    </xf>
    <xf numFmtId="0" fontId="74" fillId="0" borderId="75" xfId="8" applyFont="1" applyFill="1" applyBorder="1" applyAlignment="1">
      <alignment horizontal="center" vertical="center" wrapText="1"/>
    </xf>
    <xf numFmtId="0" fontId="74" fillId="0" borderId="29" xfId="8" applyFont="1" applyFill="1" applyBorder="1" applyAlignment="1">
      <alignment horizontal="center" vertical="center" wrapText="1"/>
    </xf>
    <xf numFmtId="0" fontId="74" fillId="0" borderId="84" xfId="8" applyFont="1" applyFill="1" applyBorder="1" applyAlignment="1">
      <alignment horizontal="center" wrapText="1"/>
    </xf>
    <xf numFmtId="0" fontId="74" fillId="0" borderId="85" xfId="8" applyFont="1" applyFill="1" applyBorder="1" applyAlignment="1">
      <alignment horizontal="center" wrapText="1"/>
    </xf>
    <xf numFmtId="0" fontId="74" fillId="0" borderId="87" xfId="8" applyFont="1" applyFill="1" applyBorder="1" applyAlignment="1">
      <alignment horizontal="center" vertical="center" wrapText="1"/>
    </xf>
    <xf numFmtId="0" fontId="74" fillId="0" borderId="102" xfId="8" applyFont="1" applyFill="1" applyBorder="1" applyAlignment="1">
      <alignment horizontal="center" vertical="center" wrapText="1"/>
    </xf>
    <xf numFmtId="0" fontId="75" fillId="0" borderId="70"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3" fillId="0" borderId="70" xfId="8" applyFont="1" applyFill="1" applyBorder="1" applyAlignment="1">
      <alignment horizontal="right" vertical="top" wrapText="1"/>
    </xf>
    <xf numFmtId="0" fontId="73" fillId="0" borderId="66" xfId="8" applyFont="1" applyFill="1" applyBorder="1" applyAlignment="1">
      <alignment horizontal="right" vertical="top" wrapText="1"/>
    </xf>
    <xf numFmtId="0" fontId="73" fillId="0" borderId="71" xfId="8" applyFont="1" applyFill="1" applyBorder="1" applyAlignment="1">
      <alignment horizontal="left" vertical="top" wrapText="1"/>
    </xf>
    <xf numFmtId="0" fontId="73" fillId="0" borderId="43" xfId="8" applyFont="1" applyFill="1" applyBorder="1" applyAlignment="1">
      <alignment horizontal="left" vertical="top" wrapText="1"/>
    </xf>
    <xf numFmtId="49" fontId="73" fillId="0" borderId="71" xfId="8" applyNumberFormat="1" applyFont="1" applyFill="1" applyBorder="1" applyAlignment="1">
      <alignment horizontal="center" vertical="top"/>
    </xf>
    <xf numFmtId="49" fontId="73" fillId="0" borderId="43" xfId="8" applyNumberFormat="1" applyFont="1" applyFill="1" applyBorder="1" applyAlignment="1">
      <alignment horizontal="center" vertical="top"/>
    </xf>
    <xf numFmtId="0" fontId="74" fillId="0" borderId="71" xfId="8" applyFont="1" applyFill="1" applyBorder="1" applyAlignment="1">
      <alignment horizontal="center" vertical="center" wrapText="1"/>
    </xf>
    <xf numFmtId="0" fontId="74" fillId="0" borderId="43" xfId="8" applyFont="1" applyFill="1" applyBorder="1" applyAlignment="1">
      <alignment horizontal="center" vertical="center" wrapText="1"/>
    </xf>
    <xf numFmtId="0" fontId="75" fillId="0" borderId="71" xfId="8" applyFont="1" applyFill="1" applyBorder="1" applyAlignment="1">
      <alignment horizontal="center" vertical="center" wrapText="1"/>
    </xf>
    <xf numFmtId="0" fontId="75" fillId="0" borderId="43" xfId="8" applyFont="1" applyFill="1" applyBorder="1" applyAlignment="1">
      <alignment horizontal="center" vertical="center" wrapText="1"/>
    </xf>
    <xf numFmtId="0" fontId="74" fillId="0" borderId="99" xfId="8" applyFont="1" applyFill="1" applyBorder="1" applyAlignment="1">
      <alignment horizontal="center" vertical="center" wrapText="1"/>
    </xf>
    <xf numFmtId="1" fontId="74" fillId="0" borderId="43" xfId="8" applyNumberFormat="1" applyFont="1" applyFill="1" applyBorder="1" applyAlignment="1">
      <alignment horizontal="center" vertical="center"/>
    </xf>
    <xf numFmtId="0" fontId="73" fillId="0" borderId="66" xfId="8" applyFont="1" applyFill="1" applyBorder="1" applyAlignment="1">
      <alignment horizontal="left" vertical="top" wrapText="1"/>
    </xf>
    <xf numFmtId="0" fontId="74" fillId="0" borderId="66" xfId="8" applyFont="1" applyFill="1" applyBorder="1" applyAlignment="1">
      <alignment horizontal="left" vertical="top" wrapText="1"/>
    </xf>
    <xf numFmtId="0" fontId="74" fillId="0" borderId="71" xfId="8" quotePrefix="1" applyFont="1" applyFill="1" applyBorder="1" applyAlignment="1">
      <alignment horizontal="left" vertical="top" wrapText="1"/>
    </xf>
    <xf numFmtId="0" fontId="74" fillId="0" borderId="43" xfId="8" applyFont="1" applyFill="1" applyBorder="1" applyAlignment="1">
      <alignment horizontal="left" vertical="top" wrapText="1"/>
    </xf>
    <xf numFmtId="0" fontId="74" fillId="0" borderId="70" xfId="8" quotePrefix="1" applyFont="1" applyFill="1" applyBorder="1" applyAlignment="1">
      <alignment horizontal="right" vertical="top" wrapText="1"/>
    </xf>
    <xf numFmtId="0" fontId="74" fillId="0" borderId="66" xfId="8" applyFont="1" applyFill="1" applyBorder="1" applyAlignment="1">
      <alignment horizontal="right" vertical="top" wrapText="1"/>
    </xf>
    <xf numFmtId="49" fontId="74" fillId="0" borderId="43" xfId="8" applyNumberFormat="1" applyFont="1" applyFill="1" applyBorder="1" applyAlignment="1">
      <alignment horizontal="center" vertical="top"/>
    </xf>
    <xf numFmtId="0" fontId="74" fillId="0" borderId="66" xfId="8" quotePrefix="1" applyFont="1" applyFill="1" applyBorder="1" applyAlignment="1">
      <alignment horizontal="right" vertical="top" wrapText="1"/>
    </xf>
    <xf numFmtId="0" fontId="74" fillId="0" borderId="43" xfId="8" quotePrefix="1" applyFont="1" applyFill="1" applyBorder="1" applyAlignment="1">
      <alignment horizontal="left" vertical="top" wrapText="1"/>
    </xf>
    <xf numFmtId="0" fontId="74" fillId="0" borderId="115" xfId="8" applyFont="1" applyFill="1" applyBorder="1" applyAlignment="1">
      <alignment horizontal="center" vertical="center" wrapText="1"/>
    </xf>
    <xf numFmtId="0" fontId="74" fillId="0" borderId="116" xfId="8" applyFont="1" applyFill="1" applyBorder="1" applyAlignment="1">
      <alignment horizontal="center" vertical="center" wrapText="1"/>
    </xf>
    <xf numFmtId="0" fontId="74" fillId="0" borderId="75" xfId="8" applyFont="1" applyFill="1" applyBorder="1" applyAlignment="1">
      <alignment horizontal="center" wrapText="1"/>
    </xf>
    <xf numFmtId="0" fontId="74" fillId="0" borderId="77" xfId="8" applyFont="1" applyFill="1" applyBorder="1" applyAlignment="1">
      <alignment horizontal="center" wrapText="1"/>
    </xf>
    <xf numFmtId="0" fontId="73" fillId="0" borderId="66" xfId="8" quotePrefix="1" applyFont="1" applyFill="1" applyBorder="1" applyAlignment="1">
      <alignment horizontal="left" vertical="top" wrapText="1"/>
    </xf>
    <xf numFmtId="0" fontId="74" fillId="0" borderId="66" xfId="8" quotePrefix="1" applyFont="1" applyFill="1" applyBorder="1" applyAlignment="1">
      <alignment horizontal="left" vertical="top" wrapText="1"/>
    </xf>
    <xf numFmtId="0" fontId="75" fillId="0" borderId="117" xfId="8" applyFont="1" applyFill="1" applyBorder="1" applyAlignment="1">
      <alignment horizontal="center" vertical="center" wrapText="1"/>
    </xf>
    <xf numFmtId="1" fontId="74" fillId="0" borderId="116" xfId="8" applyNumberFormat="1" applyFont="1" applyFill="1" applyBorder="1" applyAlignment="1">
      <alignment horizontal="center" vertical="center"/>
    </xf>
    <xf numFmtId="0" fontId="73" fillId="0" borderId="66" xfId="8" applyFont="1" applyFill="1" applyBorder="1" applyAlignment="1">
      <alignment horizontal="center" vertical="top" wrapText="1"/>
    </xf>
    <xf numFmtId="0" fontId="73" fillId="0" borderId="66" xfId="8" quotePrefix="1" applyFont="1" applyFill="1" applyBorder="1" applyAlignment="1">
      <alignment horizontal="center" vertical="top" wrapText="1"/>
    </xf>
    <xf numFmtId="0" fontId="73" fillId="0" borderId="66" xfId="8" applyFont="1" applyFill="1" applyBorder="1"/>
    <xf numFmtId="0" fontId="75" fillId="0" borderId="63" xfId="8" applyFont="1" applyFill="1" applyBorder="1" applyAlignment="1">
      <alignment horizontal="center" vertical="center" wrapText="1"/>
    </xf>
    <xf numFmtId="0" fontId="74" fillId="0" borderId="64" xfId="8" applyFont="1" applyFill="1" applyBorder="1" applyAlignment="1">
      <alignment horizontal="center" vertical="center" wrapText="1"/>
    </xf>
    <xf numFmtId="0" fontId="74" fillId="0" borderId="66" xfId="8" applyFont="1" applyFill="1" applyBorder="1" applyAlignment="1">
      <alignment horizontal="left" vertical="center"/>
    </xf>
    <xf numFmtId="0" fontId="75" fillId="0" borderId="0" xfId="8" applyFont="1" applyFill="1" applyBorder="1" applyAlignment="1">
      <alignment horizontal="center" vertical="center" wrapText="1"/>
    </xf>
    <xf numFmtId="0" fontId="75" fillId="0" borderId="77" xfId="8" applyFont="1" applyFill="1" applyBorder="1" applyAlignment="1">
      <alignment horizontal="center" vertical="center" wrapText="1"/>
    </xf>
    <xf numFmtId="0" fontId="75" fillId="0" borderId="99" xfId="8" applyFont="1" applyFill="1" applyBorder="1" applyAlignment="1">
      <alignment horizontal="center" vertical="center" wrapText="1"/>
    </xf>
    <xf numFmtId="0" fontId="75" fillId="0" borderId="85" xfId="8" applyFont="1" applyFill="1" applyBorder="1" applyAlignment="1">
      <alignment horizontal="center" vertical="center" wrapText="1"/>
    </xf>
    <xf numFmtId="0" fontId="27" fillId="0" borderId="43" xfId="8" applyFont="1" applyFill="1" applyBorder="1" applyAlignment="1">
      <alignment horizontal="left" vertical="top" wrapText="1"/>
    </xf>
    <xf numFmtId="0" fontId="27" fillId="0" borderId="43" xfId="8" applyFill="1" applyBorder="1" applyAlignment="1">
      <alignment horizontal="left" vertical="top" wrapText="1"/>
    </xf>
    <xf numFmtId="0" fontId="74" fillId="0" borderId="73" xfId="8" applyFont="1" applyFill="1" applyBorder="1" applyAlignment="1">
      <alignment horizontal="left" vertical="top" wrapText="1"/>
    </xf>
    <xf numFmtId="0" fontId="27" fillId="0" borderId="73" xfId="8" applyFill="1" applyBorder="1" applyAlignment="1">
      <alignment horizontal="left" vertical="top" wrapText="1"/>
    </xf>
    <xf numFmtId="0" fontId="73" fillId="0" borderId="73" xfId="8" applyFont="1" applyFill="1" applyBorder="1" applyAlignment="1">
      <alignment horizontal="left" vertical="top" wrapText="1"/>
    </xf>
    <xf numFmtId="0" fontId="27" fillId="0" borderId="73" xfId="8" applyFont="1" applyFill="1" applyBorder="1" applyAlignment="1">
      <alignment horizontal="left" vertical="top" wrapText="1"/>
    </xf>
    <xf numFmtId="0" fontId="74" fillId="0" borderId="113" xfId="8" applyFont="1" applyFill="1" applyBorder="1" applyAlignment="1">
      <alignment horizontal="center" vertical="center" wrapText="1"/>
    </xf>
    <xf numFmtId="0" fontId="27" fillId="0" borderId="113" xfId="8" applyFill="1" applyBorder="1" applyAlignment="1">
      <alignment horizontal="center" vertical="center" wrapText="1"/>
    </xf>
    <xf numFmtId="0" fontId="27" fillId="0" borderId="112" xfId="8" applyFill="1" applyBorder="1" applyAlignment="1">
      <alignment horizontal="center" vertical="center" wrapText="1"/>
    </xf>
    <xf numFmtId="0" fontId="74" fillId="0" borderId="104" xfId="8" applyFont="1" applyFill="1" applyBorder="1" applyAlignment="1">
      <alignment horizontal="center" vertical="center" wrapText="1"/>
    </xf>
    <xf numFmtId="0" fontId="74" fillId="0" borderId="94" xfId="8" applyFont="1" applyFill="1" applyBorder="1" applyAlignment="1">
      <alignment horizontal="center" vertical="center" wrapText="1"/>
    </xf>
    <xf numFmtId="171" fontId="72" fillId="0" borderId="84" xfId="8" applyNumberFormat="1" applyFont="1" applyFill="1" applyBorder="1" applyAlignment="1">
      <alignment horizontal="right" vertical="center"/>
    </xf>
    <xf numFmtId="171" fontId="72" fillId="0" borderId="99" xfId="8" applyNumberFormat="1" applyFont="1" applyFill="1" applyBorder="1" applyAlignment="1">
      <alignment horizontal="right" vertical="center"/>
    </xf>
    <xf numFmtId="0" fontId="74" fillId="0" borderId="87" xfId="8" applyFont="1" applyFill="1" applyBorder="1" applyAlignment="1">
      <alignment horizontal="center" wrapText="1"/>
    </xf>
    <xf numFmtId="0" fontId="74" fillId="0" borderId="88" xfId="8" applyFont="1" applyFill="1" applyBorder="1" applyAlignment="1">
      <alignment horizontal="center" wrapText="1"/>
    </xf>
    <xf numFmtId="0" fontId="74" fillId="0" borderId="89" xfId="8" applyFont="1" applyFill="1" applyBorder="1" applyAlignment="1">
      <alignment horizontal="center" wrapText="1"/>
    </xf>
    <xf numFmtId="0" fontId="74" fillId="0" borderId="88" xfId="8" applyFont="1" applyFill="1" applyBorder="1" applyAlignment="1">
      <alignment horizontal="center" vertical="center" wrapText="1"/>
    </xf>
    <xf numFmtId="0" fontId="74" fillId="0" borderId="89" xfId="8" applyFont="1" applyFill="1" applyBorder="1" applyAlignment="1">
      <alignment horizontal="center" vertical="center" wrapText="1"/>
    </xf>
    <xf numFmtId="0" fontId="74" fillId="0" borderId="65" xfId="8" applyFont="1" applyFill="1" applyBorder="1" applyAlignment="1">
      <alignment horizontal="center" vertical="center" wrapText="1"/>
    </xf>
    <xf numFmtId="0" fontId="58" fillId="0" borderId="0" xfId="8" applyFont="1" applyFill="1" applyAlignment="1">
      <alignment horizontal="center" vertical="center" wrapText="1"/>
    </xf>
    <xf numFmtId="0" fontId="58" fillId="0" borderId="97" xfId="8" applyFont="1" applyFill="1" applyBorder="1" applyAlignment="1">
      <alignment horizontal="center" vertical="center" wrapText="1"/>
    </xf>
    <xf numFmtId="0" fontId="60" fillId="0" borderId="104" xfId="8" applyFont="1" applyFill="1" applyBorder="1" applyAlignment="1">
      <alignment horizontal="center" vertical="top" wrapText="1"/>
    </xf>
    <xf numFmtId="0" fontId="60" fillId="0" borderId="93" xfId="8" applyFont="1" applyFill="1" applyBorder="1" applyAlignment="1">
      <alignment horizontal="center" vertical="top" wrapText="1"/>
    </xf>
    <xf numFmtId="0" fontId="60" fillId="0" borderId="103" xfId="8" applyFont="1" applyFill="1" applyBorder="1" applyAlignment="1">
      <alignment horizontal="center" vertical="top" wrapText="1"/>
    </xf>
    <xf numFmtId="0" fontId="60" fillId="0" borderId="75" xfId="8" applyFont="1" applyFill="1" applyBorder="1" applyAlignment="1">
      <alignment horizontal="center" vertical="top" wrapText="1"/>
    </xf>
    <xf numFmtId="0" fontId="60" fillId="0" borderId="0" xfId="8" applyFont="1" applyFill="1" applyBorder="1" applyAlignment="1">
      <alignment horizontal="center" vertical="top" wrapText="1"/>
    </xf>
    <xf numFmtId="0" fontId="60" fillId="0" borderId="77" xfId="8" applyFont="1" applyFill="1" applyBorder="1" applyAlignment="1">
      <alignment horizontal="center" vertical="top" wrapText="1"/>
    </xf>
    <xf numFmtId="0" fontId="60" fillId="0" borderId="94" xfId="8" applyFont="1" applyFill="1" applyBorder="1" applyAlignment="1">
      <alignment horizontal="center" vertical="top" wrapText="1"/>
    </xf>
    <xf numFmtId="0" fontId="60" fillId="0" borderId="29" xfId="8" applyFont="1" applyFill="1" applyBorder="1" applyAlignment="1">
      <alignment horizontal="center" vertical="top" wrapText="1"/>
    </xf>
    <xf numFmtId="3" fontId="49" fillId="0" borderId="0" xfId="7" applyNumberFormat="1" applyFont="1" applyFill="1" applyAlignment="1">
      <alignment horizontal="center"/>
    </xf>
    <xf numFmtId="0" fontId="58" fillId="3" borderId="116" xfId="0" applyFont="1" applyFill="1" applyBorder="1" applyAlignment="1" applyProtection="1">
      <alignment horizontal="center" vertical="center" wrapText="1"/>
    </xf>
    <xf numFmtId="0" fontId="58" fillId="3" borderId="76" xfId="0" applyFont="1" applyFill="1" applyBorder="1" applyAlignment="1" applyProtection="1">
      <alignment horizontal="center" vertical="center" wrapText="1"/>
    </xf>
    <xf numFmtId="0" fontId="58" fillId="3" borderId="71" xfId="0" applyFont="1" applyFill="1" applyBorder="1" applyAlignment="1" applyProtection="1">
      <alignment horizontal="center" vertical="center" wrapText="1"/>
    </xf>
    <xf numFmtId="176" fontId="58" fillId="0" borderId="87" xfId="0" applyNumberFormat="1" applyFont="1" applyFill="1" applyBorder="1" applyAlignment="1" applyProtection="1">
      <alignment horizontal="center"/>
    </xf>
    <xf numFmtId="176" fontId="58" fillId="0" borderId="89" xfId="0" applyNumberFormat="1" applyFont="1" applyFill="1" applyBorder="1" applyAlignment="1" applyProtection="1">
      <alignment horizontal="center"/>
    </xf>
    <xf numFmtId="0" fontId="60" fillId="0" borderId="141" xfId="8" applyFont="1" applyFill="1" applyBorder="1" applyAlignment="1">
      <alignment horizontal="left" wrapText="1"/>
    </xf>
    <xf numFmtId="0" fontId="60" fillId="0" borderId="119" xfId="8" applyFont="1" applyFill="1" applyBorder="1" applyAlignment="1">
      <alignment horizontal="left" wrapText="1"/>
    </xf>
    <xf numFmtId="0" fontId="60" fillId="0" borderId="95" xfId="8" applyFont="1" applyFill="1" applyBorder="1" applyAlignment="1">
      <alignment horizontal="left" wrapText="1"/>
    </xf>
    <xf numFmtId="0" fontId="60" fillId="0" borderId="0" xfId="8" applyFont="1" applyFill="1" applyBorder="1" applyAlignment="1">
      <alignment horizontal="left" wrapText="1"/>
    </xf>
    <xf numFmtId="0" fontId="60" fillId="0" borderId="96" xfId="8" applyFont="1" applyFill="1" applyBorder="1" applyAlignment="1">
      <alignment horizontal="left" wrapText="1"/>
    </xf>
    <xf numFmtId="0" fontId="60" fillId="0" borderId="97" xfId="8" applyFont="1" applyFill="1" applyBorder="1" applyAlignment="1">
      <alignment horizontal="left" wrapText="1"/>
    </xf>
    <xf numFmtId="0" fontId="27" fillId="0" borderId="0" xfId="8" applyFill="1" applyAlignment="1">
      <alignment vertical="center"/>
    </xf>
    <xf numFmtId="0" fontId="58" fillId="0" borderId="0" xfId="8" applyFont="1" applyFill="1" applyBorder="1" applyAlignment="1">
      <alignment horizontal="center" vertical="center" wrapText="1"/>
    </xf>
    <xf numFmtId="0" fontId="27" fillId="0" borderId="0" xfId="8" applyFill="1" applyBorder="1" applyAlignment="1">
      <alignment vertical="center"/>
    </xf>
    <xf numFmtId="0" fontId="57" fillId="0" borderId="90" xfId="8" applyFont="1" applyFill="1" applyBorder="1" applyAlignment="1">
      <alignment vertical="center"/>
    </xf>
    <xf numFmtId="0" fontId="57" fillId="0" borderId="91" xfId="8" applyFont="1" applyFill="1" applyBorder="1" applyAlignment="1">
      <alignment vertical="center"/>
    </xf>
    <xf numFmtId="0" fontId="75" fillId="0" borderId="111" xfId="18" applyFont="1" applyFill="1" applyBorder="1" applyAlignment="1">
      <alignment horizontal="center" vertical="center" wrapText="1"/>
    </xf>
    <xf numFmtId="0" fontId="75" fillId="0" borderId="87" xfId="18" applyFont="1" applyFill="1" applyBorder="1" applyAlignment="1">
      <alignment horizontal="center" vertical="center" wrapText="1"/>
    </xf>
    <xf numFmtId="0" fontId="75" fillId="0" borderId="112" xfId="18" applyFont="1" applyFill="1" applyBorder="1" applyAlignment="1">
      <alignment horizontal="center" vertical="center" wrapText="1"/>
    </xf>
    <xf numFmtId="0" fontId="75" fillId="0" borderId="89" xfId="18" applyFont="1" applyFill="1" applyBorder="1" applyAlignment="1">
      <alignment horizontal="center" vertical="center" wrapText="1"/>
    </xf>
    <xf numFmtId="0" fontId="74" fillId="0" borderId="0" xfId="18" applyFont="1" applyFill="1" applyBorder="1" applyAlignment="1">
      <alignment horizontal="center" wrapText="1"/>
    </xf>
    <xf numFmtId="0" fontId="74" fillId="0" borderId="77" xfId="18" applyFont="1" applyFill="1" applyBorder="1" applyAlignment="1">
      <alignment horizontal="center" wrapText="1"/>
    </xf>
    <xf numFmtId="0" fontId="73" fillId="0" borderId="63" xfId="18" applyFont="1" applyFill="1" applyBorder="1" applyAlignment="1">
      <alignment horizontal="right" vertical="top" wrapText="1"/>
    </xf>
    <xf numFmtId="0" fontId="73" fillId="0" borderId="136" xfId="18" applyFont="1" applyFill="1" applyBorder="1" applyAlignment="1">
      <alignment horizontal="left" vertical="top" wrapText="1"/>
    </xf>
    <xf numFmtId="49" fontId="73" fillId="0" borderId="103" xfId="18" applyNumberFormat="1" applyFont="1" applyFill="1" applyBorder="1" applyAlignment="1">
      <alignment horizontal="center" vertical="top"/>
    </xf>
    <xf numFmtId="171" fontId="72" fillId="0" borderId="64" xfId="18" applyNumberFormat="1" applyFont="1" applyFill="1" applyBorder="1" applyAlignment="1">
      <alignment horizontal="right" vertical="center"/>
    </xf>
    <xf numFmtId="171" fontId="72" fillId="0" borderId="111" xfId="18" applyNumberFormat="1" applyFont="1" applyFill="1" applyBorder="1" applyAlignment="1">
      <alignment horizontal="right" vertical="center"/>
    </xf>
    <xf numFmtId="171" fontId="72" fillId="0" borderId="113" xfId="18" applyNumberFormat="1" applyFont="1" applyFill="1" applyBorder="1" applyAlignment="1">
      <alignment horizontal="right" vertical="center"/>
    </xf>
    <xf numFmtId="171" fontId="72" fillId="0" borderId="112" xfId="18" applyNumberFormat="1" applyFont="1" applyFill="1" applyBorder="1" applyAlignment="1">
      <alignment horizontal="right" vertical="center"/>
    </xf>
    <xf numFmtId="0" fontId="75" fillId="0" borderId="117" xfId="18" applyFont="1" applyFill="1" applyBorder="1" applyAlignment="1">
      <alignment horizontal="center" vertical="center" wrapText="1"/>
    </xf>
    <xf numFmtId="0" fontId="74" fillId="0" borderId="116" xfId="18" applyFont="1" applyFill="1" applyBorder="1" applyAlignment="1">
      <alignment horizontal="center" vertical="center" wrapText="1"/>
    </xf>
    <xf numFmtId="0" fontId="75" fillId="0" borderId="115" xfId="18" applyFont="1" applyFill="1" applyBorder="1" applyAlignment="1">
      <alignment horizontal="center" vertical="center" wrapText="1"/>
    </xf>
    <xf numFmtId="0" fontId="75" fillId="0" borderId="118" xfId="18" applyFont="1" applyFill="1" applyBorder="1" applyAlignment="1">
      <alignment horizontal="center" vertical="center" wrapText="1"/>
    </xf>
    <xf numFmtId="0" fontId="73" fillId="4" borderId="116" xfId="18" applyFont="1" applyFill="1" applyBorder="1" applyAlignment="1">
      <alignment horizontal="left" vertical="top" wrapText="1"/>
    </xf>
    <xf numFmtId="0" fontId="73" fillId="4" borderId="71" xfId="18" applyFont="1" applyFill="1" applyBorder="1" applyAlignment="1">
      <alignment horizontal="left" vertical="top" wrapText="1"/>
    </xf>
    <xf numFmtId="0" fontId="74" fillId="0" borderId="76" xfId="18" applyFont="1" applyFill="1" applyBorder="1" applyAlignment="1">
      <alignment horizontal="left" vertical="top" wrapText="1"/>
    </xf>
    <xf numFmtId="0" fontId="74" fillId="0" borderId="89" xfId="18" applyFont="1" applyFill="1" applyBorder="1" applyAlignment="1">
      <alignment horizontal="center" vertical="center" wrapText="1"/>
    </xf>
    <xf numFmtId="0" fontId="27" fillId="0" borderId="88" xfId="18" applyFill="1" applyBorder="1" applyAlignment="1">
      <alignment horizontal="left" vertical="top" wrapText="1"/>
    </xf>
    <xf numFmtId="0" fontId="27" fillId="0" borderId="89" xfId="18" applyFill="1" applyBorder="1" applyAlignment="1">
      <alignment horizontal="left" vertical="top" wrapText="1"/>
    </xf>
    <xf numFmtId="0" fontId="27" fillId="0" borderId="88" xfId="18" applyFont="1" applyFill="1" applyBorder="1" applyAlignment="1">
      <alignment horizontal="left" vertical="top" wrapText="1"/>
    </xf>
    <xf numFmtId="0" fontId="27" fillId="0" borderId="89" xfId="18" applyFont="1" applyFill="1" applyBorder="1" applyAlignment="1">
      <alignment horizontal="left" vertical="top" wrapText="1"/>
    </xf>
    <xf numFmtId="0" fontId="59" fillId="0" borderId="88" xfId="18" applyFont="1" applyFill="1" applyBorder="1" applyAlignment="1">
      <alignment horizontal="left" vertical="top" wrapText="1"/>
    </xf>
    <xf numFmtId="0" fontId="59" fillId="0" borderId="89" xfId="18" applyFont="1" applyFill="1" applyBorder="1" applyAlignment="1">
      <alignment horizontal="left" vertical="top" wrapText="1"/>
    </xf>
    <xf numFmtId="0" fontId="60" fillId="0" borderId="75" xfId="18" applyFont="1" applyFill="1" applyBorder="1" applyAlignment="1">
      <alignment horizontal="left"/>
    </xf>
    <xf numFmtId="0" fontId="60" fillId="0" borderId="0" xfId="18" applyFont="1" applyFill="1" applyAlignment="1">
      <alignment horizontal="left"/>
    </xf>
    <xf numFmtId="0" fontId="73" fillId="0" borderId="87" xfId="8" applyFont="1" applyFill="1" applyBorder="1" applyAlignment="1">
      <alignment horizontal="left" vertical="top" wrapText="1"/>
    </xf>
    <xf numFmtId="0" fontId="73" fillId="0" borderId="88" xfId="8" applyFont="1" applyFill="1" applyBorder="1" applyAlignment="1">
      <alignment horizontal="left" vertical="top" wrapText="1"/>
    </xf>
    <xf numFmtId="0" fontId="73" fillId="0" borderId="89" xfId="8" applyFont="1" applyFill="1" applyBorder="1" applyAlignment="1">
      <alignment horizontal="left" vertical="top" wrapText="1"/>
    </xf>
    <xf numFmtId="0" fontId="73" fillId="0" borderId="108" xfId="8" applyFont="1" applyFill="1" applyBorder="1" applyAlignment="1">
      <alignment horizontal="left" vertical="top" wrapText="1"/>
    </xf>
    <xf numFmtId="0" fontId="73" fillId="0" borderId="135" xfId="8" applyFont="1" applyFill="1" applyBorder="1" applyAlignment="1">
      <alignment horizontal="left" vertical="top" wrapText="1"/>
    </xf>
    <xf numFmtId="0" fontId="73" fillId="0" borderId="109" xfId="8" applyFont="1" applyFill="1" applyBorder="1" applyAlignment="1">
      <alignment horizontal="left" vertical="top" wrapText="1"/>
    </xf>
    <xf numFmtId="171" fontId="72" fillId="0" borderId="108" xfId="8" applyNumberFormat="1" applyFont="1" applyFill="1" applyBorder="1" applyAlignment="1">
      <alignment horizontal="right" vertical="center"/>
    </xf>
    <xf numFmtId="171" fontId="72" fillId="0" borderId="109" xfId="8" applyNumberFormat="1" applyFont="1" applyFill="1" applyBorder="1" applyAlignment="1">
      <alignment horizontal="right" vertical="center"/>
    </xf>
    <xf numFmtId="171" fontId="72" fillId="0" borderId="107" xfId="8" applyNumberFormat="1" applyFont="1" applyFill="1" applyBorder="1" applyAlignment="1">
      <alignment horizontal="right" vertical="center"/>
    </xf>
    <xf numFmtId="0" fontId="74" fillId="0" borderId="87" xfId="8" applyFont="1" applyFill="1" applyBorder="1" applyAlignment="1">
      <alignment horizontal="left" vertical="top" wrapText="1"/>
    </xf>
    <xf numFmtId="0" fontId="74" fillId="0" borderId="88" xfId="8" applyFont="1" applyFill="1" applyBorder="1" applyAlignment="1">
      <alignment horizontal="left" vertical="top" wrapText="1"/>
    </xf>
    <xf numFmtId="0" fontId="74" fillId="0" borderId="89" xfId="8" applyFont="1" applyFill="1" applyBorder="1" applyAlignment="1">
      <alignment horizontal="left" vertical="top" wrapText="1"/>
    </xf>
    <xf numFmtId="0" fontId="74" fillId="0" borderId="84" xfId="8" applyFont="1" applyFill="1" applyBorder="1" applyAlignment="1">
      <alignment horizontal="center" vertical="top" wrapText="1"/>
    </xf>
    <xf numFmtId="0" fontId="74" fillId="0" borderId="99" xfId="8" applyFont="1" applyFill="1" applyBorder="1" applyAlignment="1">
      <alignment horizontal="center" vertical="top" wrapText="1"/>
    </xf>
    <xf numFmtId="0" fontId="74" fillId="0" borderId="85" xfId="8" applyFont="1" applyFill="1" applyBorder="1" applyAlignment="1">
      <alignment horizontal="center" vertical="top" wrapText="1"/>
    </xf>
    <xf numFmtId="0" fontId="73" fillId="0" borderId="117" xfId="8" applyFont="1" applyFill="1" applyBorder="1" applyAlignment="1">
      <alignment horizontal="right" vertical="top" wrapText="1"/>
    </xf>
    <xf numFmtId="0" fontId="73" fillId="0" borderId="43" xfId="8" quotePrefix="1" applyFont="1" applyFill="1" applyBorder="1" applyAlignment="1">
      <alignment horizontal="left" vertical="top" wrapText="1"/>
    </xf>
    <xf numFmtId="0" fontId="73" fillId="0" borderId="117" xfId="8" applyFont="1" applyFill="1" applyBorder="1" applyAlignment="1">
      <alignment horizontal="left" vertical="top" wrapText="1"/>
    </xf>
    <xf numFmtId="0" fontId="73" fillId="0" borderId="70" xfId="8" applyFont="1" applyFill="1" applyBorder="1" applyAlignment="1">
      <alignment horizontal="left" vertical="top" wrapText="1"/>
    </xf>
    <xf numFmtId="0" fontId="74" fillId="0" borderId="117" xfId="8" applyFont="1" applyFill="1" applyBorder="1" applyAlignment="1">
      <alignment horizontal="left" vertical="top" wrapText="1"/>
    </xf>
    <xf numFmtId="0" fontId="74" fillId="0" borderId="70" xfId="8" applyFont="1" applyFill="1" applyBorder="1" applyAlignment="1">
      <alignment horizontal="left" vertical="top" wrapText="1"/>
    </xf>
    <xf numFmtId="0" fontId="75" fillId="0" borderId="145" xfId="8" applyFont="1" applyFill="1" applyBorder="1" applyAlignment="1">
      <alignment horizontal="center" vertical="center" wrapText="1"/>
    </xf>
    <xf numFmtId="0" fontId="74" fillId="0" borderId="76" xfId="8" applyFont="1" applyFill="1" applyBorder="1" applyAlignment="1">
      <alignment horizontal="center" vertical="center" wrapText="1"/>
    </xf>
    <xf numFmtId="0" fontId="75" fillId="0" borderId="76" xfId="8" applyFont="1" applyFill="1" applyBorder="1" applyAlignment="1">
      <alignment horizontal="center" vertical="center" wrapText="1"/>
    </xf>
    <xf numFmtId="1" fontId="74" fillId="0" borderId="71" xfId="8" applyNumberFormat="1" applyFont="1" applyFill="1" applyBorder="1" applyAlignment="1">
      <alignment horizontal="center" vertical="center"/>
    </xf>
    <xf numFmtId="0" fontId="74" fillId="0" borderId="117" xfId="8" quotePrefix="1" applyFont="1" applyFill="1" applyBorder="1" applyAlignment="1">
      <alignment horizontal="right" vertical="top" wrapText="1"/>
    </xf>
    <xf numFmtId="171" fontId="72" fillId="0" borderId="71" xfId="8" applyNumberFormat="1" applyFont="1" applyFill="1" applyBorder="1" applyAlignment="1">
      <alignment horizontal="right" vertical="center"/>
    </xf>
    <xf numFmtId="0" fontId="73" fillId="0" borderId="116" xfId="8" applyFont="1" applyFill="1" applyBorder="1" applyAlignment="1">
      <alignment horizontal="left" vertical="top" wrapText="1"/>
    </xf>
    <xf numFmtId="0" fontId="73" fillId="0" borderId="117" xfId="8" applyFont="1" applyFill="1" applyBorder="1" applyAlignment="1">
      <alignment horizontal="center" vertical="top" wrapText="1"/>
    </xf>
    <xf numFmtId="0" fontId="73" fillId="0" borderId="70" xfId="8" applyFont="1" applyFill="1" applyBorder="1" applyAlignment="1">
      <alignment horizontal="center" vertical="top" wrapText="1"/>
    </xf>
    <xf numFmtId="0" fontId="73" fillId="0" borderId="76" xfId="8" applyFont="1" applyFill="1" applyBorder="1" applyAlignment="1">
      <alignment horizontal="left" vertical="top" wrapText="1"/>
    </xf>
    <xf numFmtId="0" fontId="73" fillId="0" borderId="117" xfId="8" quotePrefix="1" applyFont="1" applyFill="1" applyBorder="1" applyAlignment="1">
      <alignment horizontal="left" vertical="top" wrapText="1"/>
    </xf>
    <xf numFmtId="0" fontId="73" fillId="0" borderId="70" xfId="8" quotePrefix="1" applyFont="1" applyFill="1" applyBorder="1" applyAlignment="1">
      <alignment horizontal="left" vertical="top" wrapText="1"/>
    </xf>
    <xf numFmtId="0" fontId="74" fillId="0" borderId="117" xfId="8" quotePrefix="1" applyFont="1" applyFill="1" applyBorder="1" applyAlignment="1">
      <alignment horizontal="left" vertical="top" wrapText="1"/>
    </xf>
    <xf numFmtId="0" fontId="74" fillId="0" borderId="70" xfId="8" quotePrefix="1" applyFont="1" applyFill="1" applyBorder="1" applyAlignment="1">
      <alignment horizontal="left" vertical="top" wrapText="1"/>
    </xf>
    <xf numFmtId="0" fontId="73" fillId="0" borderId="117" xfId="8" quotePrefix="1" applyFont="1" applyFill="1" applyBorder="1" applyAlignment="1">
      <alignment horizontal="center" vertical="top" wrapText="1"/>
    </xf>
    <xf numFmtId="0" fontId="73" fillId="0" borderId="70" xfId="8" quotePrefix="1" applyFont="1" applyFill="1" applyBorder="1" applyAlignment="1">
      <alignment horizontal="center" vertical="top" wrapText="1"/>
    </xf>
    <xf numFmtId="171" fontId="72" fillId="0" borderId="85" xfId="8" applyNumberFormat="1" applyFont="1" applyFill="1" applyBorder="1" applyAlignment="1">
      <alignment horizontal="right" vertical="center"/>
    </xf>
    <xf numFmtId="49" fontId="73" fillId="0" borderId="116" xfId="8" applyNumberFormat="1" applyFont="1" applyFill="1" applyBorder="1" applyAlignment="1">
      <alignment horizontal="center" vertical="top"/>
    </xf>
    <xf numFmtId="171" fontId="72" fillId="0" borderId="115" xfId="8" applyNumberFormat="1" applyFont="1" applyFill="1" applyBorder="1" applyAlignment="1">
      <alignment horizontal="right" vertical="center"/>
    </xf>
    <xf numFmtId="171" fontId="72" fillId="0" borderId="119" xfId="8" applyNumberFormat="1" applyFont="1" applyFill="1" applyBorder="1" applyAlignment="1">
      <alignment horizontal="right" vertical="center"/>
    </xf>
    <xf numFmtId="171" fontId="72" fillId="0" borderId="118" xfId="8" applyNumberFormat="1" applyFont="1" applyFill="1" applyBorder="1" applyAlignment="1">
      <alignment horizontal="right" vertical="center"/>
    </xf>
    <xf numFmtId="49" fontId="74" fillId="0" borderId="116" xfId="8" applyNumberFormat="1" applyFont="1" applyFill="1" applyBorder="1" applyAlignment="1">
      <alignment horizontal="center" vertical="top"/>
    </xf>
    <xf numFmtId="49" fontId="74" fillId="0" borderId="71" xfId="8" applyNumberFormat="1" applyFont="1" applyFill="1" applyBorder="1" applyAlignment="1">
      <alignment horizontal="center" vertical="top"/>
    </xf>
    <xf numFmtId="0" fontId="74" fillId="0" borderId="117" xfId="8" applyFont="1" applyFill="1" applyBorder="1" applyAlignment="1">
      <alignment horizontal="left" vertical="center"/>
    </xf>
    <xf numFmtId="0" fontId="74" fillId="0" borderId="70" xfId="8" applyFont="1" applyFill="1" applyBorder="1" applyAlignment="1">
      <alignment horizontal="left" vertical="center"/>
    </xf>
    <xf numFmtId="0" fontId="74" fillId="0" borderId="71" xfId="8" applyFont="1" applyFill="1" applyBorder="1" applyAlignment="1">
      <alignment horizontal="left" vertical="top" wrapText="1"/>
    </xf>
    <xf numFmtId="0" fontId="60" fillId="0" borderId="87" xfId="8" applyFont="1" applyFill="1" applyBorder="1" applyAlignment="1">
      <alignment horizontal="center" vertical="center"/>
    </xf>
    <xf numFmtId="0" fontId="60" fillId="0" borderId="89" xfId="8" applyFont="1" applyFill="1" applyBorder="1" applyAlignment="1">
      <alignment horizontal="center" vertical="center"/>
    </xf>
    <xf numFmtId="0" fontId="72" fillId="0" borderId="87" xfId="8" applyFont="1" applyFill="1" applyBorder="1" applyAlignment="1">
      <alignment horizontal="left" vertical="center"/>
    </xf>
    <xf numFmtId="0" fontId="27" fillId="0" borderId="88" xfId="8" applyBorder="1" applyAlignment="1">
      <alignment horizontal="left" vertical="center"/>
    </xf>
    <xf numFmtId="0" fontId="27" fillId="0" borderId="89" xfId="8" applyBorder="1" applyAlignment="1">
      <alignment horizontal="left" vertical="center"/>
    </xf>
    <xf numFmtId="0" fontId="75" fillId="0" borderId="124" xfId="8" applyFont="1" applyFill="1" applyBorder="1" applyAlignment="1">
      <alignment horizontal="center" vertical="center" wrapText="1"/>
    </xf>
    <xf numFmtId="0" fontId="74" fillId="0" borderId="136" xfId="8" applyFont="1" applyFill="1" applyBorder="1" applyAlignment="1">
      <alignment horizontal="center" vertical="center" wrapText="1"/>
    </xf>
    <xf numFmtId="0" fontId="75" fillId="0" borderId="136" xfId="8" applyFont="1" applyFill="1" applyBorder="1" applyAlignment="1">
      <alignment horizontal="center" vertical="center" wrapText="1"/>
    </xf>
    <xf numFmtId="0" fontId="27" fillId="0" borderId="97" xfId="8" applyFill="1" applyBorder="1" applyAlignment="1">
      <alignment vertical="center"/>
    </xf>
    <xf numFmtId="0" fontId="27" fillId="0" borderId="91" xfId="8" applyFill="1" applyBorder="1" applyAlignment="1">
      <alignment vertical="center"/>
    </xf>
    <xf numFmtId="0" fontId="60" fillId="0" borderId="115" xfId="8" applyFont="1" applyFill="1" applyBorder="1" applyAlignment="1">
      <alignment horizontal="left" wrapText="1"/>
    </xf>
    <xf numFmtId="0" fontId="60" fillId="0" borderId="75" xfId="8" applyFont="1" applyFill="1" applyBorder="1" applyAlignment="1">
      <alignment horizontal="left" wrapText="1"/>
    </xf>
    <xf numFmtId="0" fontId="60" fillId="0" borderId="106" xfId="8" applyFont="1" applyFill="1" applyBorder="1" applyAlignment="1">
      <alignment horizontal="left" wrapText="1"/>
    </xf>
    <xf numFmtId="0" fontId="73" fillId="0" borderId="0" xfId="18" applyFont="1" applyFill="1" applyAlignment="1">
      <alignment horizontal="left" vertical="center" wrapText="1"/>
    </xf>
    <xf numFmtId="0" fontId="19" fillId="0" borderId="87" xfId="0" applyFont="1" applyBorder="1" applyAlignment="1">
      <alignment horizontal="left" vertical="center" wrapText="1"/>
    </xf>
    <xf numFmtId="0" fontId="6" fillId="0" borderId="98" xfId="0" applyFont="1" applyBorder="1" applyAlignment="1">
      <alignment horizontal="left" vertical="center" wrapText="1"/>
    </xf>
    <xf numFmtId="0" fontId="6" fillId="0" borderId="101" xfId="0" applyFont="1" applyBorder="1" applyAlignment="1">
      <alignment horizontal="left" vertical="center" wrapText="1"/>
    </xf>
    <xf numFmtId="0" fontId="6" fillId="0" borderId="121" xfId="0" applyFont="1" applyBorder="1" applyAlignment="1">
      <alignment horizontal="left" vertical="center" wrapText="1"/>
    </xf>
    <xf numFmtId="0" fontId="1" fillId="0" borderId="96" xfId="0" applyFont="1" applyBorder="1" applyAlignment="1">
      <alignment horizontal="left" vertical="center" wrapText="1"/>
    </xf>
    <xf numFmtId="3" fontId="1" fillId="0" borderId="72" xfId="0" applyNumberFormat="1" applyFont="1" applyBorder="1" applyAlignment="1">
      <alignment horizontal="right" vertical="center"/>
    </xf>
    <xf numFmtId="3" fontId="1" fillId="0" borderId="73" xfId="0" applyNumberFormat="1" applyFont="1" applyBorder="1" applyAlignment="1">
      <alignment horizontal="right" vertical="center"/>
    </xf>
    <xf numFmtId="3" fontId="1" fillId="0" borderId="74" xfId="0" applyNumberFormat="1" applyFont="1" applyBorder="1" applyAlignment="1">
      <alignment horizontal="right" vertical="center"/>
    </xf>
    <xf numFmtId="0" fontId="1" fillId="0" borderId="92" xfId="0" applyFont="1" applyBorder="1" applyAlignment="1">
      <alignment horizontal="left" vertical="center" wrapText="1"/>
    </xf>
    <xf numFmtId="3" fontId="1" fillId="0" borderId="63" xfId="0" applyNumberFormat="1" applyFont="1" applyFill="1" applyBorder="1" applyAlignment="1">
      <alignment horizontal="right" vertical="center"/>
    </xf>
    <xf numFmtId="3" fontId="1" fillId="0" borderId="64" xfId="0" applyNumberFormat="1" applyFont="1" applyFill="1" applyBorder="1" applyAlignment="1">
      <alignment horizontal="right" vertical="center"/>
    </xf>
    <xf numFmtId="3" fontId="1" fillId="0" borderId="65" xfId="0" applyNumberFormat="1" applyFont="1" applyFill="1" applyBorder="1" applyAlignment="1">
      <alignment horizontal="right" vertical="center"/>
    </xf>
    <xf numFmtId="3" fontId="1" fillId="0" borderId="94" xfId="0" applyNumberFormat="1" applyFont="1" applyBorder="1" applyAlignment="1">
      <alignment horizontal="right" vertical="center"/>
    </xf>
    <xf numFmtId="0" fontId="6" fillId="0" borderId="130" xfId="0" applyFont="1" applyBorder="1" applyAlignment="1">
      <alignment horizontal="left" vertical="center"/>
    </xf>
    <xf numFmtId="0" fontId="19" fillId="0" borderId="125" xfId="0" applyFont="1" applyBorder="1" applyAlignment="1">
      <alignment horizontal="left" vertical="center" wrapText="1"/>
    </xf>
    <xf numFmtId="3" fontId="19" fillId="0" borderId="125" xfId="0" applyNumberFormat="1" applyFont="1" applyBorder="1" applyAlignment="1">
      <alignment horizontal="right" vertical="center"/>
    </xf>
    <xf numFmtId="3" fontId="19" fillId="0" borderId="72" xfId="0" applyNumberFormat="1" applyFont="1" applyBorder="1" applyAlignment="1">
      <alignment horizontal="right" vertical="center"/>
    </xf>
    <xf numFmtId="3" fontId="19" fillId="0" borderId="73" xfId="0" applyNumberFormat="1" applyFont="1" applyBorder="1" applyAlignment="1">
      <alignment horizontal="right" vertical="center"/>
    </xf>
    <xf numFmtId="3" fontId="19" fillId="0" borderId="74" xfId="0" applyNumberFormat="1" applyFont="1" applyBorder="1" applyAlignment="1">
      <alignment horizontal="right" vertical="center"/>
    </xf>
    <xf numFmtId="3" fontId="19" fillId="2" borderId="125" xfId="0" applyNumberFormat="1" applyFont="1" applyFill="1" applyBorder="1" applyAlignment="1">
      <alignment horizontal="right" vertical="center"/>
    </xf>
    <xf numFmtId="3" fontId="20" fillId="0" borderId="126" xfId="0" applyNumberFormat="1" applyFont="1" applyBorder="1" applyAlignment="1">
      <alignment horizontal="right" vertical="center"/>
    </xf>
    <xf numFmtId="3" fontId="20" fillId="0" borderId="65" xfId="0" applyNumberFormat="1" applyFont="1" applyBorder="1" applyAlignment="1">
      <alignment horizontal="right" vertical="center"/>
    </xf>
    <xf numFmtId="0" fontId="20" fillId="0" borderId="126" xfId="0" applyFont="1" applyBorder="1" applyAlignment="1">
      <alignment horizontal="center" vertical="center"/>
    </xf>
    <xf numFmtId="0" fontId="20" fillId="0" borderId="130" xfId="0" applyFont="1" applyBorder="1" applyAlignment="1">
      <alignment horizontal="center" vertical="center"/>
    </xf>
    <xf numFmtId="0" fontId="54" fillId="0" borderId="0" xfId="0" applyFont="1" applyAlignment="1">
      <alignment horizontal="left" vertical="top"/>
    </xf>
    <xf numFmtId="0" fontId="20" fillId="0" borderId="125" xfId="0" applyFont="1" applyBorder="1" applyAlignment="1">
      <alignment horizontal="center" vertical="center"/>
    </xf>
    <xf numFmtId="3" fontId="20" fillId="0" borderId="92" xfId="0" applyNumberFormat="1" applyFont="1" applyFill="1" applyBorder="1" applyAlignment="1">
      <alignment horizontal="right" vertical="center"/>
    </xf>
    <xf numFmtId="0" fontId="54" fillId="0" borderId="0" xfId="0" applyFont="1" applyAlignment="1">
      <alignment horizontal="left" wrapText="1"/>
    </xf>
    <xf numFmtId="0" fontId="10" fillId="0" borderId="0" xfId="0" applyFont="1" applyAlignment="1">
      <alignment horizontal="left" vertical="top" wrapText="1"/>
    </xf>
    <xf numFmtId="3" fontId="20" fillId="0" borderId="37" xfId="0" applyNumberFormat="1" applyFont="1" applyFill="1" applyBorder="1" applyAlignment="1">
      <alignment horizontal="right" vertical="center"/>
    </xf>
    <xf numFmtId="0" fontId="6" fillId="0" borderId="122" xfId="0" applyFont="1" applyBorder="1" applyAlignment="1">
      <alignment horizontal="left" vertical="center" wrapText="1"/>
    </xf>
    <xf numFmtId="0" fontId="6" fillId="0" borderId="101" xfId="0" applyFont="1" applyFill="1" applyBorder="1" applyAlignment="1">
      <alignment horizontal="left" vertical="center" wrapText="1"/>
    </xf>
    <xf numFmtId="0" fontId="4" fillId="0" borderId="101" xfId="0" applyFont="1" applyFill="1" applyBorder="1" applyAlignment="1">
      <alignment horizontal="left" vertical="center" wrapText="1"/>
    </xf>
    <xf numFmtId="0" fontId="10" fillId="0" borderId="0" xfId="0" applyFont="1" applyAlignment="1">
      <alignment horizontal="left"/>
    </xf>
    <xf numFmtId="3" fontId="20" fillId="0" borderId="125" xfId="0" applyNumberFormat="1" applyFont="1" applyBorder="1" applyAlignment="1">
      <alignment horizontal="right" vertical="center" wrapText="1"/>
    </xf>
    <xf numFmtId="3" fontId="20" fillId="0" borderId="101" xfId="0" applyNumberFormat="1" applyFont="1" applyBorder="1" applyAlignment="1">
      <alignment horizontal="right" vertical="center" wrapText="1"/>
    </xf>
    <xf numFmtId="3" fontId="20" fillId="0" borderId="88" xfId="0" applyNumberFormat="1" applyFont="1" applyBorder="1" applyAlignment="1">
      <alignment horizontal="right" vertical="center" wrapText="1"/>
    </xf>
    <xf numFmtId="3" fontId="20" fillId="0" borderId="102" xfId="0" applyNumberFormat="1" applyFont="1" applyBorder="1" applyAlignment="1">
      <alignment horizontal="right" vertical="center" wrapText="1"/>
    </xf>
    <xf numFmtId="3" fontId="19" fillId="0" borderId="101" xfId="0" applyNumberFormat="1" applyFont="1" applyBorder="1" applyAlignment="1">
      <alignment horizontal="right" vertical="center" wrapText="1"/>
    </xf>
    <xf numFmtId="3" fontId="19" fillId="0" borderId="88" xfId="0" applyNumberFormat="1" applyFont="1" applyBorder="1" applyAlignment="1">
      <alignment horizontal="right" vertical="center" wrapText="1"/>
    </xf>
    <xf numFmtId="3" fontId="19" fillId="0" borderId="102" xfId="0" applyNumberFormat="1" applyFont="1" applyBorder="1" applyAlignment="1">
      <alignment horizontal="right" vertical="center" wrapText="1"/>
    </xf>
    <xf numFmtId="0" fontId="6" fillId="0" borderId="92" xfId="0" applyFont="1" applyBorder="1" applyAlignment="1">
      <alignment horizontal="left" vertical="center" wrapText="1"/>
    </xf>
    <xf numFmtId="3" fontId="19" fillId="4" borderId="130" xfId="0" applyNumberFormat="1" applyFont="1" applyFill="1" applyBorder="1" applyAlignment="1">
      <alignment horizontal="right" vertical="center" wrapText="1"/>
    </xf>
    <xf numFmtId="0" fontId="6" fillId="0" borderId="130" xfId="0" applyFont="1" applyBorder="1" applyAlignment="1">
      <alignment horizontal="left" vertical="center" wrapText="1"/>
    </xf>
    <xf numFmtId="0" fontId="1" fillId="0" borderId="128" xfId="0" applyFont="1" applyBorder="1" applyAlignment="1">
      <alignment horizontal="center"/>
    </xf>
    <xf numFmtId="0" fontId="20" fillId="0" borderId="128" xfId="0" applyFont="1" applyBorder="1" applyAlignment="1">
      <alignment horizontal="center"/>
    </xf>
    <xf numFmtId="0" fontId="7" fillId="0" borderId="0" xfId="0" quotePrefix="1" applyFont="1" applyAlignment="1">
      <alignment horizontal="left" vertical="top" wrapText="1"/>
    </xf>
    <xf numFmtId="0" fontId="20" fillId="0" borderId="139" xfId="0" applyFont="1" applyBorder="1" applyAlignment="1">
      <alignment horizontal="left" vertical="center" wrapText="1"/>
    </xf>
    <xf numFmtId="0" fontId="1" fillId="0" borderId="122" xfId="0" applyFont="1" applyBorder="1" applyAlignment="1">
      <alignment horizontal="center" vertical="center"/>
    </xf>
    <xf numFmtId="0" fontId="5" fillId="0" borderId="113" xfId="0" applyFont="1" applyBorder="1" applyAlignment="1">
      <alignment horizontal="center" vertical="center"/>
    </xf>
    <xf numFmtId="0" fontId="5" fillId="0" borderId="110" xfId="0" applyFont="1" applyBorder="1" applyAlignment="1">
      <alignment horizontal="center" vertical="center"/>
    </xf>
    <xf numFmtId="0" fontId="5" fillId="0" borderId="122" xfId="0" applyFont="1" applyBorder="1" applyAlignment="1">
      <alignment horizontal="center" vertical="center"/>
    </xf>
    <xf numFmtId="0" fontId="5" fillId="0" borderId="122" xfId="0" applyFont="1" applyFill="1" applyBorder="1" applyAlignment="1">
      <alignment horizontal="right" vertical="center"/>
    </xf>
    <xf numFmtId="0" fontId="5" fillId="0" borderId="113" xfId="0" applyFont="1" applyFill="1" applyBorder="1" applyAlignment="1">
      <alignment horizontal="right" vertical="center"/>
    </xf>
    <xf numFmtId="0" fontId="5" fillId="0" borderId="112" xfId="0" applyFont="1" applyFill="1" applyBorder="1" applyAlignment="1">
      <alignment horizontal="right" vertical="center"/>
    </xf>
    <xf numFmtId="0" fontId="5" fillId="0" borderId="111" xfId="0" applyFont="1" applyBorder="1" applyAlignment="1">
      <alignment horizontal="right" vertical="center"/>
    </xf>
    <xf numFmtId="0" fontId="5" fillId="0" borderId="112" xfId="0" applyFont="1" applyBorder="1" applyAlignment="1">
      <alignment horizontal="right" vertical="center"/>
    </xf>
    <xf numFmtId="3" fontId="19" fillId="0" borderId="128" xfId="0" applyNumberFormat="1" applyFont="1" applyBorder="1" applyAlignment="1">
      <alignment horizontal="right" vertical="center"/>
    </xf>
    <xf numFmtId="0" fontId="3" fillId="0" borderId="72" xfId="0" applyFont="1" applyBorder="1" applyAlignment="1">
      <alignment horizontal="left" vertical="center" wrapText="1"/>
    </xf>
    <xf numFmtId="0" fontId="20" fillId="0" borderId="73" xfId="0" applyFont="1" applyBorder="1" applyAlignment="1">
      <alignment horizontal="left" vertical="center" wrapText="1"/>
    </xf>
    <xf numFmtId="0" fontId="20" fillId="0" borderId="108" xfId="0" applyFont="1" applyBorder="1" applyAlignment="1">
      <alignment horizontal="left" vertical="center" wrapText="1"/>
    </xf>
    <xf numFmtId="3" fontId="20" fillId="0" borderId="72" xfId="0" applyNumberFormat="1" applyFont="1" applyBorder="1" applyAlignment="1">
      <alignment horizontal="right" vertical="center"/>
    </xf>
    <xf numFmtId="3" fontId="20" fillId="0" borderId="73" xfId="0" applyNumberFormat="1" applyFont="1" applyBorder="1" applyAlignment="1">
      <alignment horizontal="right" vertical="center"/>
    </xf>
    <xf numFmtId="3" fontId="20" fillId="0" borderId="74" xfId="0" applyNumberFormat="1" applyFont="1" applyBorder="1" applyAlignment="1">
      <alignment horizontal="right" vertical="center"/>
    </xf>
    <xf numFmtId="0" fontId="19" fillId="0" borderId="63" xfId="0" applyFont="1" applyBorder="1" applyAlignment="1">
      <alignment horizontal="left" vertical="center" wrapText="1"/>
    </xf>
    <xf numFmtId="0" fontId="19" fillId="0" borderId="64" xfId="0" applyFont="1" applyBorder="1" applyAlignment="1">
      <alignment horizontal="left" vertical="center" wrapText="1"/>
    </xf>
    <xf numFmtId="0" fontId="19" fillId="0" borderId="111" xfId="0" applyFont="1" applyBorder="1" applyAlignment="1">
      <alignment horizontal="left" vertical="center" wrapText="1"/>
    </xf>
    <xf numFmtId="0" fontId="6" fillId="0" borderId="66" xfId="0" applyFont="1" applyBorder="1" applyAlignment="1">
      <alignment horizontal="left" vertical="center" wrapText="1"/>
    </xf>
    <xf numFmtId="0" fontId="20" fillId="0" borderId="87" xfId="0" applyFont="1" applyBorder="1" applyAlignment="1">
      <alignment horizontal="left" vertical="center" wrapText="1"/>
    </xf>
    <xf numFmtId="3" fontId="20" fillId="0" borderId="67" xfId="0" applyNumberFormat="1" applyFont="1" applyFill="1" applyBorder="1" applyAlignment="1">
      <alignment horizontal="right" vertical="center"/>
    </xf>
    <xf numFmtId="3" fontId="19" fillId="2" borderId="63" xfId="0" applyNumberFormat="1" applyFont="1" applyFill="1" applyBorder="1" applyAlignment="1">
      <alignment horizontal="right" vertical="center"/>
    </xf>
    <xf numFmtId="3" fontId="19" fillId="2" borderId="64" xfId="0" applyNumberFormat="1" applyFont="1" applyFill="1" applyBorder="1" applyAlignment="1">
      <alignment horizontal="right" vertical="center"/>
    </xf>
    <xf numFmtId="3" fontId="19" fillId="2" borderId="65" xfId="0" applyNumberFormat="1" applyFont="1" applyFill="1" applyBorder="1" applyAlignment="1">
      <alignment horizontal="right" vertical="center"/>
    </xf>
    <xf numFmtId="3" fontId="20" fillId="2" borderId="87" xfId="0" applyNumberFormat="1" applyFont="1" applyFill="1" applyBorder="1" applyAlignment="1">
      <alignment horizontal="right" vertical="center"/>
    </xf>
    <xf numFmtId="3" fontId="20" fillId="0" borderId="132" xfId="0" applyNumberFormat="1" applyFont="1" applyBorder="1" applyAlignment="1">
      <alignment horizontal="right" vertical="center"/>
    </xf>
    <xf numFmtId="3" fontId="20" fillId="0" borderId="91" xfId="0" applyNumberFormat="1" applyFont="1" applyBorder="1" applyAlignment="1">
      <alignment horizontal="right" vertical="center"/>
    </xf>
    <xf numFmtId="3" fontId="20" fillId="0" borderId="133" xfId="0" applyNumberFormat="1" applyFont="1" applyBorder="1" applyAlignment="1">
      <alignment horizontal="right" vertical="center"/>
    </xf>
    <xf numFmtId="3" fontId="20" fillId="2" borderId="132" xfId="0" applyNumberFormat="1" applyFont="1" applyFill="1" applyBorder="1" applyAlignment="1">
      <alignment horizontal="right" vertical="center"/>
    </xf>
    <xf numFmtId="3" fontId="20" fillId="2" borderId="91" xfId="0" applyNumberFormat="1" applyFont="1" applyFill="1" applyBorder="1" applyAlignment="1">
      <alignment horizontal="right" vertical="center"/>
    </xf>
    <xf numFmtId="3" fontId="20" fillId="2" borderId="17" xfId="0" applyNumberFormat="1" applyFont="1" applyFill="1" applyBorder="1" applyAlignment="1">
      <alignment horizontal="right" vertical="center"/>
    </xf>
    <xf numFmtId="3" fontId="20" fillId="0" borderId="90" xfId="0" applyNumberFormat="1" applyFont="1" applyBorder="1" applyAlignment="1">
      <alignment horizontal="right" vertical="center"/>
    </xf>
    <xf numFmtId="3" fontId="20" fillId="0" borderId="100" xfId="0" applyNumberFormat="1" applyFont="1" applyBorder="1" applyAlignment="1">
      <alignment horizontal="right"/>
    </xf>
    <xf numFmtId="3" fontId="20" fillId="0" borderId="139" xfId="0" applyNumberFormat="1" applyFont="1" applyBorder="1" applyAlignment="1">
      <alignment horizontal="right"/>
    </xf>
    <xf numFmtId="0" fontId="20" fillId="0" borderId="138" xfId="0" applyFont="1" applyBorder="1" applyAlignment="1">
      <alignment horizontal="left" vertical="center" wrapText="1"/>
    </xf>
    <xf numFmtId="3" fontId="20" fillId="0" borderId="138" xfId="0" applyNumberFormat="1" applyFont="1" applyBorder="1" applyAlignment="1">
      <alignment horizontal="right"/>
    </xf>
    <xf numFmtId="3" fontId="20" fillId="0" borderId="117" xfId="0" applyNumberFormat="1" applyFont="1" applyBorder="1" applyAlignment="1">
      <alignment horizontal="right"/>
    </xf>
    <xf numFmtId="3" fontId="20" fillId="0" borderId="140" xfId="0" applyNumberFormat="1" applyFont="1" applyBorder="1" applyAlignment="1">
      <alignment horizontal="right"/>
    </xf>
    <xf numFmtId="3" fontId="20" fillId="2" borderId="121" xfId="0" applyNumberFormat="1" applyFont="1" applyFill="1" applyBorder="1" applyAlignment="1">
      <alignment horizontal="right" vertical="center"/>
    </xf>
    <xf numFmtId="3" fontId="20" fillId="2" borderId="135" xfId="0" applyNumberFormat="1" applyFont="1" applyFill="1" applyBorder="1" applyAlignment="1">
      <alignment horizontal="right" vertical="center"/>
    </xf>
    <xf numFmtId="3" fontId="20" fillId="2" borderId="107" xfId="0" applyNumberFormat="1" applyFont="1" applyFill="1" applyBorder="1" applyAlignment="1">
      <alignment horizontal="right" vertical="center"/>
    </xf>
    <xf numFmtId="3" fontId="20" fillId="0" borderId="125" xfId="0" applyNumberFormat="1" applyFont="1" applyBorder="1" applyAlignment="1">
      <alignment horizontal="right"/>
    </xf>
    <xf numFmtId="3" fontId="20" fillId="0" borderId="72" xfId="0" applyNumberFormat="1" applyFont="1" applyBorder="1" applyAlignment="1">
      <alignment horizontal="right"/>
    </xf>
    <xf numFmtId="3" fontId="20" fillId="0" borderId="107" xfId="0" applyNumberFormat="1" applyFont="1" applyBorder="1" applyAlignment="1">
      <alignment horizontal="right"/>
    </xf>
    <xf numFmtId="0" fontId="19" fillId="0" borderId="90" xfId="0" applyFont="1" applyBorder="1" applyAlignment="1">
      <alignment horizontal="left" vertical="center"/>
    </xf>
    <xf numFmtId="0" fontId="19" fillId="0" borderId="91" xfId="0" applyFont="1" applyBorder="1" applyAlignment="1">
      <alignment horizontal="left" vertical="center"/>
    </xf>
    <xf numFmtId="0" fontId="19" fillId="0" borderId="17" xfId="0" applyFont="1" applyBorder="1" applyAlignment="1">
      <alignment horizontal="left" vertical="center"/>
    </xf>
    <xf numFmtId="0" fontId="20" fillId="0" borderId="122" xfId="0" applyFont="1" applyBorder="1" applyAlignment="1">
      <alignment horizontal="left" vertical="center"/>
    </xf>
    <xf numFmtId="0" fontId="20" fillId="0" borderId="113" xfId="0" applyFont="1" applyBorder="1" applyAlignment="1">
      <alignment horizontal="left" vertical="center"/>
    </xf>
    <xf numFmtId="0" fontId="20" fillId="0" borderId="110" xfId="0" applyFont="1" applyBorder="1" applyAlignment="1">
      <alignment horizontal="left" vertical="center"/>
    </xf>
    <xf numFmtId="3" fontId="20" fillId="0" borderId="70" xfId="0" applyNumberFormat="1" applyFont="1" applyBorder="1" applyAlignment="1">
      <alignment horizontal="right"/>
    </xf>
    <xf numFmtId="0" fontId="6" fillId="0" borderId="128" xfId="0" applyFont="1" applyBorder="1" applyAlignment="1">
      <alignment horizontal="left" vertical="center" wrapText="1"/>
    </xf>
    <xf numFmtId="3" fontId="20" fillId="0" borderId="138" xfId="0" applyNumberFormat="1" applyFont="1" applyBorder="1" applyAlignment="1">
      <alignment horizontal="center"/>
    </xf>
    <xf numFmtId="3" fontId="20" fillId="0" borderId="117" xfId="0" applyNumberFormat="1" applyFont="1" applyBorder="1" applyAlignment="1">
      <alignment horizontal="center"/>
    </xf>
    <xf numFmtId="3" fontId="20" fillId="0" borderId="140" xfId="0" applyNumberFormat="1" applyFont="1" applyBorder="1" applyAlignment="1">
      <alignment horizontal="center"/>
    </xf>
    <xf numFmtId="3" fontId="19" fillId="0" borderId="131" xfId="0" applyNumberFormat="1" applyFont="1" applyBorder="1" applyAlignment="1">
      <alignment horizontal="right" vertical="center"/>
    </xf>
    <xf numFmtId="0" fontId="20" fillId="0" borderId="102" xfId="0" applyFont="1" applyBorder="1" applyAlignment="1">
      <alignment horizontal="center" vertical="center"/>
    </xf>
    <xf numFmtId="3" fontId="20" fillId="0" borderId="130" xfId="0" applyNumberFormat="1" applyFont="1" applyBorder="1" applyAlignment="1">
      <alignment horizontal="center" vertical="center"/>
    </xf>
    <xf numFmtId="0" fontId="6" fillId="0" borderId="126" xfId="0" applyFont="1" applyBorder="1" applyAlignment="1">
      <alignment horizontal="left" vertical="center" wrapText="1"/>
    </xf>
    <xf numFmtId="3" fontId="20" fillId="0" borderId="94" xfId="0" applyNumberFormat="1" applyFont="1" applyBorder="1" applyAlignment="1">
      <alignment horizontal="center" vertical="center"/>
    </xf>
    <xf numFmtId="3" fontId="20" fillId="0" borderId="128" xfId="0" applyNumberFormat="1" applyFont="1" applyBorder="1" applyAlignment="1">
      <alignment horizontal="center" vertical="center"/>
    </xf>
    <xf numFmtId="0" fontId="6" fillId="0" borderId="129" xfId="0" applyFont="1" applyBorder="1" applyAlignment="1">
      <alignment horizontal="left" vertical="center" wrapText="1"/>
    </xf>
    <xf numFmtId="0" fontId="7" fillId="0" borderId="0" xfId="0" applyFont="1" applyAlignment="1">
      <alignment horizontal="left" wrapText="1"/>
    </xf>
    <xf numFmtId="0" fontId="6" fillId="0" borderId="37" xfId="0" applyFont="1" applyBorder="1" applyAlignment="1">
      <alignment horizontal="left" vertical="center" wrapText="1"/>
    </xf>
    <xf numFmtId="0" fontId="3" fillId="0" borderId="126" xfId="0" applyFont="1" applyBorder="1" applyAlignment="1">
      <alignment horizontal="left" vertical="center" wrapText="1"/>
    </xf>
    <xf numFmtId="0" fontId="6" fillId="0" borderId="90" xfId="0" applyFont="1" applyBorder="1" applyAlignment="1">
      <alignment horizontal="left" vertical="center"/>
    </xf>
    <xf numFmtId="0" fontId="6" fillId="0" borderId="37" xfId="0" applyFont="1" applyBorder="1" applyAlignment="1">
      <alignment horizontal="left" vertical="center"/>
    </xf>
    <xf numFmtId="0" fontId="7" fillId="0" borderId="0" xfId="0" applyFont="1" applyFill="1" applyAlignment="1">
      <alignment horizontal="left" vertical="center"/>
    </xf>
    <xf numFmtId="0" fontId="12" fillId="0" borderId="0" xfId="0" applyFont="1" applyAlignment="1">
      <alignment horizontal="justify" vertical="top"/>
    </xf>
    <xf numFmtId="0" fontId="3" fillId="0" borderId="0" xfId="0" applyFont="1" applyAlignment="1">
      <alignment horizontal="left"/>
    </xf>
    <xf numFmtId="0" fontId="6" fillId="0" borderId="99" xfId="0" applyFont="1" applyBorder="1" applyAlignment="1">
      <alignment horizontal="left"/>
    </xf>
    <xf numFmtId="0" fontId="6" fillId="0" borderId="0" xfId="0" applyFont="1" applyAlignment="1">
      <alignment horizontal="left"/>
    </xf>
    <xf numFmtId="3" fontId="5" fillId="0" borderId="110" xfId="0" applyNumberFormat="1" applyFont="1" applyBorder="1" applyAlignment="1">
      <alignment horizontal="center" vertical="center"/>
    </xf>
    <xf numFmtId="0" fontId="6" fillId="0" borderId="129" xfId="0" applyNumberFormat="1" applyFont="1" applyBorder="1" applyAlignment="1">
      <alignment horizontal="left" vertical="center" wrapText="1"/>
    </xf>
    <xf numFmtId="3" fontId="20" fillId="0" borderId="96" xfId="0" applyNumberFormat="1" applyFont="1" applyBorder="1" applyAlignment="1">
      <alignment horizontal="right" vertical="center" wrapText="1"/>
    </xf>
    <xf numFmtId="3" fontId="20" fillId="0" borderId="97" xfId="0" applyNumberFormat="1" applyFont="1" applyBorder="1" applyAlignment="1">
      <alignment horizontal="right" vertical="center" wrapText="1"/>
    </xf>
    <xf numFmtId="3" fontId="20" fillId="0" borderId="13" xfId="0" applyNumberFormat="1" applyFont="1" applyBorder="1" applyAlignment="1">
      <alignment horizontal="right" vertical="center" wrapText="1"/>
    </xf>
    <xf numFmtId="3" fontId="1" fillId="4" borderId="43" xfId="0" applyNumberFormat="1" applyFont="1" applyFill="1" applyBorder="1" applyAlignment="1">
      <alignment horizontal="right" vertical="center"/>
    </xf>
    <xf numFmtId="3" fontId="20" fillId="0" borderId="100" xfId="0" applyNumberFormat="1" applyFont="1" applyFill="1" applyBorder="1" applyAlignment="1">
      <alignment horizontal="right"/>
    </xf>
    <xf numFmtId="3" fontId="20" fillId="0" borderId="139" xfId="0" applyNumberFormat="1" applyFont="1" applyFill="1" applyBorder="1" applyAlignment="1">
      <alignment horizontal="right"/>
    </xf>
    <xf numFmtId="3" fontId="20" fillId="0" borderId="139" xfId="0" applyNumberFormat="1" applyFont="1" applyBorder="1" applyAlignment="1">
      <alignment horizontal="center"/>
    </xf>
    <xf numFmtId="3" fontId="20" fillId="0" borderId="70" xfId="0" applyNumberFormat="1" applyFont="1" applyBorder="1" applyAlignment="1">
      <alignment horizontal="center"/>
    </xf>
    <xf numFmtId="3" fontId="20" fillId="0" borderId="100" xfId="0" applyNumberFormat="1" applyFont="1" applyBorder="1" applyAlignment="1">
      <alignment horizontal="center"/>
    </xf>
    <xf numFmtId="3" fontId="19" fillId="0" borderId="17" xfId="0" applyNumberFormat="1" applyFont="1" applyFill="1" applyBorder="1" applyAlignment="1">
      <alignment horizontal="right" vertical="center"/>
    </xf>
    <xf numFmtId="3" fontId="19" fillId="0" borderId="37" xfId="0" applyNumberFormat="1" applyFont="1" applyFill="1" applyBorder="1" applyAlignment="1">
      <alignment horizontal="right" vertical="center"/>
    </xf>
    <xf numFmtId="0" fontId="1" fillId="0" borderId="139" xfId="0" applyFont="1" applyBorder="1" applyAlignment="1">
      <alignment horizontal="left" vertical="center" wrapText="1"/>
    </xf>
    <xf numFmtId="9" fontId="20" fillId="0" borderId="130" xfId="1" applyFont="1" applyFill="1" applyBorder="1" applyAlignment="1">
      <alignment horizontal="right" vertical="center"/>
    </xf>
    <xf numFmtId="0" fontId="6" fillId="2" borderId="97" xfId="0" applyFont="1" applyFill="1" applyBorder="1" applyAlignment="1">
      <alignment horizontal="center"/>
    </xf>
    <xf numFmtId="0" fontId="6" fillId="0" borderId="128" xfId="0" applyNumberFormat="1" applyFont="1" applyBorder="1" applyAlignment="1">
      <alignment horizontal="left" vertical="center" wrapText="1"/>
    </xf>
    <xf numFmtId="3" fontId="20" fillId="0" borderId="122" xfId="0" applyNumberFormat="1" applyFont="1" applyBorder="1" applyAlignment="1">
      <alignment horizontal="right" vertical="center" wrapText="1"/>
    </xf>
    <xf numFmtId="3" fontId="20" fillId="0" borderId="113" xfId="0" applyNumberFormat="1" applyFont="1" applyBorder="1" applyAlignment="1">
      <alignment horizontal="right" vertical="center" wrapText="1"/>
    </xf>
    <xf numFmtId="3" fontId="20" fillId="0" borderId="110" xfId="0" applyNumberFormat="1" applyFont="1" applyBorder="1" applyAlignment="1">
      <alignment horizontal="right" vertical="center" wrapText="1"/>
    </xf>
    <xf numFmtId="0" fontId="6" fillId="0" borderId="130" xfId="0" applyNumberFormat="1" applyFont="1" applyBorder="1" applyAlignment="1">
      <alignment horizontal="left" vertical="center" wrapText="1"/>
    </xf>
    <xf numFmtId="0" fontId="13" fillId="0" borderId="0" xfId="0" applyFont="1" applyFill="1" applyAlignment="1">
      <alignment horizontal="justify" vertical="top" wrapText="1"/>
    </xf>
    <xf numFmtId="0" fontId="20" fillId="0" borderId="128" xfId="0" applyFont="1" applyFill="1" applyBorder="1" applyAlignment="1">
      <alignment horizontal="center" vertical="center" wrapText="1"/>
    </xf>
    <xf numFmtId="9" fontId="20" fillId="0" borderId="128" xfId="0" applyNumberFormat="1" applyFont="1" applyFill="1" applyBorder="1" applyAlignment="1">
      <alignment horizontal="right" vertical="center"/>
    </xf>
    <xf numFmtId="3" fontId="20" fillId="0" borderId="122" xfId="0" applyNumberFormat="1" applyFont="1" applyBorder="1" applyAlignment="1">
      <alignment horizontal="center" vertical="center"/>
    </xf>
    <xf numFmtId="3" fontId="20" fillId="0" borderId="121" xfId="0" applyNumberFormat="1" applyFont="1" applyBorder="1" applyAlignment="1">
      <alignment horizontal="center" vertical="center"/>
    </xf>
    <xf numFmtId="3" fontId="20" fillId="0" borderId="140" xfId="0" applyNumberFormat="1" applyFont="1" applyFill="1" applyBorder="1" applyAlignment="1">
      <alignment horizontal="right"/>
    </xf>
    <xf numFmtId="3" fontId="20" fillId="0" borderId="138" xfId="0" applyNumberFormat="1" applyFont="1" applyFill="1" applyBorder="1" applyAlignment="1">
      <alignment horizontal="right"/>
    </xf>
    <xf numFmtId="0" fontId="1" fillId="0" borderId="130" xfId="0" applyFont="1" applyBorder="1" applyAlignment="1">
      <alignment horizontal="center"/>
    </xf>
    <xf numFmtId="0" fontId="20" fillId="0" borderId="130" xfId="0" applyFont="1" applyBorder="1" applyAlignment="1">
      <alignment horizontal="center"/>
    </xf>
    <xf numFmtId="3" fontId="20" fillId="0" borderId="17" xfId="0" applyNumberFormat="1" applyFont="1" applyBorder="1" applyAlignment="1">
      <alignment horizontal="right" vertical="center"/>
    </xf>
    <xf numFmtId="0" fontId="134" fillId="0" borderId="0" xfId="0" applyFont="1" applyAlignment="1">
      <alignment horizontal="left" vertical="center"/>
    </xf>
    <xf numFmtId="0" fontId="7" fillId="0" borderId="0" xfId="0" applyFont="1" applyAlignment="1">
      <alignment horizontal="left" vertical="center" wrapText="1"/>
    </xf>
    <xf numFmtId="0" fontId="12" fillId="0" borderId="0" xfId="0" applyFont="1" applyAlignment="1">
      <alignment horizontal="left" vertical="top"/>
    </xf>
    <xf numFmtId="0" fontId="81" fillId="0" borderId="0" xfId="0" applyFont="1" applyAlignment="1">
      <alignment horizontal="left" wrapText="1"/>
    </xf>
    <xf numFmtId="0" fontId="58" fillId="3" borderId="116" xfId="2" applyFont="1" applyFill="1" applyBorder="1" applyAlignment="1" applyProtection="1">
      <alignment horizontal="center" vertical="center" wrapText="1"/>
    </xf>
    <xf numFmtId="0" fontId="58" fillId="3" borderId="76" xfId="2" applyFont="1" applyFill="1" applyBorder="1" applyAlignment="1" applyProtection="1">
      <alignment horizontal="center" vertical="center" wrapText="1"/>
    </xf>
    <xf numFmtId="0" fontId="58" fillId="3" borderId="71" xfId="2" applyFont="1" applyFill="1" applyBorder="1" applyAlignment="1" applyProtection="1">
      <alignment horizontal="center" vertical="center" wrapText="1"/>
    </xf>
    <xf numFmtId="176" fontId="58" fillId="0" borderId="87" xfId="2" applyNumberFormat="1" applyFont="1" applyFill="1" applyBorder="1" applyAlignment="1" applyProtection="1">
      <alignment horizontal="center"/>
    </xf>
    <xf numFmtId="176" fontId="58" fillId="0" borderId="89" xfId="2" applyNumberFormat="1" applyFont="1" applyFill="1" applyBorder="1" applyAlignment="1" applyProtection="1">
      <alignment horizontal="center"/>
    </xf>
    <xf numFmtId="0" fontId="60" fillId="7" borderId="93" xfId="8" applyFont="1" applyFill="1" applyBorder="1" applyAlignment="1">
      <alignment horizontal="left" vertical="top" wrapText="1"/>
    </xf>
    <xf numFmtId="0" fontId="60" fillId="7" borderId="94" xfId="8" applyFont="1" applyFill="1" applyBorder="1" applyAlignment="1">
      <alignment horizontal="left" vertical="top" wrapText="1"/>
    </xf>
    <xf numFmtId="0" fontId="60" fillId="7" borderId="0" xfId="8" applyFont="1" applyFill="1" applyBorder="1" applyAlignment="1">
      <alignment horizontal="left" vertical="top" wrapText="1"/>
    </xf>
    <xf numFmtId="0" fontId="60" fillId="7" borderId="29" xfId="8" applyFont="1" applyFill="1" applyBorder="1" applyAlignment="1">
      <alignment horizontal="left" vertical="top" wrapText="1"/>
    </xf>
    <xf numFmtId="0" fontId="27" fillId="0" borderId="91" xfId="8" applyFont="1" applyFill="1" applyBorder="1" applyAlignment="1">
      <alignment horizontal="center" vertical="center"/>
    </xf>
    <xf numFmtId="0" fontId="27" fillId="0" borderId="91" xfId="8" applyFill="1" applyBorder="1" applyAlignment="1">
      <alignment horizontal="center" vertical="center"/>
    </xf>
    <xf numFmtId="0" fontId="27" fillId="0" borderId="17" xfId="8" applyFill="1" applyBorder="1" applyAlignment="1">
      <alignment horizontal="center" vertical="center"/>
    </xf>
    <xf numFmtId="0" fontId="74" fillId="0" borderId="116" xfId="8" applyFont="1" applyFill="1" applyBorder="1" applyAlignment="1">
      <alignment horizontal="left" vertical="top" wrapText="1"/>
    </xf>
    <xf numFmtId="0" fontId="74" fillId="0" borderId="115" xfId="8" applyFont="1" applyFill="1" applyBorder="1" applyAlignment="1">
      <alignment horizontal="center" vertical="center"/>
    </xf>
    <xf numFmtId="0" fontId="74" fillId="0" borderId="118" xfId="8" applyFont="1" applyFill="1" applyBorder="1" applyAlignment="1">
      <alignment horizontal="center" vertical="center"/>
    </xf>
    <xf numFmtId="0" fontId="74" fillId="0" borderId="84" xfId="8" applyFont="1" applyFill="1" applyBorder="1" applyAlignment="1">
      <alignment horizontal="center" vertical="center"/>
    </xf>
    <xf numFmtId="0" fontId="74" fillId="0" borderId="85" xfId="8" applyFont="1" applyFill="1" applyBorder="1" applyAlignment="1">
      <alignment horizontal="center" vertical="center"/>
    </xf>
    <xf numFmtId="0" fontId="74" fillId="0" borderId="116" xfId="8" quotePrefix="1" applyFont="1" applyFill="1" applyBorder="1" applyAlignment="1">
      <alignment horizontal="left" vertical="top" wrapText="1"/>
    </xf>
    <xf numFmtId="0" fontId="74" fillId="0" borderId="108" xfId="8" applyFont="1" applyFill="1" applyBorder="1" applyAlignment="1">
      <alignment horizontal="left" vertical="top" wrapText="1"/>
    </xf>
    <xf numFmtId="0" fontId="74" fillId="0" borderId="135" xfId="8" applyFont="1" applyFill="1" applyBorder="1" applyAlignment="1">
      <alignment horizontal="left" vertical="top" wrapText="1"/>
    </xf>
    <xf numFmtId="0" fontId="74" fillId="0" borderId="109" xfId="8" applyFont="1" applyFill="1" applyBorder="1" applyAlignment="1">
      <alignment horizontal="left" vertical="top" wrapText="1"/>
    </xf>
    <xf numFmtId="0" fontId="75" fillId="0" borderId="103" xfId="8" applyFont="1" applyFill="1" applyBorder="1" applyAlignment="1">
      <alignment horizontal="center" vertical="center" wrapText="1"/>
    </xf>
    <xf numFmtId="0" fontId="73" fillId="0" borderId="69" xfId="8" applyFont="1" applyFill="1" applyBorder="1" applyAlignment="1">
      <alignment horizontal="left" vertical="top" wrapText="1"/>
    </xf>
    <xf numFmtId="0" fontId="73" fillId="7" borderId="116" xfId="18" applyFont="1" applyFill="1" applyBorder="1" applyAlignment="1">
      <alignment horizontal="left" vertical="top" wrapText="1"/>
    </xf>
    <xf numFmtId="0" fontId="73" fillId="7" borderId="71" xfId="18" applyFont="1" applyFill="1" applyBorder="1" applyAlignment="1">
      <alignment horizontal="left" vertical="top" wrapText="1"/>
    </xf>
    <xf numFmtId="0" fontId="73" fillId="7" borderId="69" xfId="18" applyFont="1" applyFill="1" applyBorder="1" applyAlignment="1">
      <alignment horizontal="left" vertical="top" wrapText="1"/>
    </xf>
    <xf numFmtId="0" fontId="73" fillId="7" borderId="116" xfId="18" quotePrefix="1" applyFont="1" applyFill="1" applyBorder="1" applyAlignment="1">
      <alignment horizontal="left" vertical="top" wrapText="1"/>
    </xf>
    <xf numFmtId="0" fontId="73" fillId="7" borderId="71" xfId="18" quotePrefix="1" applyFont="1" applyFill="1" applyBorder="1" applyAlignment="1">
      <alignment horizontal="left" vertical="top" wrapText="1"/>
    </xf>
    <xf numFmtId="0" fontId="73" fillId="7" borderId="115" xfId="18" applyFont="1" applyFill="1" applyBorder="1" applyAlignment="1">
      <alignment horizontal="left" vertical="top" wrapText="1"/>
    </xf>
    <xf numFmtId="0" fontId="73" fillId="7" borderId="84" xfId="18" applyFont="1" applyFill="1" applyBorder="1" applyAlignment="1">
      <alignment horizontal="left" vertical="top" wrapText="1"/>
    </xf>
    <xf numFmtId="0" fontId="74" fillId="7" borderId="115" xfId="18" applyFont="1" applyFill="1" applyBorder="1" applyAlignment="1">
      <alignment horizontal="left" vertical="top" wrapText="1"/>
    </xf>
    <xf numFmtId="0" fontId="74" fillId="7" borderId="84" xfId="18" applyFont="1" applyFill="1" applyBorder="1" applyAlignment="1">
      <alignment horizontal="left" vertical="top" wrapText="1"/>
    </xf>
    <xf numFmtId="0" fontId="73" fillId="7" borderId="106" xfId="18" applyFont="1" applyFill="1" applyBorder="1" applyAlignment="1">
      <alignment horizontal="left" vertical="top" wrapText="1"/>
    </xf>
    <xf numFmtId="0" fontId="74" fillId="7" borderId="87" xfId="18" applyFont="1" applyFill="1" applyBorder="1" applyAlignment="1">
      <alignment horizontal="left" vertical="top" wrapText="1"/>
    </xf>
    <xf numFmtId="0" fontId="74" fillId="7" borderId="88" xfId="18" applyFont="1" applyFill="1" applyBorder="1" applyAlignment="1">
      <alignment horizontal="left" vertical="top" wrapText="1"/>
    </xf>
    <xf numFmtId="0" fontId="74" fillId="7" borderId="89" xfId="18" applyFont="1" applyFill="1" applyBorder="1" applyAlignment="1">
      <alignment horizontal="left" vertical="top" wrapText="1"/>
    </xf>
    <xf numFmtId="0" fontId="73" fillId="7" borderId="87" xfId="18" applyFont="1" applyFill="1" applyBorder="1" applyAlignment="1">
      <alignment horizontal="left" vertical="top" wrapText="1"/>
    </xf>
    <xf numFmtId="0" fontId="73" fillId="7" borderId="88" xfId="18" applyFont="1" applyFill="1" applyBorder="1" applyAlignment="1">
      <alignment horizontal="left" vertical="top" wrapText="1"/>
    </xf>
    <xf numFmtId="0" fontId="73" fillId="7" borderId="89" xfId="18" applyFont="1" applyFill="1" applyBorder="1" applyAlignment="1">
      <alignment horizontal="left" vertical="top" wrapText="1"/>
    </xf>
    <xf numFmtId="0" fontId="27" fillId="7" borderId="71" xfId="18" applyFont="1" applyFill="1" applyBorder="1" applyAlignment="1">
      <alignment horizontal="left" vertical="top" wrapText="1"/>
    </xf>
    <xf numFmtId="0" fontId="73" fillId="7" borderId="108" xfId="18" applyFont="1" applyFill="1" applyBorder="1" applyAlignment="1">
      <alignment horizontal="left" vertical="top" wrapText="1"/>
    </xf>
    <xf numFmtId="0" fontId="73" fillId="7" borderId="135" xfId="18" applyFont="1" applyFill="1" applyBorder="1" applyAlignment="1">
      <alignment horizontal="left" vertical="top" wrapText="1"/>
    </xf>
    <xf numFmtId="0" fontId="73" fillId="7" borderId="109" xfId="18" applyFont="1" applyFill="1" applyBorder="1" applyAlignment="1">
      <alignment horizontal="left" vertical="top" wrapText="1"/>
    </xf>
    <xf numFmtId="0" fontId="74" fillId="7" borderId="71" xfId="18" applyFont="1" applyFill="1" applyBorder="1" applyAlignment="1">
      <alignment horizontal="left" vertical="top" wrapText="1"/>
    </xf>
    <xf numFmtId="0" fontId="59" fillId="7" borderId="71" xfId="18" applyFont="1" applyFill="1" applyBorder="1" applyAlignment="1">
      <alignment horizontal="left" vertical="top" wrapText="1"/>
    </xf>
    <xf numFmtId="0" fontId="74" fillId="7" borderId="99" xfId="18" applyFont="1" applyFill="1" applyBorder="1" applyAlignment="1">
      <alignment horizontal="left" vertical="top" wrapText="1"/>
    </xf>
    <xf numFmtId="0" fontId="74" fillId="7" borderId="85" xfId="18" applyFont="1" applyFill="1" applyBorder="1" applyAlignment="1">
      <alignment horizontal="left" vertical="top" wrapText="1"/>
    </xf>
    <xf numFmtId="0" fontId="73" fillId="7" borderId="87" xfId="18" quotePrefix="1" applyFont="1" applyFill="1" applyBorder="1" applyAlignment="1">
      <alignment horizontal="left" vertical="top" wrapText="1"/>
    </xf>
    <xf numFmtId="0" fontId="73" fillId="7" borderId="88" xfId="18" quotePrefix="1" applyFont="1" applyFill="1" applyBorder="1" applyAlignment="1">
      <alignment horizontal="left" vertical="top" wrapText="1"/>
    </xf>
    <xf numFmtId="0" fontId="73" fillId="7" borderId="89" xfId="18" quotePrefix="1" applyFont="1" applyFill="1" applyBorder="1" applyAlignment="1">
      <alignment horizontal="left" vertical="top" wrapText="1"/>
    </xf>
    <xf numFmtId="0" fontId="74" fillId="7" borderId="87" xfId="18" quotePrefix="1" applyFont="1" applyFill="1" applyBorder="1" applyAlignment="1">
      <alignment horizontal="left" vertical="top" wrapText="1"/>
    </xf>
    <xf numFmtId="0" fontId="74" fillId="7" borderId="88" xfId="18" quotePrefix="1" applyFont="1" applyFill="1" applyBorder="1" applyAlignment="1">
      <alignment horizontal="left" vertical="top" wrapText="1"/>
    </xf>
    <xf numFmtId="0" fontId="74" fillId="7" borderId="89" xfId="18" quotePrefix="1" applyFont="1" applyFill="1" applyBorder="1" applyAlignment="1">
      <alignment horizontal="left" vertical="top" wrapText="1"/>
    </xf>
    <xf numFmtId="0" fontId="104" fillId="7" borderId="87" xfId="18" quotePrefix="1" applyFont="1" applyFill="1" applyBorder="1" applyAlignment="1">
      <alignment horizontal="left" vertical="top" wrapText="1"/>
    </xf>
    <xf numFmtId="0" fontId="104" fillId="7" borderId="88" xfId="18" quotePrefix="1" applyFont="1" applyFill="1" applyBorder="1" applyAlignment="1">
      <alignment horizontal="left" vertical="top" wrapText="1"/>
    </xf>
    <xf numFmtId="0" fontId="104" fillId="7" borderId="89" xfId="18" quotePrefix="1" applyFont="1" applyFill="1" applyBorder="1" applyAlignment="1">
      <alignment horizontal="left" vertical="top" wrapText="1"/>
    </xf>
    <xf numFmtId="0" fontId="104" fillId="7" borderId="87" xfId="18" applyFont="1" applyFill="1" applyBorder="1" applyAlignment="1">
      <alignment horizontal="left" vertical="top" wrapText="1"/>
    </xf>
    <xf numFmtId="0" fontId="104" fillId="7" borderId="88" xfId="18" applyFont="1" applyFill="1" applyBorder="1" applyAlignment="1">
      <alignment horizontal="left" vertical="top" wrapText="1"/>
    </xf>
    <xf numFmtId="0" fontId="104" fillId="7" borderId="89" xfId="18" applyFont="1" applyFill="1" applyBorder="1" applyAlignment="1">
      <alignment horizontal="left" vertical="top" wrapText="1"/>
    </xf>
  </cellXfs>
  <cellStyles count="226">
    <cellStyle name="_x000a_386grabber=S" xfId="209"/>
    <cellStyle name="%" xfId="17"/>
    <cellStyle name="20 % - Accent1" xfId="30"/>
    <cellStyle name="20 % - Accent2" xfId="31"/>
    <cellStyle name="20 % - Accent3" xfId="32"/>
    <cellStyle name="20 % - Accent4" xfId="33"/>
    <cellStyle name="20 % - Accent5" xfId="34"/>
    <cellStyle name="20 % - Accent6" xfId="35"/>
    <cellStyle name="20% - Accent1 2" xfId="36"/>
    <cellStyle name="20% - Accent1 3" xfId="37"/>
    <cellStyle name="20% - Accent1 4" xfId="38"/>
    <cellStyle name="20% - Accent2 2" xfId="39"/>
    <cellStyle name="20% - Accent2 3" xfId="40"/>
    <cellStyle name="20% - Accent2 4" xfId="41"/>
    <cellStyle name="20% - Accent3 2" xfId="42"/>
    <cellStyle name="20% - Accent3 3" xfId="43"/>
    <cellStyle name="20% - Accent3 4" xfId="44"/>
    <cellStyle name="20% - Accent4 2" xfId="45"/>
    <cellStyle name="20% - Accent4 3" xfId="46"/>
    <cellStyle name="20% - Accent4 4" xfId="47"/>
    <cellStyle name="20% - Accent5 2" xfId="48"/>
    <cellStyle name="20% - Accent5 3" xfId="49"/>
    <cellStyle name="20% - Accent5 4" xfId="50"/>
    <cellStyle name="20% - Accent6 2" xfId="51"/>
    <cellStyle name="20% - Accent6 3" xfId="52"/>
    <cellStyle name="20% - Accent6 4" xfId="53"/>
    <cellStyle name="40 % - Accent1" xfId="54"/>
    <cellStyle name="40 % - Accent2" xfId="55"/>
    <cellStyle name="40 % - Accent3" xfId="56"/>
    <cellStyle name="40 % - Accent4" xfId="57"/>
    <cellStyle name="40 % - Accent5" xfId="58"/>
    <cellStyle name="40 % - Accent6" xfId="59"/>
    <cellStyle name="40% - Accent1 2" xfId="60"/>
    <cellStyle name="40% - Accent1 3" xfId="61"/>
    <cellStyle name="40% - Accent1 4" xfId="62"/>
    <cellStyle name="40% - Accent2 2" xfId="63"/>
    <cellStyle name="40% - Accent2 3" xfId="64"/>
    <cellStyle name="40% - Accent2 4" xfId="65"/>
    <cellStyle name="40% - Accent3 2" xfId="66"/>
    <cellStyle name="40% - Accent3 3" xfId="67"/>
    <cellStyle name="40% - Accent3 4" xfId="68"/>
    <cellStyle name="40% - Accent3 5" xfId="69"/>
    <cellStyle name="40% - Accent4 2" xfId="70"/>
    <cellStyle name="40% - Accent4 3" xfId="71"/>
    <cellStyle name="40% - Accent4 4" xfId="72"/>
    <cellStyle name="40% - Accent5 2" xfId="73"/>
    <cellStyle name="40% - Accent5 3" xfId="74"/>
    <cellStyle name="40% - Accent5 4" xfId="75"/>
    <cellStyle name="40% - Accent6 2" xfId="76"/>
    <cellStyle name="40% - Accent6 3" xfId="77"/>
    <cellStyle name="40% - Accent6 4" xfId="78"/>
    <cellStyle name="60 % - Accent1" xfId="79"/>
    <cellStyle name="60 % - Accent2" xfId="80"/>
    <cellStyle name="60 % - Accent3" xfId="81"/>
    <cellStyle name="60 % - Accent4" xfId="82"/>
    <cellStyle name="60 % - Accent5" xfId="83"/>
    <cellStyle name="60 % - Accent6" xfId="84"/>
    <cellStyle name="60% - Accent1 2" xfId="85"/>
    <cellStyle name="60% - Accent1 3" xfId="86"/>
    <cellStyle name="60% - Accent1 4" xfId="87"/>
    <cellStyle name="60% - Accent2 2" xfId="88"/>
    <cellStyle name="60% - Accent2 3" xfId="89"/>
    <cellStyle name="60% - Accent2 4" xfId="90"/>
    <cellStyle name="60% - Accent3 2" xfId="91"/>
    <cellStyle name="60% - Accent3 3" xfId="92"/>
    <cellStyle name="60% - Accent3 4" xfId="93"/>
    <cellStyle name="60% - Accent4 2" xfId="94"/>
    <cellStyle name="60% - Accent4 3" xfId="95"/>
    <cellStyle name="60% - Accent4 4" xfId="96"/>
    <cellStyle name="60% - Accent5 2" xfId="97"/>
    <cellStyle name="60% - Accent5 3" xfId="98"/>
    <cellStyle name="60% - Accent5 4" xfId="99"/>
    <cellStyle name="60% - Accent6 2" xfId="100"/>
    <cellStyle name="60% - Accent6 3" xfId="101"/>
    <cellStyle name="60% - Accent6 4" xfId="102"/>
    <cellStyle name="Accent1 2" xfId="103"/>
    <cellStyle name="Accent1 3" xfId="104"/>
    <cellStyle name="Accent1 4" xfId="105"/>
    <cellStyle name="Accent2 2" xfId="106"/>
    <cellStyle name="Accent2 3" xfId="107"/>
    <cellStyle name="Accent2 4" xfId="108"/>
    <cellStyle name="Accent3 2" xfId="109"/>
    <cellStyle name="Accent3 3" xfId="110"/>
    <cellStyle name="Accent3 4" xfId="111"/>
    <cellStyle name="Accent4 2" xfId="112"/>
    <cellStyle name="Accent4 3" xfId="113"/>
    <cellStyle name="Accent4 4" xfId="114"/>
    <cellStyle name="Accent5 2" xfId="115"/>
    <cellStyle name="Accent5 3" xfId="116"/>
    <cellStyle name="Accent5 4" xfId="117"/>
    <cellStyle name="Accent6 2" xfId="118"/>
    <cellStyle name="Accent6 3" xfId="119"/>
    <cellStyle name="Accent6 4" xfId="120"/>
    <cellStyle name="AutoFormat-Optionen" xfId="121"/>
    <cellStyle name="AutoFormat-Optionen 2" xfId="122"/>
    <cellStyle name="AutoFormat-Optionen_BFI optilas ratio (value) budget FY11" xfId="123"/>
    <cellStyle name="Avertissement" xfId="124"/>
    <cellStyle name="Bad 2" xfId="125"/>
    <cellStyle name="Bad 3" xfId="126"/>
    <cellStyle name="Bad 4" xfId="127"/>
    <cellStyle name="Calcul" xfId="128"/>
    <cellStyle name="Calculation 2" xfId="129"/>
    <cellStyle name="Calculation 3" xfId="130"/>
    <cellStyle name="Calculation 4" xfId="131"/>
    <cellStyle name="Cellule liée" xfId="132"/>
    <cellStyle name="Cellule liée 2" xfId="223"/>
    <cellStyle name="Comma 2" xfId="13"/>
    <cellStyle name="Comma 4" xfId="133"/>
    <cellStyle name="Commentaire" xfId="134"/>
    <cellStyle name="Entrée" xfId="135"/>
    <cellStyle name="Euro" xfId="136"/>
    <cellStyle name="Explanatory Text 2" xfId="137"/>
    <cellStyle name="Explanatory Text 3" xfId="138"/>
    <cellStyle name="Explanatory Text 4" xfId="139"/>
    <cellStyle name="FRxAmtStyle" xfId="140"/>
    <cellStyle name="FRxCurrStyle" xfId="141"/>
    <cellStyle name="FRxPcntStyle" xfId="142"/>
    <cellStyle name="Good 2" xfId="143"/>
    <cellStyle name="Good 3" xfId="144"/>
    <cellStyle name="Good 4" xfId="145"/>
    <cellStyle name="Heading 1 2" xfId="146"/>
    <cellStyle name="Heading 1 3" xfId="147"/>
    <cellStyle name="Heading 1 4" xfId="148"/>
    <cellStyle name="Heading 2 2" xfId="149"/>
    <cellStyle name="Heading 2 3" xfId="150"/>
    <cellStyle name="Heading 2 4" xfId="151"/>
    <cellStyle name="Heading 3 2" xfId="152"/>
    <cellStyle name="Heading 3 3" xfId="153"/>
    <cellStyle name="Heading 3 4" xfId="154"/>
    <cellStyle name="Heading 4 2" xfId="155"/>
    <cellStyle name="Heading 4 3" xfId="156"/>
    <cellStyle name="Heading 4 4" xfId="157"/>
    <cellStyle name="Hyperlink" xfId="225" builtinId="8"/>
    <cellStyle name="Hyperlink 2" xfId="11"/>
    <cellStyle name="Hyperlink 3" xfId="22"/>
    <cellStyle name="Check Cell 2" xfId="158"/>
    <cellStyle name="Check Cell 3" xfId="159"/>
    <cellStyle name="Check Cell 4" xfId="160"/>
    <cellStyle name="Input 2" xfId="161"/>
    <cellStyle name="Input 3" xfId="162"/>
    <cellStyle name="Input 4" xfId="163"/>
    <cellStyle name="Insatisfaisant" xfId="164"/>
    <cellStyle name="Linked Cell 2" xfId="165"/>
    <cellStyle name="Linked Cell 2 2" xfId="222"/>
    <cellStyle name="Linked Cell 3" xfId="166"/>
    <cellStyle name="Linked Cell 3 2" xfId="221"/>
    <cellStyle name="Linked Cell 4" xfId="167"/>
    <cellStyle name="Linked Cell 4 2" xfId="220"/>
    <cellStyle name="Neutral 2" xfId="168"/>
    <cellStyle name="Neutral 3" xfId="169"/>
    <cellStyle name="Neutral 4" xfId="170"/>
    <cellStyle name="Neutre" xfId="171"/>
    <cellStyle name="Normal" xfId="0" builtinId="0"/>
    <cellStyle name="Normal 10" xfId="172"/>
    <cellStyle name="Normal 11" xfId="210"/>
    <cellStyle name="Normal 2" xfId="2"/>
    <cellStyle name="Normal 2 2" xfId="211"/>
    <cellStyle name="Normal 2 2 2" xfId="212"/>
    <cellStyle name="Normal 2 3" xfId="23"/>
    <cellStyle name="Normal 3" xfId="8"/>
    <cellStyle name="Normal 3 2" xfId="18"/>
    <cellStyle name="Normal 3 3" xfId="213"/>
    <cellStyle name="Normal 3 3 2" xfId="214"/>
    <cellStyle name="Normal 3 4" xfId="215"/>
    <cellStyle name="Normal 3 5" xfId="25"/>
    <cellStyle name="Normal 36 2" xfId="216"/>
    <cellStyle name="Normal 36 2 2" xfId="217"/>
    <cellStyle name="Normal 4" xfId="4"/>
    <cellStyle name="Normal 4 2" xfId="173"/>
    <cellStyle name="Normal 4 3" xfId="24"/>
    <cellStyle name="Normal 5" xfId="12"/>
    <cellStyle name="Normal 5 2" xfId="16"/>
    <cellStyle name="Normal 5 2 2" xfId="174"/>
    <cellStyle name="Normal 5 3" xfId="224"/>
    <cellStyle name="Normal 6" xfId="26"/>
    <cellStyle name="Normal 6 2" xfId="175"/>
    <cellStyle name="Normal 7" xfId="27"/>
    <cellStyle name="Normal 7 2" xfId="176"/>
    <cellStyle name="Normal 7 3" xfId="218"/>
    <cellStyle name="Normal 8" xfId="29"/>
    <cellStyle name="Normal 8 2" xfId="177"/>
    <cellStyle name="Normal 9" xfId="178"/>
    <cellStyle name="Normal 9 2" xfId="219"/>
    <cellStyle name="Normal_Coffee Exporter FR1" xfId="9"/>
    <cellStyle name="Normal_FS Conoco Slovakia final 2001-rounding" xfId="5"/>
    <cellStyle name="Normal_Notes to FS1234" xfId="6"/>
    <cellStyle name="Normal_Slovak statutory FS2004(Slovak)" xfId="7"/>
    <cellStyle name="Normal_TSS report template v4" xfId="10"/>
    <cellStyle name="Normale_ESSBASE EXTRACT_YTD" xfId="179"/>
    <cellStyle name="Normálna 2" xfId="180"/>
    <cellStyle name="Normálne 2" xfId="28"/>
    <cellStyle name="normálne_Tax bridge and Specification of deferred taxcomm_poslane_svedsko" xfId="14"/>
    <cellStyle name="normální_cashflow96" xfId="15"/>
    <cellStyle name="Note 2" xfId="181"/>
    <cellStyle name="Note 3" xfId="182"/>
    <cellStyle name="Note 4" xfId="183"/>
    <cellStyle name="Output 2" xfId="184"/>
    <cellStyle name="Output 3" xfId="185"/>
    <cellStyle name="Output 4" xfId="186"/>
    <cellStyle name="Percent" xfId="1" builtinId="5"/>
    <cellStyle name="Percent 2" xfId="3"/>
    <cellStyle name="Percent 3" xfId="187"/>
    <cellStyle name="S6" xfId="19"/>
    <cellStyle name="S8" xfId="20"/>
    <cellStyle name="Satisfaisant" xfId="188"/>
    <cellStyle name="Sortie" xfId="189"/>
    <cellStyle name="Standard_Tabelle1" xfId="190"/>
    <cellStyle name="Style 1" xfId="21"/>
    <cellStyle name="STYLE1" xfId="191"/>
    <cellStyle name="Texte explicatif" xfId="192"/>
    <cellStyle name="Title 2" xfId="193"/>
    <cellStyle name="Title 3" xfId="194"/>
    <cellStyle name="Title 4" xfId="195"/>
    <cellStyle name="Titre" xfId="196"/>
    <cellStyle name="Titre 1" xfId="197"/>
    <cellStyle name="Titre 2" xfId="198"/>
    <cellStyle name="Titre 3" xfId="199"/>
    <cellStyle name="Titre 4" xfId="200"/>
    <cellStyle name="Titre_Sales Phasing" xfId="201"/>
    <cellStyle name="Total 2" xfId="202"/>
    <cellStyle name="Total 3" xfId="203"/>
    <cellStyle name="Total 4" xfId="204"/>
    <cellStyle name="Vérification" xfId="205"/>
    <cellStyle name="Warning Text 2" xfId="206"/>
    <cellStyle name="Warning Text 3" xfId="207"/>
    <cellStyle name="Warning Text 4" xfId="208"/>
  </cellStyles>
  <dxfs count="323">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rgb="FFFFFF00"/>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 xmlns:a16="http://schemas.microsoft.com/office/drawing/2014/main" id="{00000000-0008-0000-38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 xmlns:a16="http://schemas.microsoft.com/office/drawing/2014/main" id="{00000000-0008-0000-3E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 val="Konsolid. (2)"/>
      <sheetName val="SEP US GAAP JV"/>
      <sheetName val="character chart"/>
      <sheetName val="ValueList_Helper"/>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office.sk@fossfibreoptics.com"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M42"/>
  <sheetViews>
    <sheetView showGridLines="0" workbookViewId="0">
      <selection activeCell="C40" sqref="C40"/>
    </sheetView>
  </sheetViews>
  <sheetFormatPr defaultColWidth="9.1796875" defaultRowHeight="10"/>
  <cols>
    <col min="1" max="1" width="19.81640625" style="679" customWidth="1"/>
    <col min="2" max="2" width="10.1796875" style="679" bestFit="1" customWidth="1"/>
    <col min="3" max="3" width="14.1796875" style="679" customWidth="1"/>
    <col min="4" max="4" width="2.81640625" style="679" customWidth="1"/>
    <col min="5" max="5" width="25.1796875" style="679" customWidth="1"/>
    <col min="6" max="6" width="27.7265625" style="679" customWidth="1"/>
    <col min="7" max="7" width="2.26953125" style="679" bestFit="1" customWidth="1"/>
    <col min="8" max="8" width="5" style="679" customWidth="1"/>
    <col min="9" max="16384" width="9.1796875" style="679"/>
  </cols>
  <sheetData>
    <row r="1" spans="1:13" ht="11" thickBot="1">
      <c r="A1" s="675" t="s">
        <v>1329</v>
      </c>
      <c r="B1" s="676"/>
      <c r="C1" s="677"/>
      <c r="D1" s="677"/>
      <c r="E1" s="677"/>
      <c r="F1" s="677"/>
      <c r="G1" s="678"/>
    </row>
    <row r="2" spans="1:13" ht="10.5" thickBot="1">
      <c r="A2" s="680" t="s">
        <v>1394</v>
      </c>
      <c r="B2" s="681"/>
      <c r="C2" s="681"/>
      <c r="D2" s="681"/>
      <c r="E2" s="681"/>
      <c r="F2" s="681"/>
      <c r="G2" s="682"/>
      <c r="H2" s="683"/>
    </row>
    <row r="3" spans="1:13" ht="25.5" customHeight="1" thickBot="1">
      <c r="A3" s="1580" t="s">
        <v>1395</v>
      </c>
      <c r="B3" s="1581"/>
      <c r="C3" s="1581"/>
      <c r="D3" s="684"/>
      <c r="E3" s="685" t="s">
        <v>1328</v>
      </c>
      <c r="F3" s="1429" t="s">
        <v>2849</v>
      </c>
      <c r="G3" s="686"/>
    </row>
    <row r="4" spans="1:13">
      <c r="A4" s="687"/>
      <c r="B4" s="688"/>
      <c r="C4" s="688"/>
      <c r="D4" s="688"/>
      <c r="E4" s="688"/>
      <c r="F4" s="688"/>
      <c r="G4" s="689"/>
    </row>
    <row r="5" spans="1:13" ht="10.5" thickBot="1">
      <c r="A5" s="687"/>
      <c r="B5" s="688"/>
      <c r="C5" s="688"/>
      <c r="D5" s="688"/>
      <c r="E5" s="688"/>
      <c r="F5" s="688"/>
      <c r="G5" s="689"/>
      <c r="L5" s="1579"/>
      <c r="M5" s="1579"/>
    </row>
    <row r="6" spans="1:13" ht="11" thickBot="1">
      <c r="A6" s="690" t="s">
        <v>1327</v>
      </c>
      <c r="B6" s="691">
        <v>2019</v>
      </c>
      <c r="C6" s="688"/>
      <c r="D6" s="692" t="s">
        <v>1321</v>
      </c>
      <c r="E6" s="1047"/>
      <c r="F6" s="1045" t="s">
        <v>1081</v>
      </c>
      <c r="G6" s="689"/>
      <c r="L6" s="1579"/>
      <c r="M6" s="1579"/>
    </row>
    <row r="7" spans="1:13" ht="10.5">
      <c r="A7" s="694" t="s">
        <v>1318</v>
      </c>
      <c r="B7" s="791">
        <v>43191</v>
      </c>
      <c r="C7" s="688"/>
      <c r="D7" s="695" t="s">
        <v>18</v>
      </c>
      <c r="E7" s="1048" t="s">
        <v>1326</v>
      </c>
      <c r="F7" s="1046">
        <v>27310</v>
      </c>
      <c r="G7" s="689"/>
      <c r="L7" s="696"/>
      <c r="M7" s="697"/>
    </row>
    <row r="8" spans="1:13" ht="10.5">
      <c r="A8" s="698" t="s">
        <v>1314</v>
      </c>
      <c r="B8" s="699" t="str">
        <f>CHOOSE(LEN(MONTH(B7)),"0"&amp;MONTH(B7),MONTH(B7))</f>
        <v>04</v>
      </c>
      <c r="C8" s="688"/>
      <c r="D8" s="700"/>
      <c r="E8" s="1049" t="s">
        <v>1325</v>
      </c>
      <c r="F8" s="1043"/>
      <c r="G8" s="689"/>
    </row>
    <row r="9" spans="1:13" ht="11" thickBot="1">
      <c r="A9" s="698" t="s">
        <v>1324</v>
      </c>
      <c r="B9" s="701">
        <f>YEAR(B7)</f>
        <v>2018</v>
      </c>
      <c r="C9" s="688"/>
      <c r="D9" s="702"/>
      <c r="E9" s="1050" t="s">
        <v>2012</v>
      </c>
      <c r="F9" s="1044"/>
      <c r="G9" s="689"/>
    </row>
    <row r="10" spans="1:13" ht="11" thickBot="1">
      <c r="A10" s="703" t="s">
        <v>1316</v>
      </c>
      <c r="B10" s="791">
        <v>43555</v>
      </c>
      <c r="C10" s="688"/>
      <c r="D10" s="704"/>
      <c r="E10" s="704"/>
      <c r="F10" s="688"/>
      <c r="G10" s="689"/>
    </row>
    <row r="11" spans="1:13" ht="11" thickBot="1">
      <c r="A11" s="705" t="s">
        <v>1323</v>
      </c>
      <c r="B11" s="706" t="str">
        <f>DAY(B10)&amp;"."&amp;MONTH(B10)&amp;"."</f>
        <v>31.3.</v>
      </c>
      <c r="C11" s="688"/>
      <c r="D11" s="692" t="s">
        <v>2236</v>
      </c>
      <c r="E11" s="1047"/>
      <c r="F11" s="688"/>
      <c r="G11" s="689"/>
    </row>
    <row r="12" spans="1:13" ht="10.5">
      <c r="A12" s="705" t="s">
        <v>1322</v>
      </c>
      <c r="B12" s="707" t="str">
        <f>RIGHT(YEAR(B10),2)</f>
        <v>19</v>
      </c>
      <c r="C12" s="688"/>
      <c r="D12" s="695" t="s">
        <v>18</v>
      </c>
      <c r="E12" s="1048" t="s">
        <v>501</v>
      </c>
      <c r="F12" s="688"/>
      <c r="G12" s="689"/>
      <c r="K12" s="708"/>
    </row>
    <row r="13" spans="1:13" ht="10.5">
      <c r="A13" s="698" t="s">
        <v>1314</v>
      </c>
      <c r="B13" s="699" t="str">
        <f>CHOOSE(LEN(MONTH(B10)),"0"&amp;MONTH(B10),MONTH(B10))</f>
        <v>03</v>
      </c>
      <c r="C13" s="709"/>
      <c r="D13" s="700" t="s">
        <v>18</v>
      </c>
      <c r="E13" s="1049" t="s">
        <v>2237</v>
      </c>
      <c r="F13" s="688"/>
      <c r="G13" s="689"/>
      <c r="H13" s="683"/>
    </row>
    <row r="14" spans="1:13" ht="11" thickBot="1">
      <c r="A14" s="710" t="s">
        <v>1313</v>
      </c>
      <c r="B14" s="701">
        <f>YEAR(B10)</f>
        <v>2019</v>
      </c>
      <c r="C14" s="711"/>
      <c r="D14" s="702" t="s">
        <v>18</v>
      </c>
      <c r="E14" s="1050" t="s">
        <v>2238</v>
      </c>
      <c r="F14" s="688"/>
      <c r="G14" s="689"/>
      <c r="H14" s="683"/>
    </row>
    <row r="15" spans="1:13" ht="10.5" thickBot="1">
      <c r="A15" s="687"/>
      <c r="B15" s="712"/>
      <c r="C15" s="688"/>
      <c r="F15" s="688"/>
      <c r="G15" s="689"/>
    </row>
    <row r="16" spans="1:13" ht="11" thickBot="1">
      <c r="A16" s="713" t="s">
        <v>1320</v>
      </c>
      <c r="B16" s="714">
        <v>2018</v>
      </c>
      <c r="C16" s="688"/>
      <c r="D16" s="692" t="s">
        <v>2233</v>
      </c>
      <c r="E16" s="693"/>
      <c r="F16" s="688"/>
      <c r="G16" s="689"/>
    </row>
    <row r="17" spans="1:9" ht="11" thickBot="1">
      <c r="A17" s="694" t="s">
        <v>1318</v>
      </c>
      <c r="B17" s="791">
        <v>42826</v>
      </c>
      <c r="C17" s="688"/>
      <c r="D17" s="702" t="s">
        <v>18</v>
      </c>
      <c r="E17" s="715" t="s">
        <v>2234</v>
      </c>
      <c r="F17" s="688"/>
      <c r="G17" s="689"/>
    </row>
    <row r="18" spans="1:9" ht="11" thickBot="1">
      <c r="A18" s="698" t="s">
        <v>1314</v>
      </c>
      <c r="B18" s="718" t="str">
        <f>CHOOSE(LEN(MONTH(B17)),"0"&amp;MONTH(B17),MONTH(B17))</f>
        <v>04</v>
      </c>
      <c r="C18" s="688"/>
      <c r="D18" s="716"/>
      <c r="E18" s="717" t="s">
        <v>2235</v>
      </c>
      <c r="F18" s="688"/>
      <c r="G18" s="689"/>
    </row>
    <row r="19" spans="1:9" ht="11" thickBot="1">
      <c r="A19" s="710" t="s">
        <v>1313</v>
      </c>
      <c r="B19" s="701">
        <f>YEAR(B17)</f>
        <v>2017</v>
      </c>
      <c r="C19" s="688"/>
      <c r="D19" s="688"/>
      <c r="E19" s="688"/>
      <c r="F19" s="688"/>
      <c r="G19" s="689"/>
    </row>
    <row r="20" spans="1:9" ht="11" thickBot="1">
      <c r="A20" s="703" t="s">
        <v>1316</v>
      </c>
      <c r="B20" s="791">
        <v>43190</v>
      </c>
      <c r="C20" s="688"/>
      <c r="D20" s="688"/>
      <c r="E20" s="675" t="s">
        <v>1315</v>
      </c>
      <c r="F20" s="719"/>
      <c r="G20" s="689"/>
    </row>
    <row r="21" spans="1:9" ht="11" thickBot="1">
      <c r="A21" s="698" t="s">
        <v>1314</v>
      </c>
      <c r="B21" s="699" t="str">
        <f>CHOOSE(LEN(MONTH(B20)),"0"&amp;MONTH(B20),MONTH(B20))</f>
        <v>03</v>
      </c>
      <c r="C21" s="688"/>
      <c r="D21" s="688"/>
      <c r="E21" s="688"/>
      <c r="F21" s="688"/>
      <c r="G21" s="689"/>
    </row>
    <row r="22" spans="1:9" ht="11" thickBot="1">
      <c r="A22" s="710" t="s">
        <v>1313</v>
      </c>
      <c r="B22" s="701">
        <f>YEAR(B20)</f>
        <v>2018</v>
      </c>
      <c r="C22" s="688"/>
      <c r="D22" s="688"/>
      <c r="E22" s="713" t="s">
        <v>2243</v>
      </c>
      <c r="F22" s="1582" t="s">
        <v>2716</v>
      </c>
      <c r="G22" s="689"/>
    </row>
    <row r="23" spans="1:9" ht="11" thickBot="1">
      <c r="A23" s="720"/>
      <c r="B23" s="711"/>
      <c r="C23" s="688"/>
      <c r="D23" s="688"/>
      <c r="E23" s="1058" t="s">
        <v>2244</v>
      </c>
      <c r="F23" s="1583"/>
      <c r="G23" s="689"/>
      <c r="I23" s="788"/>
    </row>
    <row r="24" spans="1:9" ht="11" thickBot="1">
      <c r="A24" s="675" t="s">
        <v>1312</v>
      </c>
      <c r="B24" s="677"/>
      <c r="C24" s="721">
        <v>2020319829</v>
      </c>
      <c r="D24" s="688"/>
      <c r="E24" s="1059" t="s">
        <v>2245</v>
      </c>
      <c r="F24" s="1584"/>
      <c r="G24" s="689"/>
    </row>
    <row r="25" spans="1:9" ht="10.5" thickBot="1">
      <c r="A25" s="687"/>
      <c r="B25" s="688"/>
      <c r="C25" s="688"/>
      <c r="D25" s="688"/>
      <c r="G25" s="689"/>
    </row>
    <row r="26" spans="1:9" ht="11" thickBot="1">
      <c r="A26" s="675" t="s">
        <v>1310</v>
      </c>
      <c r="B26" s="677"/>
      <c r="C26" s="787" t="s">
        <v>2714</v>
      </c>
      <c r="D26" s="688"/>
      <c r="G26" s="689"/>
    </row>
    <row r="27" spans="1:9" ht="10.5" thickBot="1">
      <c r="A27" s="687"/>
      <c r="B27" s="688"/>
      <c r="C27" s="688"/>
      <c r="D27" s="724"/>
      <c r="G27" s="689"/>
    </row>
    <row r="28" spans="1:9" ht="10.5">
      <c r="A28" s="727" t="s">
        <v>1308</v>
      </c>
      <c r="B28" s="728"/>
      <c r="C28" s="1343" t="s">
        <v>2850</v>
      </c>
      <c r="D28" s="729"/>
      <c r="G28" s="689"/>
    </row>
    <row r="29" spans="1:9">
      <c r="A29" s="730"/>
      <c r="B29" s="731"/>
      <c r="C29" s="732"/>
      <c r="D29" s="729"/>
      <c r="G29" s="689"/>
    </row>
    <row r="30" spans="1:9" ht="10.5">
      <c r="A30" s="734" t="s">
        <v>1307</v>
      </c>
      <c r="B30" s="735"/>
      <c r="C30" s="736">
        <v>52</v>
      </c>
      <c r="D30" s="688"/>
      <c r="G30" s="689"/>
    </row>
    <row r="31" spans="1:9">
      <c r="A31" s="687"/>
      <c r="B31" s="688"/>
      <c r="C31" s="689"/>
      <c r="D31" s="688"/>
      <c r="G31" s="689"/>
    </row>
    <row r="32" spans="1:9" ht="10.5">
      <c r="A32" s="734" t="s">
        <v>1306</v>
      </c>
      <c r="B32" s="741"/>
      <c r="C32" s="742" t="s">
        <v>2851</v>
      </c>
      <c r="D32" s="688"/>
      <c r="E32" s="688"/>
      <c r="F32" s="743"/>
      <c r="G32" s="689"/>
    </row>
    <row r="33" spans="1:7" ht="11" thickBot="1">
      <c r="A33" s="687"/>
      <c r="B33" s="744"/>
      <c r="C33" s="689"/>
      <c r="D33" s="688"/>
      <c r="E33" s="1057"/>
      <c r="F33" s="697"/>
      <c r="G33" s="689"/>
    </row>
    <row r="34" spans="1:7" ht="11" thickBot="1">
      <c r="A34" s="745" t="s">
        <v>1305</v>
      </c>
      <c r="B34" s="746"/>
      <c r="C34" s="747" t="s">
        <v>2715</v>
      </c>
      <c r="D34" s="688"/>
      <c r="E34" s="722" t="s">
        <v>1311</v>
      </c>
      <c r="F34" s="723">
        <v>43600</v>
      </c>
      <c r="G34" s="689"/>
    </row>
    <row r="35" spans="1:7" ht="11" thickBot="1">
      <c r="A35" s="687"/>
      <c r="B35" s="743"/>
      <c r="C35" s="688"/>
      <c r="D35" s="688"/>
      <c r="E35" s="720"/>
      <c r="F35" s="689"/>
      <c r="G35" s="689"/>
    </row>
    <row r="36" spans="1:7" ht="11" thickBot="1">
      <c r="A36" s="748" t="s">
        <v>1304</v>
      </c>
      <c r="B36" s="749"/>
      <c r="C36" s="750">
        <v>2</v>
      </c>
      <c r="D36" s="751"/>
      <c r="E36" s="725" t="s">
        <v>1309</v>
      </c>
      <c r="F36" s="726"/>
      <c r="G36" s="689"/>
    </row>
    <row r="37" spans="1:7" ht="11" thickBot="1">
      <c r="A37" s="720"/>
      <c r="B37" s="744"/>
      <c r="C37" s="689"/>
      <c r="D37" s="688"/>
      <c r="E37" s="688"/>
      <c r="F37" s="688"/>
      <c r="G37" s="689"/>
    </row>
    <row r="38" spans="1:7" ht="10.5">
      <c r="A38" s="752" t="s">
        <v>1303</v>
      </c>
      <c r="B38" s="741"/>
      <c r="C38" s="753">
        <v>48205200</v>
      </c>
      <c r="D38" s="688"/>
      <c r="E38" s="733" t="s">
        <v>2241</v>
      </c>
      <c r="F38" s="693"/>
      <c r="G38" s="689"/>
    </row>
    <row r="39" spans="1:7" ht="11" thickBot="1">
      <c r="A39" s="754"/>
      <c r="B39" s="755"/>
      <c r="C39" s="756"/>
      <c r="D39" s="688"/>
      <c r="E39" s="737" t="s">
        <v>2242</v>
      </c>
      <c r="F39" s="738"/>
      <c r="G39" s="689"/>
    </row>
    <row r="40" spans="1:7" ht="11" thickBot="1">
      <c r="A40" s="757" t="s">
        <v>1301</v>
      </c>
      <c r="B40" s="758"/>
      <c r="C40" s="759"/>
      <c r="D40" s="688"/>
      <c r="E40" s="739" t="s">
        <v>1302</v>
      </c>
      <c r="F40" s="740"/>
      <c r="G40" s="689"/>
    </row>
    <row r="41" spans="1:7" ht="10.5" thickBot="1">
      <c r="A41" s="687"/>
      <c r="B41" s="760"/>
      <c r="C41" s="688"/>
      <c r="D41" s="688"/>
      <c r="E41" s="688"/>
      <c r="F41" s="688"/>
      <c r="G41" s="689"/>
    </row>
    <row r="42" spans="1:7" ht="15" thickBot="1">
      <c r="A42" s="761" t="s">
        <v>1300</v>
      </c>
      <c r="B42" s="1577" t="s">
        <v>2990</v>
      </c>
      <c r="C42" s="1578"/>
      <c r="D42" s="762"/>
      <c r="E42" s="762"/>
      <c r="F42" s="762"/>
      <c r="G42" s="756"/>
    </row>
  </sheetData>
  <mergeCells count="4">
    <mergeCell ref="B42:C42"/>
    <mergeCell ref="L5:M6"/>
    <mergeCell ref="A3:C3"/>
    <mergeCell ref="F22:F24"/>
  </mergeCells>
  <hyperlinks>
    <hyperlink ref="B42" r:id="rId1"/>
  </hyperlinks>
  <pageMargins left="0.75" right="0.75" top="1" bottom="1" header="0.5" footer="0.5"/>
  <pageSetup paperSize="9" orientation="portrait" r:id="rId2"/>
  <headerFooter alignWithMargins="0"/>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4.5" outlineLevelCol="1"/>
  <cols>
    <col min="1" max="1" width="29.1796875" customWidth="1"/>
    <col min="2" max="10" width="11.26953125" customWidth="1"/>
    <col min="11" max="11" width="9.1796875" style="340"/>
    <col min="12" max="19" width="9.1796875" style="336" customWidth="1" outlineLevel="1"/>
    <col min="20" max="20" width="18.26953125" style="340" customWidth="1"/>
    <col min="21" max="21" width="9.1796875" style="342"/>
    <col min="22" max="22" width="9.1796875" style="336" customWidth="1" outlineLevel="1"/>
    <col min="23" max="29" width="9.1796875" customWidth="1" outlineLevel="1"/>
    <col min="30" max="30" width="26.81640625" style="340" customWidth="1"/>
    <col min="31" max="31" width="9.1796875" style="340"/>
    <col min="32" max="32" width="9.1796875" style="335" customWidth="1" outlineLevel="1"/>
    <col min="33" max="39" width="9.1796875" customWidth="1" outlineLevel="1"/>
    <col min="40" max="40" width="26.7265625" style="340" customWidth="1"/>
  </cols>
  <sheetData>
    <row r="1" spans="1:40">
      <c r="A1" s="1" t="s">
        <v>50</v>
      </c>
      <c r="L1" s="1597" t="s">
        <v>1056</v>
      </c>
      <c r="M1" s="1598"/>
      <c r="N1" s="1598"/>
      <c r="O1" s="1598"/>
      <c r="P1" s="1598"/>
      <c r="Q1" s="1598"/>
      <c r="R1" s="1598"/>
      <c r="S1" s="1598"/>
      <c r="T1" s="1599"/>
      <c r="V1" s="1597" t="s">
        <v>1057</v>
      </c>
      <c r="W1" s="1598"/>
      <c r="X1" s="1598"/>
      <c r="Y1" s="1598"/>
      <c r="Z1" s="1598"/>
      <c r="AA1" s="1598"/>
      <c r="AB1" s="1598"/>
      <c r="AC1" s="1598"/>
      <c r="AD1" s="1599"/>
      <c r="AF1" s="1597" t="s">
        <v>1058</v>
      </c>
      <c r="AG1" s="1598"/>
      <c r="AH1" s="1598"/>
      <c r="AI1" s="1598"/>
      <c r="AJ1" s="1598"/>
      <c r="AK1" s="1598"/>
      <c r="AL1" s="1598"/>
      <c r="AM1" s="1598"/>
      <c r="AN1" s="1599"/>
    </row>
    <row r="2" spans="1:40" ht="15" thickBot="1">
      <c r="A2" s="2" t="s">
        <v>8</v>
      </c>
    </row>
    <row r="3" spans="1:40" ht="15.5" thickTop="1" thickBot="1">
      <c r="A3" s="1585" t="s">
        <v>55</v>
      </c>
      <c r="B3" s="1587" t="s">
        <v>2</v>
      </c>
      <c r="C3" s="1593"/>
      <c r="D3" s="1593"/>
      <c r="E3" s="1593"/>
      <c r="F3" s="1593"/>
      <c r="G3" s="1593"/>
      <c r="H3" s="1593"/>
      <c r="I3" s="1593"/>
      <c r="J3" s="1588"/>
      <c r="K3" s="344"/>
    </row>
    <row r="4" spans="1:40" ht="60.75" customHeight="1" thickTop="1" thickBot="1">
      <c r="A4" s="1592"/>
      <c r="B4" s="10" t="s">
        <v>51</v>
      </c>
      <c r="C4" s="137" t="s">
        <v>495</v>
      </c>
      <c r="D4" s="10" t="s">
        <v>52</v>
      </c>
      <c r="E4" s="137" t="s">
        <v>494</v>
      </c>
      <c r="F4" s="10" t="s">
        <v>53</v>
      </c>
      <c r="G4" s="10" t="s">
        <v>54</v>
      </c>
      <c r="H4" s="11" t="s">
        <v>446</v>
      </c>
      <c r="I4" s="10" t="s">
        <v>447</v>
      </c>
      <c r="J4" s="10" t="s">
        <v>14</v>
      </c>
      <c r="K4" s="336"/>
      <c r="L4" s="59" t="s">
        <v>51</v>
      </c>
      <c r="M4" s="387" t="s">
        <v>495</v>
      </c>
      <c r="N4" s="59" t="s">
        <v>52</v>
      </c>
      <c r="O4" s="387" t="s">
        <v>494</v>
      </c>
      <c r="P4" s="59" t="s">
        <v>53</v>
      </c>
      <c r="Q4" s="59" t="s">
        <v>54</v>
      </c>
      <c r="R4" s="387" t="s">
        <v>446</v>
      </c>
      <c r="S4" s="59" t="s">
        <v>447</v>
      </c>
      <c r="T4" s="59" t="s">
        <v>14</v>
      </c>
      <c r="U4" s="336"/>
      <c r="V4" s="59" t="s">
        <v>51</v>
      </c>
      <c r="W4" s="387" t="s">
        <v>495</v>
      </c>
      <c r="X4" s="59" t="s">
        <v>52</v>
      </c>
      <c r="Y4" s="387" t="s">
        <v>494</v>
      </c>
      <c r="Z4" s="59" t="s">
        <v>53</v>
      </c>
      <c r="AA4" s="59" t="s">
        <v>54</v>
      </c>
      <c r="AB4" s="387" t="s">
        <v>446</v>
      </c>
      <c r="AC4" s="59" t="s">
        <v>447</v>
      </c>
      <c r="AD4" s="59" t="s">
        <v>14</v>
      </c>
      <c r="AE4" s="336"/>
      <c r="AF4" s="59" t="s">
        <v>51</v>
      </c>
      <c r="AG4" s="387" t="s">
        <v>495</v>
      </c>
      <c r="AH4" s="59" t="s">
        <v>52</v>
      </c>
      <c r="AI4" s="387" t="s">
        <v>494</v>
      </c>
      <c r="AJ4" s="59" t="s">
        <v>53</v>
      </c>
      <c r="AK4" s="59" t="s">
        <v>54</v>
      </c>
      <c r="AL4" s="387" t="s">
        <v>446</v>
      </c>
      <c r="AM4" s="59" t="s">
        <v>447</v>
      </c>
      <c r="AN4" s="59" t="s">
        <v>14</v>
      </c>
    </row>
    <row r="5" spans="1:40" ht="15" customHeight="1" thickTop="1" thickBot="1">
      <c r="A5" s="41" t="s">
        <v>25</v>
      </c>
      <c r="B5" s="42"/>
      <c r="C5" s="42"/>
      <c r="D5" s="42"/>
      <c r="E5" s="42"/>
      <c r="F5" s="42"/>
      <c r="G5" s="42"/>
      <c r="H5" s="42"/>
      <c r="I5" s="42"/>
      <c r="J5" s="43"/>
      <c r="K5" s="344"/>
    </row>
    <row r="6" spans="1:40" ht="15" customHeight="1" thickTop="1" thickBot="1">
      <c r="A6" s="44" t="s">
        <v>26</v>
      </c>
      <c r="B6" s="22"/>
      <c r="C6" s="22"/>
      <c r="D6" s="22"/>
      <c r="E6" s="22"/>
      <c r="F6" s="45"/>
      <c r="G6" s="22"/>
      <c r="H6" s="22"/>
      <c r="I6" s="22"/>
      <c r="J6" s="15">
        <f>SUM(B6:H6)</f>
        <v>0</v>
      </c>
      <c r="T6" s="341">
        <f>SUM(B6:I6)-J6</f>
        <v>0</v>
      </c>
      <c r="V6" s="337">
        <f>B6-B34</f>
        <v>0</v>
      </c>
      <c r="W6" s="337">
        <f t="shared" ref="W6:AB6" si="0">C6-C34</f>
        <v>0</v>
      </c>
      <c r="X6" s="337">
        <f t="shared" si="0"/>
        <v>0</v>
      </c>
      <c r="Y6" s="337">
        <f t="shared" si="0"/>
        <v>0</v>
      </c>
      <c r="Z6" s="337">
        <f t="shared" si="0"/>
        <v>0</v>
      </c>
      <c r="AA6" s="337">
        <f t="shared" si="0"/>
        <v>0</v>
      </c>
      <c r="AB6" s="337">
        <f t="shared" si="0"/>
        <v>0</v>
      </c>
      <c r="AC6" s="337">
        <f>I6-I34</f>
        <v>0</v>
      </c>
      <c r="AD6" s="341">
        <f>J6-J34</f>
        <v>0</v>
      </c>
    </row>
    <row r="7" spans="1:40" ht="15" customHeight="1" thickBot="1">
      <c r="A7" s="14" t="s">
        <v>27</v>
      </c>
      <c r="B7" s="22"/>
      <c r="C7" s="22"/>
      <c r="D7" s="22"/>
      <c r="E7" s="22"/>
      <c r="F7" s="46"/>
      <c r="G7" s="22"/>
      <c r="H7" s="22"/>
      <c r="I7" s="22"/>
      <c r="J7" s="15">
        <f t="shared" ref="J7:J9" si="1">SUM(B7:H7)</f>
        <v>0</v>
      </c>
      <c r="T7" s="341">
        <f t="shared" ref="T7:T9" si="2">SUM(B7:I7)-J7</f>
        <v>0</v>
      </c>
      <c r="W7" s="336"/>
      <c r="X7" s="336"/>
      <c r="Y7" s="336"/>
      <c r="Z7" s="336"/>
      <c r="AA7" s="336"/>
      <c r="AB7" s="336"/>
      <c r="AC7" s="336"/>
    </row>
    <row r="8" spans="1:40" ht="15" customHeight="1" thickBot="1">
      <c r="A8" s="14" t="s">
        <v>28</v>
      </c>
      <c r="B8" s="22"/>
      <c r="C8" s="22"/>
      <c r="D8" s="22"/>
      <c r="E8" s="22"/>
      <c r="F8" s="46"/>
      <c r="G8" s="22"/>
      <c r="H8" s="22"/>
      <c r="I8" s="22"/>
      <c r="J8" s="15">
        <f t="shared" si="1"/>
        <v>0</v>
      </c>
      <c r="T8" s="341">
        <f t="shared" si="2"/>
        <v>0</v>
      </c>
      <c r="W8" s="336"/>
      <c r="X8" s="336"/>
      <c r="Y8" s="336"/>
      <c r="Z8" s="336"/>
      <c r="AA8" s="336"/>
      <c r="AB8" s="336"/>
      <c r="AC8" s="336"/>
    </row>
    <row r="9" spans="1:40" ht="15" customHeight="1" thickBot="1">
      <c r="A9" s="14" t="s">
        <v>29</v>
      </c>
      <c r="B9" s="22"/>
      <c r="C9" s="22"/>
      <c r="D9" s="22"/>
      <c r="E9" s="22"/>
      <c r="F9" s="46"/>
      <c r="G9" s="22"/>
      <c r="H9" s="22"/>
      <c r="I9" s="22"/>
      <c r="J9" s="15">
        <f t="shared" si="1"/>
        <v>0</v>
      </c>
      <c r="T9" s="341">
        <f t="shared" si="2"/>
        <v>0</v>
      </c>
      <c r="W9" s="336"/>
      <c r="X9" s="336"/>
      <c r="Y9" s="336"/>
      <c r="Z9" s="336"/>
      <c r="AA9" s="336"/>
      <c r="AB9" s="336"/>
      <c r="AC9" s="336"/>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338">
        <f>B6+B7-B8+B9-B10</f>
        <v>0</v>
      </c>
      <c r="M10" s="337">
        <f t="shared" ref="M10:T10" si="4">C6+C7-C8+C9-C10</f>
        <v>0</v>
      </c>
      <c r="N10" s="337">
        <f t="shared" si="4"/>
        <v>0</v>
      </c>
      <c r="O10" s="337">
        <f t="shared" si="4"/>
        <v>0</v>
      </c>
      <c r="P10" s="337">
        <f t="shared" si="4"/>
        <v>0</v>
      </c>
      <c r="Q10" s="337">
        <f t="shared" si="4"/>
        <v>0</v>
      </c>
      <c r="R10" s="337">
        <f t="shared" si="4"/>
        <v>0</v>
      </c>
      <c r="S10" s="337">
        <f t="shared" si="4"/>
        <v>0</v>
      </c>
      <c r="T10" s="337">
        <f t="shared" si="4"/>
        <v>0</v>
      </c>
      <c r="W10" s="336"/>
      <c r="X10" s="336"/>
      <c r="Y10" s="336"/>
      <c r="Z10" s="336"/>
      <c r="AA10" s="336"/>
      <c r="AB10" s="336"/>
      <c r="AC10" s="336"/>
      <c r="AF10" s="338">
        <f>B10-'BS old'!$D$31</f>
        <v>0</v>
      </c>
      <c r="AG10" s="337">
        <f>C10-'BS old'!$D$32</f>
        <v>0</v>
      </c>
      <c r="AH10" s="337">
        <f>D10-'BS old'!$D$33</f>
        <v>0</v>
      </c>
      <c r="AI10" s="337">
        <f>E10-'BS old'!$D$34</f>
        <v>0</v>
      </c>
      <c r="AJ10" s="337">
        <f>F10-'BS old'!$D$35</f>
        <v>0</v>
      </c>
      <c r="AK10" s="337">
        <f>G10-'BS old'!$D$36</f>
        <v>0</v>
      </c>
      <c r="AL10" s="337">
        <f>H10-'BS old'!$D$37</f>
        <v>0</v>
      </c>
      <c r="AM10" s="337">
        <f>I10-'BS old'!$D$38</f>
        <v>0</v>
      </c>
      <c r="AN10" s="341">
        <f>J10-'BS old'!$D$30</f>
        <v>0</v>
      </c>
    </row>
    <row r="11" spans="1:40" ht="15" customHeight="1" thickTop="1" thickBot="1">
      <c r="A11" s="41" t="s">
        <v>31</v>
      </c>
      <c r="B11" s="42"/>
      <c r="C11" s="42"/>
      <c r="D11" s="42"/>
      <c r="E11" s="42"/>
      <c r="F11" s="42"/>
      <c r="G11" s="42"/>
      <c r="H11" s="42"/>
      <c r="I11" s="42"/>
      <c r="J11" s="43"/>
      <c r="L11" s="335"/>
      <c r="T11" s="341"/>
      <c r="W11" s="336"/>
      <c r="X11" s="336"/>
      <c r="Y11" s="336"/>
      <c r="Z11" s="336"/>
      <c r="AA11" s="336"/>
      <c r="AB11" s="336"/>
      <c r="AC11" s="336"/>
    </row>
    <row r="12" spans="1:40" ht="15" customHeight="1" thickTop="1" thickBot="1">
      <c r="A12" s="44" t="s">
        <v>32</v>
      </c>
      <c r="B12" s="22"/>
      <c r="C12" s="22"/>
      <c r="D12" s="22"/>
      <c r="E12" s="22"/>
      <c r="F12" s="22"/>
      <c r="G12" s="22"/>
      <c r="H12" s="22"/>
      <c r="I12" s="22"/>
      <c r="J12" s="15">
        <f>SUM(B12:H12)</f>
        <v>0</v>
      </c>
      <c r="L12" s="335"/>
      <c r="T12" s="341">
        <f t="shared" ref="T12:T14" si="5">SUM(B12:I12)-J12</f>
        <v>0</v>
      </c>
      <c r="V12" s="337">
        <f>B12-B39</f>
        <v>0</v>
      </c>
      <c r="W12" s="337">
        <f t="shared" ref="W12:AB12" si="6">C12-C39</f>
        <v>0</v>
      </c>
      <c r="X12" s="337">
        <f t="shared" si="6"/>
        <v>0</v>
      </c>
      <c r="Y12" s="337">
        <f t="shared" si="6"/>
        <v>0</v>
      </c>
      <c r="Z12" s="337">
        <f>F12-F39</f>
        <v>0</v>
      </c>
      <c r="AA12" s="337">
        <f t="shared" si="6"/>
        <v>0</v>
      </c>
      <c r="AB12" s="337">
        <f t="shared" si="6"/>
        <v>0</v>
      </c>
      <c r="AC12" s="337">
        <f>I12-I39</f>
        <v>0</v>
      </c>
      <c r="AD12" s="341">
        <f>J12-J39</f>
        <v>0</v>
      </c>
    </row>
    <row r="13" spans="1:40" ht="15" customHeight="1" thickBot="1">
      <c r="A13" s="14" t="s">
        <v>27</v>
      </c>
      <c r="B13" s="22"/>
      <c r="C13" s="22"/>
      <c r="D13" s="22"/>
      <c r="E13" s="22"/>
      <c r="F13" s="22"/>
      <c r="G13" s="22"/>
      <c r="H13" s="22"/>
      <c r="I13" s="22"/>
      <c r="J13" s="15">
        <f t="shared" ref="J13:J14" si="7">SUM(B13:H13)</f>
        <v>0</v>
      </c>
      <c r="L13" s="335"/>
      <c r="T13" s="341">
        <f t="shared" si="5"/>
        <v>0</v>
      </c>
      <c r="W13" s="336"/>
      <c r="X13" s="336"/>
      <c r="Y13" s="336"/>
      <c r="Z13" s="336"/>
      <c r="AA13" s="336"/>
      <c r="AB13" s="336"/>
      <c r="AC13" s="336"/>
    </row>
    <row r="14" spans="1:40" ht="15" customHeight="1" thickBot="1">
      <c r="A14" s="14" t="s">
        <v>28</v>
      </c>
      <c r="B14" s="22"/>
      <c r="C14" s="22"/>
      <c r="D14" s="22"/>
      <c r="E14" s="22"/>
      <c r="F14" s="22"/>
      <c r="G14" s="22"/>
      <c r="H14" s="22"/>
      <c r="I14" s="22"/>
      <c r="J14" s="15">
        <f t="shared" si="7"/>
        <v>0</v>
      </c>
      <c r="L14" s="335"/>
      <c r="T14" s="341">
        <f t="shared" si="5"/>
        <v>0</v>
      </c>
      <c r="W14" s="336"/>
      <c r="X14" s="336"/>
      <c r="Y14" s="336"/>
      <c r="Z14" s="336"/>
      <c r="AA14" s="336"/>
      <c r="AB14" s="336"/>
      <c r="AC14" s="336"/>
      <c r="AF14" s="343" t="s">
        <v>1059</v>
      </c>
    </row>
    <row r="15" spans="1:40" ht="15" customHeight="1" thickBot="1">
      <c r="A15" s="25" t="s">
        <v>30</v>
      </c>
      <c r="B15" s="26">
        <f>B12+B13-B14</f>
        <v>0</v>
      </c>
      <c r="C15" s="26">
        <f>C12+C13-C14</f>
        <v>0</v>
      </c>
      <c r="D15" s="26">
        <f t="shared" ref="D15:I15" si="8">D12+D13-D14</f>
        <v>0</v>
      </c>
      <c r="E15" s="26">
        <f t="shared" si="8"/>
        <v>0</v>
      </c>
      <c r="F15" s="26">
        <f t="shared" si="8"/>
        <v>0</v>
      </c>
      <c r="G15" s="26">
        <f>G12+G13-G14</f>
        <v>0</v>
      </c>
      <c r="H15" s="26">
        <f t="shared" si="8"/>
        <v>0</v>
      </c>
      <c r="I15" s="26">
        <f t="shared" si="8"/>
        <v>0</v>
      </c>
      <c r="J15" s="17">
        <f>J12+J13-J14</f>
        <v>0</v>
      </c>
      <c r="L15" s="338">
        <f>B12+B13-B14-B15</f>
        <v>0</v>
      </c>
      <c r="M15" s="337">
        <f t="shared" ref="M15:T15" si="9">C12+C13-C14-C15</f>
        <v>0</v>
      </c>
      <c r="N15" s="337">
        <f t="shared" si="9"/>
        <v>0</v>
      </c>
      <c r="O15" s="337">
        <f t="shared" si="9"/>
        <v>0</v>
      </c>
      <c r="P15" s="337">
        <f t="shared" si="9"/>
        <v>0</v>
      </c>
      <c r="Q15" s="337">
        <f t="shared" si="9"/>
        <v>0</v>
      </c>
      <c r="R15" s="337">
        <f t="shared" si="9"/>
        <v>0</v>
      </c>
      <c r="S15" s="337">
        <f t="shared" si="9"/>
        <v>0</v>
      </c>
      <c r="T15" s="337">
        <f t="shared" si="9"/>
        <v>0</v>
      </c>
      <c r="W15" s="336"/>
      <c r="X15" s="336"/>
      <c r="Y15" s="336"/>
      <c r="Z15" s="336"/>
      <c r="AA15" s="336"/>
      <c r="AB15" s="336"/>
      <c r="AC15" s="336"/>
      <c r="AF15" s="338">
        <f>B15+B20-'BS old'!$E$31</f>
        <v>0</v>
      </c>
      <c r="AG15" s="337">
        <f>C15+C20-'BS old'!$E$32</f>
        <v>0</v>
      </c>
      <c r="AH15" s="337">
        <f>D15+D20-'BS old'!$E$33</f>
        <v>0</v>
      </c>
      <c r="AI15" s="337">
        <f>E15+E20-'BS old'!$E$34</f>
        <v>0</v>
      </c>
      <c r="AJ15" s="337">
        <f>F15+F20-'BS old'!$E$35</f>
        <v>0</v>
      </c>
      <c r="AK15" s="337">
        <f>G15+G20-'BS old'!$E$36</f>
        <v>0</v>
      </c>
      <c r="AL15" s="337">
        <f>H15+H20-'BS old'!$E$37</f>
        <v>0</v>
      </c>
      <c r="AM15" s="337">
        <f>I15+I20-'BS old'!$E$38</f>
        <v>0</v>
      </c>
      <c r="AN15" s="341">
        <f>J15+J20-'BS old'!$E$30</f>
        <v>0</v>
      </c>
    </row>
    <row r="16" spans="1:40" ht="15" customHeight="1" thickTop="1" thickBot="1">
      <c r="A16" s="41" t="s">
        <v>33</v>
      </c>
      <c r="B16" s="42"/>
      <c r="C16" s="42"/>
      <c r="D16" s="42"/>
      <c r="E16" s="42"/>
      <c r="F16" s="42"/>
      <c r="G16" s="42"/>
      <c r="H16" s="42"/>
      <c r="I16" s="42"/>
      <c r="J16" s="43"/>
      <c r="L16" s="335"/>
      <c r="T16" s="341"/>
      <c r="W16" s="336"/>
      <c r="X16" s="336"/>
      <c r="Y16" s="336"/>
      <c r="Z16" s="336"/>
      <c r="AA16" s="336"/>
      <c r="AB16" s="336"/>
      <c r="AC16" s="336"/>
      <c r="AG16" s="336"/>
      <c r="AH16" s="336"/>
      <c r="AI16" s="336"/>
      <c r="AJ16" s="336"/>
      <c r="AK16" s="336"/>
      <c r="AL16" s="336"/>
    </row>
    <row r="17" spans="1:40" ht="15" customHeight="1" thickTop="1" thickBot="1">
      <c r="A17" s="44" t="s">
        <v>32</v>
      </c>
      <c r="B17" s="22"/>
      <c r="C17" s="22"/>
      <c r="D17" s="22"/>
      <c r="E17" s="22"/>
      <c r="F17" s="22"/>
      <c r="G17" s="22"/>
      <c r="H17" s="22"/>
      <c r="I17" s="22"/>
      <c r="J17" s="15">
        <f>SUM(B17:H17)</f>
        <v>0</v>
      </c>
      <c r="L17" s="335"/>
      <c r="T17" s="341">
        <f t="shared" ref="T17:T19" si="10">SUM(B17:I17)-J17</f>
        <v>0</v>
      </c>
      <c r="V17" s="337">
        <f>B17-B44</f>
        <v>0</v>
      </c>
      <c r="W17" s="337">
        <f t="shared" ref="W17:AB17" si="11">C17-C44</f>
        <v>0</v>
      </c>
      <c r="X17" s="337">
        <f t="shared" si="11"/>
        <v>0</v>
      </c>
      <c r="Y17" s="337">
        <f t="shared" si="11"/>
        <v>0</v>
      </c>
      <c r="Z17" s="337">
        <f t="shared" si="11"/>
        <v>0</v>
      </c>
      <c r="AA17" s="337">
        <f t="shared" si="11"/>
        <v>0</v>
      </c>
      <c r="AB17" s="337">
        <f t="shared" si="11"/>
        <v>0</v>
      </c>
      <c r="AC17" s="337">
        <f>I17-I44</f>
        <v>0</v>
      </c>
      <c r="AD17" s="341">
        <f>J17-J44</f>
        <v>0</v>
      </c>
      <c r="AG17" s="336"/>
      <c r="AH17" s="336"/>
      <c r="AI17" s="336"/>
      <c r="AJ17" s="336"/>
      <c r="AK17" s="336"/>
      <c r="AL17" s="336"/>
    </row>
    <row r="18" spans="1:40" ht="15" customHeight="1" thickBot="1">
      <c r="A18" s="14" t="s">
        <v>27</v>
      </c>
      <c r="B18" s="22"/>
      <c r="C18" s="22"/>
      <c r="D18" s="22"/>
      <c r="E18" s="22"/>
      <c r="F18" s="22"/>
      <c r="G18" s="22"/>
      <c r="H18" s="22"/>
      <c r="I18" s="22"/>
      <c r="J18" s="15">
        <f t="shared" ref="J18:J19" si="12">SUM(B18:H18)</f>
        <v>0</v>
      </c>
      <c r="L18" s="335"/>
      <c r="T18" s="341">
        <f t="shared" si="10"/>
        <v>0</v>
      </c>
      <c r="W18" s="336"/>
      <c r="X18" s="336"/>
      <c r="Y18" s="336"/>
      <c r="Z18" s="336"/>
      <c r="AA18" s="336"/>
      <c r="AB18" s="336"/>
      <c r="AC18" s="336"/>
      <c r="AG18" s="336"/>
      <c r="AH18" s="336"/>
      <c r="AI18" s="336"/>
      <c r="AJ18" s="336"/>
      <c r="AK18" s="336"/>
      <c r="AL18" s="336"/>
    </row>
    <row r="19" spans="1:40" ht="15" customHeight="1" thickBot="1">
      <c r="A19" s="14" t="s">
        <v>28</v>
      </c>
      <c r="B19" s="22"/>
      <c r="C19" s="22"/>
      <c r="D19" s="22"/>
      <c r="E19" s="22"/>
      <c r="F19" s="22"/>
      <c r="G19" s="22"/>
      <c r="H19" s="22"/>
      <c r="I19" s="22"/>
      <c r="J19" s="15">
        <f t="shared" si="12"/>
        <v>0</v>
      </c>
      <c r="L19" s="335"/>
      <c r="T19" s="341">
        <f t="shared" si="10"/>
        <v>0</v>
      </c>
      <c r="W19" s="336"/>
      <c r="X19" s="336"/>
      <c r="Y19" s="336"/>
      <c r="Z19" s="336"/>
      <c r="AA19" s="336"/>
      <c r="AB19" s="336"/>
      <c r="AC19" s="336"/>
      <c r="AG19" s="336"/>
      <c r="AH19" s="336"/>
      <c r="AI19" s="336"/>
      <c r="AJ19" s="336"/>
      <c r="AK19" s="336"/>
      <c r="AL19" s="336"/>
    </row>
    <row r="20" spans="1:40" ht="15" customHeight="1" thickBot="1">
      <c r="A20" s="25" t="s">
        <v>30</v>
      </c>
      <c r="B20" s="26">
        <f>B17+B18-B19</f>
        <v>0</v>
      </c>
      <c r="C20" s="26">
        <f>C17+C18-C19</f>
        <v>0</v>
      </c>
      <c r="D20" s="26">
        <f t="shared" ref="D20" si="13">D17+D18-D19</f>
        <v>0</v>
      </c>
      <c r="E20" s="26">
        <f t="shared" ref="E20" si="14">E17+E18-E19</f>
        <v>0</v>
      </c>
      <c r="F20" s="26">
        <f t="shared" ref="F20" si="15">F17+F18-F19</f>
        <v>0</v>
      </c>
      <c r="G20" s="26">
        <f t="shared" ref="G20" si="16">G17+G18-G19</f>
        <v>0</v>
      </c>
      <c r="H20" s="26">
        <f t="shared" ref="H20" si="17">H17+H18-H19</f>
        <v>0</v>
      </c>
      <c r="I20" s="26">
        <f t="shared" ref="I20" si="18">I17+I18-I19</f>
        <v>0</v>
      </c>
      <c r="J20" s="17">
        <f>J17+J18-J19</f>
        <v>0</v>
      </c>
      <c r="L20" s="338">
        <f>B17+B18-B19-B20</f>
        <v>0</v>
      </c>
      <c r="M20" s="337">
        <f t="shared" ref="M20:T20" si="19">C17+C18-C19-C20</f>
        <v>0</v>
      </c>
      <c r="N20" s="337">
        <f t="shared" si="19"/>
        <v>0</v>
      </c>
      <c r="O20" s="337">
        <f t="shared" si="19"/>
        <v>0</v>
      </c>
      <c r="P20" s="337">
        <f t="shared" si="19"/>
        <v>0</v>
      </c>
      <c r="Q20" s="337">
        <f t="shared" si="19"/>
        <v>0</v>
      </c>
      <c r="R20" s="337">
        <f t="shared" si="19"/>
        <v>0</v>
      </c>
      <c r="S20" s="337">
        <f t="shared" si="19"/>
        <v>0</v>
      </c>
      <c r="T20" s="337">
        <f t="shared" si="19"/>
        <v>0</v>
      </c>
      <c r="W20" s="336"/>
      <c r="X20" s="336"/>
      <c r="Y20" s="336"/>
      <c r="Z20" s="336"/>
      <c r="AA20" s="336"/>
      <c r="AB20" s="336"/>
      <c r="AC20" s="336"/>
      <c r="AG20" s="336"/>
      <c r="AH20" s="336"/>
      <c r="AI20" s="336"/>
      <c r="AJ20" s="336"/>
      <c r="AK20" s="336"/>
      <c r="AL20" s="336"/>
    </row>
    <row r="21" spans="1:40" ht="15" customHeight="1" thickTop="1" thickBot="1">
      <c r="A21" s="41" t="s">
        <v>34</v>
      </c>
      <c r="B21" s="42"/>
      <c r="C21" s="42"/>
      <c r="D21" s="42"/>
      <c r="E21" s="42"/>
      <c r="F21" s="42"/>
      <c r="G21" s="42"/>
      <c r="H21" s="42"/>
      <c r="I21" s="42"/>
      <c r="J21" s="43"/>
      <c r="L21" s="335"/>
      <c r="T21" s="341"/>
      <c r="W21" s="336"/>
      <c r="X21" s="336"/>
      <c r="Y21" s="336"/>
      <c r="Z21" s="336"/>
      <c r="AA21" s="336"/>
      <c r="AB21" s="336"/>
      <c r="AC21" s="336"/>
      <c r="AG21" s="336"/>
      <c r="AH21" s="336"/>
      <c r="AI21" s="336"/>
      <c r="AJ21" s="336"/>
      <c r="AK21" s="336"/>
      <c r="AL21" s="336"/>
    </row>
    <row r="22" spans="1:40" ht="15" customHeight="1" thickTop="1" thickBot="1">
      <c r="A22" s="44" t="s">
        <v>32</v>
      </c>
      <c r="B22" s="22">
        <f>B6-B12-B17</f>
        <v>0</v>
      </c>
      <c r="C22" s="22">
        <f t="shared" ref="C22:J22" si="20">C6-C12-C17</f>
        <v>0</v>
      </c>
      <c r="D22" s="22">
        <f t="shared" si="20"/>
        <v>0</v>
      </c>
      <c r="E22" s="22">
        <f t="shared" si="20"/>
        <v>0</v>
      </c>
      <c r="F22" s="22">
        <f t="shared" si="20"/>
        <v>0</v>
      </c>
      <c r="G22" s="22">
        <f t="shared" si="20"/>
        <v>0</v>
      </c>
      <c r="H22" s="22">
        <f t="shared" si="20"/>
        <v>0</v>
      </c>
      <c r="I22" s="22">
        <f t="shared" si="20"/>
        <v>0</v>
      </c>
      <c r="J22" s="15">
        <f t="shared" si="20"/>
        <v>0</v>
      </c>
      <c r="L22" s="338">
        <f>B6-B12-B17-B22</f>
        <v>0</v>
      </c>
      <c r="M22" s="337">
        <f t="shared" ref="M22:S22" si="21">C6-C12-C17-C22</f>
        <v>0</v>
      </c>
      <c r="N22" s="337">
        <f t="shared" si="21"/>
        <v>0</v>
      </c>
      <c r="O22" s="337">
        <f t="shared" si="21"/>
        <v>0</v>
      </c>
      <c r="P22" s="337">
        <f t="shared" si="21"/>
        <v>0</v>
      </c>
      <c r="Q22" s="337">
        <f t="shared" si="21"/>
        <v>0</v>
      </c>
      <c r="R22" s="337">
        <f t="shared" si="21"/>
        <v>0</v>
      </c>
      <c r="S22" s="337">
        <f t="shared" si="21"/>
        <v>0</v>
      </c>
      <c r="T22" s="341">
        <f t="shared" ref="T22:T23" si="22">SUM(B22:I22)-J22</f>
        <v>0</v>
      </c>
      <c r="V22" s="337">
        <f>B22-B47</f>
        <v>0</v>
      </c>
      <c r="W22" s="337">
        <f t="shared" ref="W22:AB22" si="23">C22-C47</f>
        <v>0</v>
      </c>
      <c r="X22" s="337">
        <f t="shared" si="23"/>
        <v>0</v>
      </c>
      <c r="Y22" s="337">
        <f t="shared" si="23"/>
        <v>0</v>
      </c>
      <c r="Z22" s="337">
        <f t="shared" si="23"/>
        <v>0</v>
      </c>
      <c r="AA22" s="337">
        <f t="shared" si="23"/>
        <v>0</v>
      </c>
      <c r="AB22" s="337">
        <f t="shared" si="23"/>
        <v>0</v>
      </c>
      <c r="AC22" s="337">
        <f>I22-I47</f>
        <v>0</v>
      </c>
      <c r="AD22" s="341">
        <f>J22-J47</f>
        <v>0</v>
      </c>
      <c r="AG22" s="336"/>
      <c r="AH22" s="336"/>
      <c r="AI22" s="336"/>
      <c r="AJ22" s="336"/>
      <c r="AK22" s="336"/>
      <c r="AL22" s="336"/>
    </row>
    <row r="23" spans="1:40" ht="15" customHeight="1" thickBot="1">
      <c r="A23" s="25" t="s">
        <v>30</v>
      </c>
      <c r="B23" s="26">
        <f>B10-B15-B20</f>
        <v>0</v>
      </c>
      <c r="C23" s="26">
        <f t="shared" ref="C23:J23" si="24">C10-C15-C20</f>
        <v>0</v>
      </c>
      <c r="D23" s="26">
        <f t="shared" si="24"/>
        <v>0</v>
      </c>
      <c r="E23" s="26">
        <f t="shared" si="24"/>
        <v>0</v>
      </c>
      <c r="F23" s="26">
        <f t="shared" si="24"/>
        <v>0</v>
      </c>
      <c r="G23" s="26">
        <f t="shared" si="24"/>
        <v>0</v>
      </c>
      <c r="H23" s="26">
        <f t="shared" si="24"/>
        <v>0</v>
      </c>
      <c r="I23" s="26">
        <f t="shared" si="24"/>
        <v>0</v>
      </c>
      <c r="J23" s="17">
        <f t="shared" si="24"/>
        <v>0</v>
      </c>
      <c r="L23" s="338">
        <f>B10-B15-B20-B23</f>
        <v>0</v>
      </c>
      <c r="M23" s="337">
        <f t="shared" ref="M23:S23" si="25">C10-C15-C20-C23</f>
        <v>0</v>
      </c>
      <c r="N23" s="337">
        <f t="shared" si="25"/>
        <v>0</v>
      </c>
      <c r="O23" s="337">
        <f t="shared" si="25"/>
        <v>0</v>
      </c>
      <c r="P23" s="337">
        <f t="shared" si="25"/>
        <v>0</v>
      </c>
      <c r="Q23" s="337">
        <f t="shared" si="25"/>
        <v>0</v>
      </c>
      <c r="R23" s="337">
        <f t="shared" si="25"/>
        <v>0</v>
      </c>
      <c r="S23" s="337">
        <f t="shared" si="25"/>
        <v>0</v>
      </c>
      <c r="T23" s="341">
        <f t="shared" si="22"/>
        <v>0</v>
      </c>
      <c r="AF23" s="338">
        <f>B23-'BS old'!$F$31</f>
        <v>0</v>
      </c>
      <c r="AG23" s="337">
        <f>C23-'BS old'!$F$32</f>
        <v>0</v>
      </c>
      <c r="AH23" s="337">
        <f>D23-'BS old'!$F$33</f>
        <v>0</v>
      </c>
      <c r="AI23" s="337">
        <f>E23-'BS old'!$F$34</f>
        <v>0</v>
      </c>
      <c r="AJ23" s="337">
        <f>F23-'BS old'!$F$35</f>
        <v>0</v>
      </c>
      <c r="AK23" s="337">
        <f>G23-'BS old'!$F$36</f>
        <v>0</v>
      </c>
      <c r="AL23" s="337">
        <f>H23-'BS old'!$F$37</f>
        <v>0</v>
      </c>
      <c r="AM23" s="337">
        <f>I23-'BS old'!$F$38</f>
        <v>0</v>
      </c>
      <c r="AN23" s="341">
        <f>J23-'BS old'!$F$30</f>
        <v>0</v>
      </c>
    </row>
    <row r="24" spans="1:40" ht="15" thickTop="1">
      <c r="A24" s="20"/>
      <c r="B24" s="20"/>
      <c r="C24" s="20"/>
      <c r="D24" s="20"/>
      <c r="E24" s="20"/>
      <c r="F24" s="20"/>
      <c r="G24" s="20"/>
      <c r="H24" s="20"/>
      <c r="I24" s="20"/>
      <c r="J24" s="20"/>
    </row>
    <row r="25" spans="1:40">
      <c r="A25" s="20"/>
      <c r="B25" s="20"/>
      <c r="C25" s="20"/>
      <c r="D25" s="20"/>
      <c r="E25" s="20"/>
      <c r="F25" s="20"/>
      <c r="G25" s="20"/>
      <c r="H25" s="20"/>
      <c r="I25" s="20"/>
      <c r="J25" s="20"/>
    </row>
    <row r="26" spans="1:40" ht="15" thickBot="1">
      <c r="A26" s="20" t="s">
        <v>15</v>
      </c>
      <c r="B26" s="20"/>
      <c r="C26" s="20"/>
      <c r="D26" s="20"/>
      <c r="E26" s="20"/>
      <c r="F26" s="20"/>
      <c r="G26" s="20"/>
      <c r="H26" s="20"/>
      <c r="I26" s="20"/>
      <c r="J26" s="20"/>
    </row>
    <row r="27" spans="1:40" ht="15.5" thickTop="1" thickBot="1">
      <c r="A27" s="1585" t="s">
        <v>55</v>
      </c>
      <c r="B27" s="1587" t="s">
        <v>3</v>
      </c>
      <c r="C27" s="1593"/>
      <c r="D27" s="1593"/>
      <c r="E27" s="1593"/>
      <c r="F27" s="1593"/>
      <c r="G27" s="1593"/>
      <c r="H27" s="1593"/>
      <c r="I27" s="1593"/>
      <c r="J27" s="1588"/>
      <c r="K27" s="344"/>
    </row>
    <row r="28" spans="1:40" ht="60.75" customHeight="1" thickTop="1" thickBot="1">
      <c r="A28" s="1592"/>
      <c r="B28" s="136" t="s">
        <v>51</v>
      </c>
      <c r="C28" s="137" t="s">
        <v>495</v>
      </c>
      <c r="D28" s="136" t="s">
        <v>52</v>
      </c>
      <c r="E28" s="137" t="s">
        <v>494</v>
      </c>
      <c r="F28" s="136" t="s">
        <v>53</v>
      </c>
      <c r="G28" s="136" t="s">
        <v>54</v>
      </c>
      <c r="H28" s="137" t="s">
        <v>446</v>
      </c>
      <c r="I28" s="136" t="s">
        <v>447</v>
      </c>
      <c r="J28" s="136" t="s">
        <v>14</v>
      </c>
    </row>
    <row r="29" spans="1:40" ht="15" customHeight="1" thickTop="1" thickBot="1">
      <c r="A29" s="41" t="s">
        <v>25</v>
      </c>
      <c r="B29" s="42"/>
      <c r="C29" s="42"/>
      <c r="D29" s="42"/>
      <c r="E29" s="42"/>
      <c r="F29" s="42"/>
      <c r="G29" s="42"/>
      <c r="H29" s="42"/>
      <c r="I29" s="42"/>
      <c r="J29" s="43"/>
      <c r="K29" s="344"/>
    </row>
    <row r="30" spans="1:40" ht="15" customHeight="1" thickTop="1" thickBot="1">
      <c r="A30" s="44" t="s">
        <v>26</v>
      </c>
      <c r="B30" s="22"/>
      <c r="C30" s="22"/>
      <c r="D30" s="22"/>
      <c r="E30" s="22"/>
      <c r="F30" s="45"/>
      <c r="G30" s="22"/>
      <c r="H30" s="22"/>
      <c r="I30" s="22"/>
      <c r="J30" s="15">
        <f>SUM(B30:H30)</f>
        <v>0</v>
      </c>
      <c r="T30" s="341">
        <f>SUM(B30:I30)-J30</f>
        <v>0</v>
      </c>
    </row>
    <row r="31" spans="1:40" ht="15" customHeight="1" thickBot="1">
      <c r="A31" s="14" t="s">
        <v>27</v>
      </c>
      <c r="B31" s="22"/>
      <c r="C31" s="22"/>
      <c r="D31" s="22"/>
      <c r="E31" s="22"/>
      <c r="F31" s="46"/>
      <c r="G31" s="22"/>
      <c r="H31" s="22"/>
      <c r="I31" s="22"/>
      <c r="J31" s="15">
        <f t="shared" ref="J31:J33" si="26">SUM(B31:H31)</f>
        <v>0</v>
      </c>
      <c r="T31" s="341">
        <f t="shared" ref="T31:T33" si="27">SUM(B31:I31)-J31</f>
        <v>0</v>
      </c>
    </row>
    <row r="32" spans="1:40" ht="15" customHeight="1" thickBot="1">
      <c r="A32" s="14" t="s">
        <v>28</v>
      </c>
      <c r="B32" s="22"/>
      <c r="C32" s="22"/>
      <c r="D32" s="22"/>
      <c r="E32" s="22"/>
      <c r="F32" s="46"/>
      <c r="G32" s="22"/>
      <c r="H32" s="22"/>
      <c r="I32" s="22"/>
      <c r="J32" s="15">
        <f t="shared" si="26"/>
        <v>0</v>
      </c>
      <c r="T32" s="341">
        <f t="shared" si="27"/>
        <v>0</v>
      </c>
    </row>
    <row r="33" spans="1:40" ht="15" customHeight="1" thickBot="1">
      <c r="A33" s="14" t="s">
        <v>29</v>
      </c>
      <c r="B33" s="22"/>
      <c r="C33" s="22"/>
      <c r="D33" s="22"/>
      <c r="E33" s="22"/>
      <c r="F33" s="46"/>
      <c r="G33" s="22"/>
      <c r="H33" s="22"/>
      <c r="I33" s="22"/>
      <c r="J33" s="15">
        <f t="shared" si="26"/>
        <v>0</v>
      </c>
      <c r="T33" s="341">
        <f t="shared" si="27"/>
        <v>0</v>
      </c>
    </row>
    <row r="34" spans="1:40" ht="15" customHeight="1" thickBot="1">
      <c r="A34" s="25" t="s">
        <v>30</v>
      </c>
      <c r="B34" s="26">
        <f>B30+B31-B32+B33</f>
        <v>0</v>
      </c>
      <c r="C34" s="26">
        <f>C30+C31-C32+C33</f>
        <v>0</v>
      </c>
      <c r="D34" s="26">
        <f>D30+D31-D32+D33</f>
        <v>0</v>
      </c>
      <c r="E34" s="26">
        <f t="shared" ref="E34:H34" si="28">E30+E31-E32+E33</f>
        <v>0</v>
      </c>
      <c r="F34" s="26">
        <f t="shared" si="28"/>
        <v>0</v>
      </c>
      <c r="G34" s="26">
        <f t="shared" si="28"/>
        <v>0</v>
      </c>
      <c r="H34" s="26">
        <f t="shared" si="28"/>
        <v>0</v>
      </c>
      <c r="I34" s="26">
        <f>I30+I31-I32+I33</f>
        <v>0</v>
      </c>
      <c r="J34" s="17">
        <f>J30+J31-J32+J33</f>
        <v>0</v>
      </c>
      <c r="L34" s="338">
        <f>B30+B31-B32+B33-B34</f>
        <v>0</v>
      </c>
      <c r="M34" s="337">
        <f t="shared" ref="M34:T34" si="29">C30+C31-C32+C33-C34</f>
        <v>0</v>
      </c>
      <c r="N34" s="337">
        <f t="shared" si="29"/>
        <v>0</v>
      </c>
      <c r="O34" s="337">
        <f t="shared" si="29"/>
        <v>0</v>
      </c>
      <c r="P34" s="337">
        <f t="shared" si="29"/>
        <v>0</v>
      </c>
      <c r="Q34" s="337">
        <f t="shared" si="29"/>
        <v>0</v>
      </c>
      <c r="R34" s="337">
        <f t="shared" si="29"/>
        <v>0</v>
      </c>
      <c r="S34" s="337">
        <f t="shared" si="29"/>
        <v>0</v>
      </c>
      <c r="T34" s="337">
        <f t="shared" si="29"/>
        <v>0</v>
      </c>
    </row>
    <row r="35" spans="1:40" ht="15" customHeight="1" thickTop="1" thickBot="1">
      <c r="A35" s="41" t="s">
        <v>31</v>
      </c>
      <c r="B35" s="42"/>
      <c r="C35" s="42"/>
      <c r="D35" s="42"/>
      <c r="E35" s="42"/>
      <c r="F35" s="42"/>
      <c r="G35" s="42"/>
      <c r="H35" s="42"/>
      <c r="I35" s="42"/>
      <c r="J35" s="43"/>
      <c r="L35" s="335"/>
      <c r="T35" s="341"/>
    </row>
    <row r="36" spans="1:40" ht="15" customHeight="1" thickTop="1" thickBot="1">
      <c r="A36" s="44" t="s">
        <v>32</v>
      </c>
      <c r="B36" s="22"/>
      <c r="C36" s="22"/>
      <c r="D36" s="22"/>
      <c r="E36" s="22"/>
      <c r="F36" s="22"/>
      <c r="G36" s="22"/>
      <c r="H36" s="22"/>
      <c r="I36" s="22"/>
      <c r="J36" s="15">
        <f>SUM(B36:H36)</f>
        <v>0</v>
      </c>
      <c r="L36" s="335"/>
      <c r="T36" s="341">
        <f t="shared" ref="T36:T38" si="30">SUM(B36:I36)-J36</f>
        <v>0</v>
      </c>
    </row>
    <row r="37" spans="1:40" ht="15" customHeight="1" thickBot="1">
      <c r="A37" s="14" t="s">
        <v>27</v>
      </c>
      <c r="B37" s="22"/>
      <c r="C37" s="22"/>
      <c r="D37" s="22"/>
      <c r="E37" s="22"/>
      <c r="F37" s="22"/>
      <c r="G37" s="22"/>
      <c r="H37" s="22"/>
      <c r="I37" s="22"/>
      <c r="J37" s="15">
        <f t="shared" ref="J37:J38" si="31">SUM(B37:H37)</f>
        <v>0</v>
      </c>
      <c r="L37" s="335"/>
      <c r="T37" s="341">
        <f t="shared" si="30"/>
        <v>0</v>
      </c>
    </row>
    <row r="38" spans="1:40" ht="15" customHeight="1" thickBot="1">
      <c r="A38" s="14" t="s">
        <v>28</v>
      </c>
      <c r="B38" s="22"/>
      <c r="C38" s="22"/>
      <c r="D38" s="22"/>
      <c r="E38" s="22"/>
      <c r="F38" s="22"/>
      <c r="G38" s="22"/>
      <c r="H38" s="22"/>
      <c r="I38" s="22"/>
      <c r="J38" s="15">
        <f t="shared" si="31"/>
        <v>0</v>
      </c>
      <c r="L38" s="335"/>
      <c r="T38" s="341">
        <f t="shared" si="30"/>
        <v>0</v>
      </c>
    </row>
    <row r="39" spans="1:40" ht="15" customHeight="1" thickBot="1">
      <c r="A39" s="25" t="s">
        <v>30</v>
      </c>
      <c r="B39" s="26">
        <f>B36+B37-B38</f>
        <v>0</v>
      </c>
      <c r="C39" s="26">
        <f>C36+C37-C38</f>
        <v>0</v>
      </c>
      <c r="D39" s="26">
        <f t="shared" ref="D39:I39" si="32">D36+D37-D38</f>
        <v>0</v>
      </c>
      <c r="E39" s="26">
        <f t="shared" si="32"/>
        <v>0</v>
      </c>
      <c r="F39" s="26">
        <f t="shared" si="32"/>
        <v>0</v>
      </c>
      <c r="G39" s="26">
        <f t="shared" si="32"/>
        <v>0</v>
      </c>
      <c r="H39" s="26">
        <f t="shared" si="32"/>
        <v>0</v>
      </c>
      <c r="I39" s="26">
        <f t="shared" si="32"/>
        <v>0</v>
      </c>
      <c r="J39" s="17">
        <f>J36+J37-J38</f>
        <v>0</v>
      </c>
      <c r="L39" s="338">
        <f>B36+B37-B38-B39</f>
        <v>0</v>
      </c>
      <c r="M39" s="337">
        <f t="shared" ref="M39:T39" si="33">C36+C37-C38-C39</f>
        <v>0</v>
      </c>
      <c r="N39" s="337">
        <f t="shared" si="33"/>
        <v>0</v>
      </c>
      <c r="O39" s="337">
        <f t="shared" si="33"/>
        <v>0</v>
      </c>
      <c r="P39" s="337">
        <f t="shared" si="33"/>
        <v>0</v>
      </c>
      <c r="Q39" s="337">
        <f t="shared" si="33"/>
        <v>0</v>
      </c>
      <c r="R39" s="337">
        <f t="shared" si="33"/>
        <v>0</v>
      </c>
      <c r="S39" s="337">
        <f t="shared" si="33"/>
        <v>0</v>
      </c>
      <c r="T39" s="337">
        <f t="shared" si="33"/>
        <v>0</v>
      </c>
    </row>
    <row r="40" spans="1:40" ht="15" customHeight="1" thickTop="1" thickBot="1">
      <c r="A40" s="41" t="s">
        <v>33</v>
      </c>
      <c r="B40" s="42"/>
      <c r="C40" s="42"/>
      <c r="D40" s="42"/>
      <c r="E40" s="42"/>
      <c r="F40" s="42"/>
      <c r="G40" s="42"/>
      <c r="H40" s="42"/>
      <c r="I40" s="42"/>
      <c r="J40" s="43"/>
      <c r="L40" s="335"/>
      <c r="T40" s="341"/>
    </row>
    <row r="41" spans="1:40" ht="15" customHeight="1" thickTop="1" thickBot="1">
      <c r="A41" s="44" t="s">
        <v>32</v>
      </c>
      <c r="B41" s="22"/>
      <c r="C41" s="22"/>
      <c r="D41" s="22"/>
      <c r="E41" s="22"/>
      <c r="F41" s="22"/>
      <c r="G41" s="22"/>
      <c r="H41" s="22"/>
      <c r="I41" s="22"/>
      <c r="J41" s="15">
        <f>SUM(B41:H41)</f>
        <v>0</v>
      </c>
      <c r="L41" s="335"/>
      <c r="T41" s="341">
        <f t="shared" ref="T41:T43" si="34">SUM(B41:I41)-J41</f>
        <v>0</v>
      </c>
    </row>
    <row r="42" spans="1:40" ht="15" customHeight="1" thickBot="1">
      <c r="A42" s="14" t="s">
        <v>27</v>
      </c>
      <c r="B42" s="22"/>
      <c r="C42" s="22"/>
      <c r="D42" s="22"/>
      <c r="E42" s="22"/>
      <c r="F42" s="22"/>
      <c r="G42" s="22"/>
      <c r="H42" s="22"/>
      <c r="I42" s="22"/>
      <c r="J42" s="15">
        <f t="shared" ref="J42:J43" si="35">SUM(B42:H42)</f>
        <v>0</v>
      </c>
      <c r="L42" s="335"/>
      <c r="T42" s="341">
        <f t="shared" si="34"/>
        <v>0</v>
      </c>
    </row>
    <row r="43" spans="1:40" ht="15" customHeight="1" thickBot="1">
      <c r="A43" s="14" t="s">
        <v>28</v>
      </c>
      <c r="B43" s="22"/>
      <c r="C43" s="22"/>
      <c r="D43" s="22"/>
      <c r="E43" s="22"/>
      <c r="F43" s="22"/>
      <c r="G43" s="22"/>
      <c r="H43" s="22"/>
      <c r="I43" s="22"/>
      <c r="J43" s="15">
        <f t="shared" si="35"/>
        <v>0</v>
      </c>
      <c r="L43" s="335"/>
      <c r="T43" s="341">
        <f t="shared" si="34"/>
        <v>0</v>
      </c>
    </row>
    <row r="44" spans="1:40" ht="15" customHeight="1" thickBot="1">
      <c r="A44" s="25" t="s">
        <v>30</v>
      </c>
      <c r="B44" s="26">
        <f>B41+B42-B43</f>
        <v>0</v>
      </c>
      <c r="C44" s="26">
        <f>C41+C42-C43</f>
        <v>0</v>
      </c>
      <c r="D44" s="26">
        <f t="shared" ref="D44:I44" si="36">D41+D42-D43</f>
        <v>0</v>
      </c>
      <c r="E44" s="26">
        <f t="shared" si="36"/>
        <v>0</v>
      </c>
      <c r="F44" s="26">
        <f t="shared" si="36"/>
        <v>0</v>
      </c>
      <c r="G44" s="26">
        <f t="shared" si="36"/>
        <v>0</v>
      </c>
      <c r="H44" s="26">
        <f t="shared" si="36"/>
        <v>0</v>
      </c>
      <c r="I44" s="26">
        <f t="shared" si="36"/>
        <v>0</v>
      </c>
      <c r="J44" s="17">
        <f>J41+J42-J43</f>
        <v>0</v>
      </c>
      <c r="L44" s="338">
        <f>B41+B42-B43-B44</f>
        <v>0</v>
      </c>
      <c r="M44" s="337">
        <f t="shared" ref="M44:T44" si="37">C41+C42-C43-C44</f>
        <v>0</v>
      </c>
      <c r="N44" s="337">
        <f t="shared" si="37"/>
        <v>0</v>
      </c>
      <c r="O44" s="337">
        <f t="shared" si="37"/>
        <v>0</v>
      </c>
      <c r="P44" s="337">
        <f t="shared" si="37"/>
        <v>0</v>
      </c>
      <c r="Q44" s="337">
        <f t="shared" si="37"/>
        <v>0</v>
      </c>
      <c r="R44" s="337">
        <f t="shared" si="37"/>
        <v>0</v>
      </c>
      <c r="S44" s="337">
        <f t="shared" si="37"/>
        <v>0</v>
      </c>
      <c r="T44" s="337">
        <f t="shared" si="37"/>
        <v>0</v>
      </c>
    </row>
    <row r="45" spans="1:40" ht="15" customHeight="1" thickTop="1" thickBot="1">
      <c r="A45" s="41" t="s">
        <v>34</v>
      </c>
      <c r="B45" s="42"/>
      <c r="C45" s="42"/>
      <c r="D45" s="42"/>
      <c r="E45" s="42"/>
      <c r="F45" s="42"/>
      <c r="G45" s="42"/>
      <c r="H45" s="42"/>
      <c r="I45" s="42"/>
      <c r="J45" s="43"/>
      <c r="L45" s="335"/>
      <c r="T45" s="341"/>
    </row>
    <row r="46" spans="1:40" ht="15" customHeight="1" thickTop="1" thickBot="1">
      <c r="A46" s="44" t="s">
        <v>32</v>
      </c>
      <c r="B46" s="22">
        <f>B30-B36-B41</f>
        <v>0</v>
      </c>
      <c r="C46" s="22">
        <f t="shared" ref="C46:J46" si="38">C30-C36-C41</f>
        <v>0</v>
      </c>
      <c r="D46" s="22">
        <f t="shared" si="38"/>
        <v>0</v>
      </c>
      <c r="E46" s="22">
        <f t="shared" si="38"/>
        <v>0</v>
      </c>
      <c r="F46" s="22">
        <f t="shared" si="38"/>
        <v>0</v>
      </c>
      <c r="G46" s="22">
        <f t="shared" si="38"/>
        <v>0</v>
      </c>
      <c r="H46" s="22">
        <f t="shared" si="38"/>
        <v>0</v>
      </c>
      <c r="I46" s="22">
        <f t="shared" si="38"/>
        <v>0</v>
      </c>
      <c r="J46" s="15">
        <f t="shared" si="38"/>
        <v>0</v>
      </c>
      <c r="L46" s="338">
        <f>B30-B36-B41-B46</f>
        <v>0</v>
      </c>
      <c r="M46" s="337">
        <f t="shared" ref="M46:S46" si="39">C30-C36-C41-C46</f>
        <v>0</v>
      </c>
      <c r="N46" s="337">
        <f t="shared" si="39"/>
        <v>0</v>
      </c>
      <c r="O46" s="337">
        <f t="shared" si="39"/>
        <v>0</v>
      </c>
      <c r="P46" s="337">
        <f t="shared" si="39"/>
        <v>0</v>
      </c>
      <c r="Q46" s="337">
        <f t="shared" si="39"/>
        <v>0</v>
      </c>
      <c r="R46" s="337">
        <f t="shared" si="39"/>
        <v>0</v>
      </c>
      <c r="S46" s="337">
        <f t="shared" si="39"/>
        <v>0</v>
      </c>
      <c r="T46" s="341">
        <f t="shared" ref="T46:T47" si="40">SUM(B46:I46)-J46</f>
        <v>0</v>
      </c>
    </row>
    <row r="47" spans="1:40" ht="15" customHeight="1" thickBot="1">
      <c r="A47" s="25" t="s">
        <v>30</v>
      </c>
      <c r="B47" s="26">
        <f>B34-B39-B44</f>
        <v>0</v>
      </c>
      <c r="C47" s="26">
        <f t="shared" ref="C47:J47" si="41">C34-C39-C44</f>
        <v>0</v>
      </c>
      <c r="D47" s="26">
        <f t="shared" si="41"/>
        <v>0</v>
      </c>
      <c r="E47" s="26">
        <f t="shared" si="41"/>
        <v>0</v>
      </c>
      <c r="F47" s="26">
        <f t="shared" si="41"/>
        <v>0</v>
      </c>
      <c r="G47" s="26">
        <f t="shared" si="41"/>
        <v>0</v>
      </c>
      <c r="H47" s="26">
        <f t="shared" si="41"/>
        <v>0</v>
      </c>
      <c r="I47" s="26">
        <f t="shared" si="41"/>
        <v>0</v>
      </c>
      <c r="J47" s="17">
        <f t="shared" si="41"/>
        <v>0</v>
      </c>
      <c r="L47" s="338">
        <f>B34-B39-B44-B47</f>
        <v>0</v>
      </c>
      <c r="M47" s="337">
        <f t="shared" ref="M47:S47" si="42">C34-C39-C44-C47</f>
        <v>0</v>
      </c>
      <c r="N47" s="337">
        <f t="shared" si="42"/>
        <v>0</v>
      </c>
      <c r="O47" s="337">
        <f t="shared" si="42"/>
        <v>0</v>
      </c>
      <c r="P47" s="337">
        <f t="shared" si="42"/>
        <v>0</v>
      </c>
      <c r="Q47" s="337">
        <f t="shared" si="42"/>
        <v>0</v>
      </c>
      <c r="R47" s="337">
        <f t="shared" si="42"/>
        <v>0</v>
      </c>
      <c r="S47" s="337">
        <f t="shared" si="42"/>
        <v>0</v>
      </c>
      <c r="T47" s="341">
        <f t="shared" si="40"/>
        <v>0</v>
      </c>
      <c r="AF47" s="338">
        <f>B47-'BS old'!$G$31</f>
        <v>0</v>
      </c>
      <c r="AG47" s="337">
        <f>C47-'BS old'!$G$32</f>
        <v>0</v>
      </c>
      <c r="AH47" s="337">
        <f>D47-'BS old'!$G$33</f>
        <v>0</v>
      </c>
      <c r="AI47" s="337">
        <f>E47-'BS old'!$G$34</f>
        <v>0</v>
      </c>
      <c r="AJ47" s="337">
        <f>F47-'BS old'!$G$35</f>
        <v>0</v>
      </c>
      <c r="AK47" s="337">
        <f>G47-'BS old'!$G$36</f>
        <v>0</v>
      </c>
      <c r="AL47" s="337">
        <f>H47-'BS old'!$G$37</f>
        <v>0</v>
      </c>
      <c r="AM47" s="337">
        <f>I47-'BS old'!$G$38</f>
        <v>0</v>
      </c>
      <c r="AN47" s="341">
        <f>J47-'BS old'!$G$30</f>
        <v>0</v>
      </c>
    </row>
    <row r="48" spans="1:40" ht="15" thickTop="1">
      <c r="A48" s="18"/>
      <c r="B48" s="18"/>
      <c r="C48" s="18"/>
      <c r="D48" s="18"/>
      <c r="E48" s="18"/>
      <c r="F48" s="18"/>
      <c r="G48" s="18"/>
      <c r="H48" s="18"/>
      <c r="I48" s="18"/>
      <c r="J48" s="18"/>
    </row>
    <row r="49" spans="1:10">
      <c r="A49" s="18"/>
      <c r="B49" s="18"/>
      <c r="C49" s="18"/>
      <c r="D49" s="18"/>
      <c r="E49" s="18"/>
      <c r="F49" s="18"/>
      <c r="G49" s="18"/>
      <c r="H49" s="18"/>
      <c r="I49" s="18"/>
      <c r="J49" s="18"/>
    </row>
    <row r="50" spans="1:10">
      <c r="A50" s="18"/>
      <c r="B50" s="18"/>
      <c r="C50" s="18"/>
      <c r="D50" s="18"/>
      <c r="E50" s="18"/>
      <c r="F50" s="18"/>
      <c r="G50" s="18"/>
      <c r="H50" s="18"/>
      <c r="I50" s="18"/>
      <c r="J50" s="18"/>
    </row>
  </sheetData>
  <mergeCells count="7">
    <mergeCell ref="V1:AD1"/>
    <mergeCell ref="AF1:AN1"/>
    <mergeCell ref="A27:A28"/>
    <mergeCell ref="B27:J27"/>
    <mergeCell ref="A3:A4"/>
    <mergeCell ref="B3:J3"/>
    <mergeCell ref="L1:T1"/>
  </mergeCells>
  <conditionalFormatting sqref="L6:T23 V6:AD22 AF10:AN29">
    <cfRule type="cellIs" dxfId="252" priority="61" operator="lessThan">
      <formula>0</formula>
    </cfRule>
    <cfRule type="cellIs" dxfId="251" priority="62" operator="greaterThan">
      <formula>0</formula>
    </cfRule>
  </conditionalFormatting>
  <conditionalFormatting sqref="L30:T47">
    <cfRule type="cellIs" dxfId="250" priority="59" operator="lessThan">
      <formula>0</formula>
    </cfRule>
    <cfRule type="cellIs" dxfId="249" priority="60" operator="greaterThan">
      <formula>0</formula>
    </cfRule>
  </conditionalFormatting>
  <conditionalFormatting sqref="AF30:AN47">
    <cfRule type="cellIs" dxfId="248" priority="57" operator="lessThan">
      <formula>0</formula>
    </cfRule>
    <cfRule type="cellIs" dxfId="247" priority="58" operator="greaterThan">
      <formula>0</formula>
    </cfRule>
  </conditionalFormatting>
  <conditionalFormatting sqref="L30:T47">
    <cfRule type="cellIs" dxfId="246" priority="55" operator="lessThan">
      <formula>0</formula>
    </cfRule>
    <cfRule type="cellIs" dxfId="245" priority="56" operator="greaterThan">
      <formula>0</formula>
    </cfRule>
  </conditionalFormatting>
  <conditionalFormatting sqref="L6:T23">
    <cfRule type="cellIs" dxfId="244" priority="53" operator="lessThan">
      <formula>0</formula>
    </cfRule>
    <cfRule type="cellIs" dxfId="243" priority="54" operator="greaterThan">
      <formula>0</formula>
    </cfRule>
  </conditionalFormatting>
  <conditionalFormatting sqref="L30:T47">
    <cfRule type="cellIs" dxfId="242" priority="51" operator="lessThan">
      <formula>0</formula>
    </cfRule>
    <cfRule type="cellIs" dxfId="241" priority="52" operator="greaterThan">
      <formula>0</formula>
    </cfRule>
  </conditionalFormatting>
  <conditionalFormatting sqref="L30:T47">
    <cfRule type="cellIs" dxfId="240" priority="49" operator="lessThan">
      <formula>0</formula>
    </cfRule>
    <cfRule type="cellIs" dxfId="239" priority="50" operator="greaterThan">
      <formula>0</formula>
    </cfRule>
  </conditionalFormatting>
  <conditionalFormatting sqref="L6:T23">
    <cfRule type="cellIs" dxfId="238" priority="47" operator="lessThan">
      <formula>0</formula>
    </cfRule>
    <cfRule type="cellIs" dxfId="237" priority="48" operator="greaterThan">
      <formula>0</formula>
    </cfRule>
  </conditionalFormatting>
  <conditionalFormatting sqref="L30:T47">
    <cfRule type="cellIs" dxfId="236" priority="45" operator="lessThan">
      <formula>0</formula>
    </cfRule>
    <cfRule type="cellIs" dxfId="235" priority="46" operator="greaterThan">
      <formula>0</formula>
    </cfRule>
  </conditionalFormatting>
  <conditionalFormatting sqref="L30:T47">
    <cfRule type="cellIs" dxfId="234" priority="43" operator="lessThan">
      <formula>0</formula>
    </cfRule>
    <cfRule type="cellIs" dxfId="233" priority="44" operator="greaterThan">
      <formula>0</formula>
    </cfRule>
  </conditionalFormatting>
  <conditionalFormatting sqref="M10:T10 L15:T15 L20:T20 M11:S14 L10:L14 L16:S19 L21:S23">
    <cfRule type="cellIs" dxfId="232" priority="41" operator="lessThan">
      <formula>0</formula>
    </cfRule>
    <cfRule type="cellIs" dxfId="231" priority="42" operator="greaterThan">
      <formula>0</formula>
    </cfRule>
  </conditionalFormatting>
  <conditionalFormatting sqref="T10">
    <cfRule type="cellIs" dxfId="230" priority="39" operator="lessThan">
      <formula>0</formula>
    </cfRule>
    <cfRule type="cellIs" dxfId="229" priority="40" operator="greaterThan">
      <formula>0</formula>
    </cfRule>
  </conditionalFormatting>
  <conditionalFormatting sqref="T15">
    <cfRule type="cellIs" dxfId="228" priority="37" operator="lessThan">
      <formula>0</formula>
    </cfRule>
    <cfRule type="cellIs" dxfId="227" priority="38" operator="greaterThan">
      <formula>0</formula>
    </cfRule>
  </conditionalFormatting>
  <conditionalFormatting sqref="T20">
    <cfRule type="cellIs" dxfId="226" priority="35" operator="lessThan">
      <formula>0</formula>
    </cfRule>
    <cfRule type="cellIs" dxfId="225" priority="36" operator="greaterThan">
      <formula>0</formula>
    </cfRule>
  </conditionalFormatting>
  <conditionalFormatting sqref="T10">
    <cfRule type="cellIs" dxfId="224" priority="33" operator="lessThan">
      <formula>0</formula>
    </cfRule>
    <cfRule type="cellIs" dxfId="223" priority="34" operator="greaterThan">
      <formula>0</formula>
    </cfRule>
  </conditionalFormatting>
  <conditionalFormatting sqref="T15">
    <cfRule type="cellIs" dxfId="222" priority="31" operator="lessThan">
      <formula>0</formula>
    </cfRule>
    <cfRule type="cellIs" dxfId="221" priority="32" operator="greaterThan">
      <formula>0</formula>
    </cfRule>
  </conditionalFormatting>
  <conditionalFormatting sqref="T15">
    <cfRule type="cellIs" dxfId="220" priority="29" operator="lessThan">
      <formula>0</formula>
    </cfRule>
    <cfRule type="cellIs" dxfId="219" priority="30" operator="greaterThan">
      <formula>0</formula>
    </cfRule>
  </conditionalFormatting>
  <conditionalFormatting sqref="T20">
    <cfRule type="cellIs" dxfId="218" priority="27" operator="lessThan">
      <formula>0</formula>
    </cfRule>
    <cfRule type="cellIs" dxfId="217" priority="28" operator="greaterThan">
      <formula>0</formula>
    </cfRule>
  </conditionalFormatting>
  <conditionalFormatting sqref="T20">
    <cfRule type="cellIs" dxfId="216" priority="25" operator="lessThan">
      <formula>0</formula>
    </cfRule>
    <cfRule type="cellIs" dxfId="215" priority="26" operator="greaterThan">
      <formula>0</formula>
    </cfRule>
  </conditionalFormatting>
  <conditionalFormatting sqref="T20">
    <cfRule type="cellIs" dxfId="214" priority="23" operator="lessThan">
      <formula>0</formula>
    </cfRule>
    <cfRule type="cellIs" dxfId="213" priority="24" operator="greaterThan">
      <formula>0</formula>
    </cfRule>
  </conditionalFormatting>
  <conditionalFormatting sqref="L30:T47">
    <cfRule type="cellIs" dxfId="212" priority="21" operator="lessThan">
      <formula>0</formula>
    </cfRule>
    <cfRule type="cellIs" dxfId="211" priority="22" operator="greaterThan">
      <formula>0</formula>
    </cfRule>
  </conditionalFormatting>
  <conditionalFormatting sqref="M34:T34 L39:T39 L44:T44 M35:S38 L34:L38 L40:S43 L45:S47">
    <cfRule type="cellIs" dxfId="210" priority="19" operator="lessThan">
      <formula>0</formula>
    </cfRule>
    <cfRule type="cellIs" dxfId="209" priority="20" operator="greaterThan">
      <formula>0</formula>
    </cfRule>
  </conditionalFormatting>
  <conditionalFormatting sqref="T34">
    <cfRule type="cellIs" dxfId="208" priority="17" operator="lessThan">
      <formula>0</formula>
    </cfRule>
    <cfRule type="cellIs" dxfId="207" priority="18" operator="greaterThan">
      <formula>0</formula>
    </cfRule>
  </conditionalFormatting>
  <conditionalFormatting sqref="T39">
    <cfRule type="cellIs" dxfId="206" priority="15" operator="lessThan">
      <formula>0</formula>
    </cfRule>
    <cfRule type="cellIs" dxfId="205" priority="16" operator="greaterThan">
      <formula>0</formula>
    </cfRule>
  </conditionalFormatting>
  <conditionalFormatting sqref="T44">
    <cfRule type="cellIs" dxfId="204" priority="13" operator="lessThan">
      <formula>0</formula>
    </cfRule>
    <cfRule type="cellIs" dxfId="203" priority="14" operator="greaterThan">
      <formula>0</formula>
    </cfRule>
  </conditionalFormatting>
  <conditionalFormatting sqref="T34">
    <cfRule type="cellIs" dxfId="202" priority="11" operator="lessThan">
      <formula>0</formula>
    </cfRule>
    <cfRule type="cellIs" dxfId="201" priority="12" operator="greaterThan">
      <formula>0</formula>
    </cfRule>
  </conditionalFormatting>
  <conditionalFormatting sqref="T39">
    <cfRule type="cellIs" dxfId="200" priority="9" operator="lessThan">
      <formula>0</formula>
    </cfRule>
    <cfRule type="cellIs" dxfId="199" priority="10" operator="greaterThan">
      <formula>0</formula>
    </cfRule>
  </conditionalFormatting>
  <conditionalFormatting sqref="T39">
    <cfRule type="cellIs" dxfId="198" priority="7" operator="lessThan">
      <formula>0</formula>
    </cfRule>
    <cfRule type="cellIs" dxfId="197" priority="8" operator="greaterThan">
      <formula>0</formula>
    </cfRule>
  </conditionalFormatting>
  <conditionalFormatting sqref="T44">
    <cfRule type="cellIs" dxfId="196" priority="5" operator="lessThan">
      <formula>0</formula>
    </cfRule>
    <cfRule type="cellIs" dxfId="195" priority="6" operator="greaterThan">
      <formula>0</formula>
    </cfRule>
  </conditionalFormatting>
  <conditionalFormatting sqref="T44">
    <cfRule type="cellIs" dxfId="194" priority="3" operator="lessThan">
      <formula>0</formula>
    </cfRule>
    <cfRule type="cellIs" dxfId="193" priority="4" operator="greaterThan">
      <formula>0</formula>
    </cfRule>
  </conditionalFormatting>
  <conditionalFormatting sqref="T44">
    <cfRule type="cellIs" dxfId="192" priority="1" operator="lessThan">
      <formula>0</formula>
    </cfRule>
    <cfRule type="cellIs" dxfId="191" priority="2" operator="greaterThan">
      <formula>0</formula>
    </cfRule>
  </conditionalFormatting>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5"/>
  <sheetViews>
    <sheetView showGridLines="0" zoomScaleNormal="100" workbookViewId="0">
      <selection activeCell="A5" sqref="A5"/>
    </sheetView>
  </sheetViews>
  <sheetFormatPr defaultRowHeight="14.5"/>
  <cols>
    <col min="1" max="2" width="43.26953125" customWidth="1"/>
    <col min="3" max="3" width="19.1796875" customWidth="1"/>
  </cols>
  <sheetData>
    <row r="1" spans="1:2" ht="15" thickBot="1">
      <c r="A1" s="1" t="s">
        <v>56</v>
      </c>
    </row>
    <row r="2" spans="1:2" ht="21" customHeight="1" thickTop="1" thickBot="1">
      <c r="A2" s="585" t="s">
        <v>55</v>
      </c>
      <c r="B2" s="11" t="s">
        <v>36</v>
      </c>
    </row>
    <row r="3" spans="1:2" ht="23.25" customHeight="1" thickTop="1" thickBot="1">
      <c r="A3" s="12" t="s">
        <v>57</v>
      </c>
      <c r="B3" s="13"/>
    </row>
    <row r="4" spans="1:2" ht="23.25" customHeight="1" thickBot="1">
      <c r="A4" s="16" t="s">
        <v>58</v>
      </c>
      <c r="B4" s="17"/>
    </row>
    <row r="5" spans="1:2" ht="15" thickTop="1"/>
  </sheetData>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0"/>
  <sheetViews>
    <sheetView showGridLines="0" zoomScaleNormal="100" workbookViewId="0">
      <selection activeCell="F19" sqref="F19"/>
    </sheetView>
  </sheetViews>
  <sheetFormatPr defaultRowHeight="14.5"/>
  <cols>
    <col min="1" max="1" width="21.26953125" customWidth="1"/>
    <col min="2" max="4" width="12.7265625" customWidth="1"/>
    <col min="5" max="5" width="14.26953125" customWidth="1"/>
    <col min="6" max="6" width="12.7265625" customWidth="1"/>
  </cols>
  <sheetData>
    <row r="1" spans="1:6" ht="15" thickBot="1">
      <c r="A1" s="2" t="s">
        <v>59</v>
      </c>
    </row>
    <row r="2" spans="1:6" ht="15.5" thickTop="1" thickBot="1">
      <c r="A2" s="1585" t="s">
        <v>60</v>
      </c>
      <c r="B2" s="1600" t="s">
        <v>2</v>
      </c>
      <c r="C2" s="1601"/>
      <c r="D2" s="1601"/>
      <c r="E2" s="1601"/>
      <c r="F2" s="1602"/>
    </row>
    <row r="3" spans="1:6" ht="70.75" customHeight="1" thickBot="1">
      <c r="A3" s="1592"/>
      <c r="B3" s="57" t="s">
        <v>61</v>
      </c>
      <c r="C3" s="57" t="s">
        <v>62</v>
      </c>
      <c r="D3" s="40" t="s">
        <v>448</v>
      </c>
      <c r="E3" s="57" t="s">
        <v>449</v>
      </c>
      <c r="F3" s="57" t="s">
        <v>64</v>
      </c>
    </row>
    <row r="4" spans="1:6" ht="15.5" thickTop="1" thickBot="1">
      <c r="A4" s="138" t="s">
        <v>65</v>
      </c>
      <c r="B4" s="53"/>
      <c r="C4" s="53"/>
      <c r="D4" s="53"/>
      <c r="E4" s="53"/>
      <c r="F4" s="54"/>
    </row>
    <row r="5" spans="1:6" ht="15.5" thickTop="1" thickBot="1">
      <c r="A5" s="139"/>
      <c r="B5" s="55"/>
      <c r="C5" s="55"/>
      <c r="D5" s="22"/>
      <c r="E5" s="22"/>
      <c r="F5" s="15"/>
    </row>
    <row r="6" spans="1:6" ht="15" thickBot="1">
      <c r="A6" s="139"/>
      <c r="B6" s="55"/>
      <c r="C6" s="55"/>
      <c r="D6" s="22"/>
      <c r="E6" s="22"/>
      <c r="F6" s="15"/>
    </row>
    <row r="7" spans="1:6" ht="15" thickBot="1">
      <c r="A7" s="140"/>
      <c r="B7" s="56"/>
      <c r="C7" s="56"/>
      <c r="D7" s="26"/>
      <c r="E7" s="26"/>
      <c r="F7" s="17"/>
    </row>
    <row r="8" spans="1:6" ht="15.5" thickTop="1" thickBot="1">
      <c r="A8" s="138" t="s">
        <v>66</v>
      </c>
      <c r="B8" s="53"/>
      <c r="C8" s="53"/>
      <c r="D8" s="53"/>
      <c r="E8" s="53"/>
      <c r="F8" s="54"/>
    </row>
    <row r="9" spans="1:6" ht="15.5" thickTop="1" thickBot="1">
      <c r="A9" s="139"/>
      <c r="B9" s="55"/>
      <c r="C9" s="55"/>
      <c r="D9" s="22"/>
      <c r="E9" s="22"/>
      <c r="F9" s="15"/>
    </row>
    <row r="10" spans="1:6" ht="15" thickBot="1">
      <c r="A10" s="139"/>
      <c r="B10" s="55"/>
      <c r="C10" s="55"/>
      <c r="D10" s="22"/>
      <c r="E10" s="22"/>
      <c r="F10" s="15"/>
    </row>
    <row r="11" spans="1:6" ht="15" thickBot="1">
      <c r="A11" s="140"/>
      <c r="B11" s="56"/>
      <c r="C11" s="56"/>
      <c r="D11" s="26"/>
      <c r="E11" s="26"/>
      <c r="F11" s="17"/>
    </row>
    <row r="12" spans="1:6" ht="15.5" thickTop="1" thickBot="1">
      <c r="A12" s="138" t="s">
        <v>67</v>
      </c>
      <c r="B12" s="53"/>
      <c r="C12" s="53"/>
      <c r="D12" s="53"/>
      <c r="E12" s="53"/>
      <c r="F12" s="54"/>
    </row>
    <row r="13" spans="1:6" ht="15.5" thickTop="1" thickBot="1">
      <c r="A13" s="139"/>
      <c r="B13" s="55"/>
      <c r="C13" s="55"/>
      <c r="D13" s="22"/>
      <c r="E13" s="22"/>
      <c r="F13" s="15"/>
    </row>
    <row r="14" spans="1:6" ht="15" thickBot="1">
      <c r="A14" s="139"/>
      <c r="B14" s="55"/>
      <c r="C14" s="55"/>
      <c r="D14" s="22"/>
      <c r="E14" s="22"/>
      <c r="F14" s="15"/>
    </row>
    <row r="15" spans="1:6" ht="15" thickBot="1">
      <c r="A15" s="140"/>
      <c r="B15" s="56"/>
      <c r="C15" s="56"/>
      <c r="D15" s="26"/>
      <c r="E15" s="26"/>
      <c r="F15" s="17"/>
    </row>
    <row r="16" spans="1:6" ht="15.5" thickTop="1" thickBot="1">
      <c r="A16" s="138" t="s">
        <v>68</v>
      </c>
      <c r="B16" s="53"/>
      <c r="C16" s="53"/>
      <c r="D16" s="53"/>
      <c r="E16" s="53"/>
      <c r="F16" s="54"/>
    </row>
    <row r="17" spans="1:6" ht="15.5" thickTop="1" thickBot="1">
      <c r="A17" s="141"/>
      <c r="B17" s="55"/>
      <c r="C17" s="55"/>
      <c r="D17" s="22"/>
      <c r="E17" s="22"/>
      <c r="F17" s="15"/>
    </row>
    <row r="18" spans="1:6" ht="15" thickBot="1">
      <c r="A18" s="86"/>
      <c r="B18" s="56"/>
      <c r="C18" s="56"/>
      <c r="D18" s="173"/>
      <c r="E18" s="47"/>
      <c r="F18" s="174"/>
    </row>
    <row r="19" spans="1:6" ht="22" thickTop="1" thickBot="1">
      <c r="A19" s="25" t="s">
        <v>69</v>
      </c>
      <c r="B19" s="34" t="s">
        <v>18</v>
      </c>
      <c r="C19" s="34" t="s">
        <v>18</v>
      </c>
      <c r="D19" s="34" t="s">
        <v>18</v>
      </c>
      <c r="E19" s="34" t="s">
        <v>18</v>
      </c>
      <c r="F19" s="17">
        <f>SUM(F17:F18)+SUM(F13:F15)+SUM(F9:F11)+SUM(F5:F7)</f>
        <v>0</v>
      </c>
    </row>
    <row r="20" spans="1:6" ht="15" thickTop="1"/>
  </sheetData>
  <mergeCells count="2">
    <mergeCell ref="A2:A3"/>
    <mergeCell ref="B2:F2"/>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8"/>
  <sheetViews>
    <sheetView showGridLines="0" zoomScaleNormal="100" workbookViewId="0">
      <selection activeCell="I1" sqref="I1:M1"/>
    </sheetView>
  </sheetViews>
  <sheetFormatPr defaultRowHeight="14.5" outlineLevelCol="1"/>
  <cols>
    <col min="1" max="1" width="17.1796875" customWidth="1"/>
    <col min="2" max="2" width="12.453125" customWidth="1"/>
    <col min="3" max="7" width="11.453125" customWidth="1"/>
    <col min="8" max="8" width="9.1796875" style="340"/>
    <col min="9" max="9" width="9.1796875" style="335" customWidth="1" outlineLevel="1"/>
    <col min="10" max="11" width="9.1796875" customWidth="1" outlineLevel="1"/>
    <col min="12" max="12" width="17" customWidth="1" outlineLevel="1"/>
    <col min="13" max="13" width="19.7265625" style="340" customWidth="1"/>
  </cols>
  <sheetData>
    <row r="1" spans="1:13" ht="15" thickBot="1">
      <c r="A1" s="1" t="s">
        <v>70</v>
      </c>
      <c r="I1" s="1603" t="s">
        <v>1056</v>
      </c>
      <c r="J1" s="1604"/>
      <c r="K1" s="1604"/>
      <c r="L1" s="1604"/>
      <c r="M1" s="1605"/>
    </row>
    <row r="2" spans="1:13" ht="74.25" customHeight="1" thickTop="1" thickBot="1">
      <c r="A2" s="59" t="s">
        <v>452</v>
      </c>
      <c r="B2" s="59" t="s">
        <v>71</v>
      </c>
      <c r="C2" s="38" t="s">
        <v>450</v>
      </c>
      <c r="D2" s="59" t="s">
        <v>72</v>
      </c>
      <c r="E2" s="59" t="s">
        <v>73</v>
      </c>
      <c r="F2" s="38" t="s">
        <v>451</v>
      </c>
      <c r="G2" s="59" t="s">
        <v>79</v>
      </c>
      <c r="H2" s="336"/>
      <c r="I2" s="59" t="s">
        <v>450</v>
      </c>
      <c r="J2" s="59" t="s">
        <v>72</v>
      </c>
      <c r="K2" s="59" t="s">
        <v>73</v>
      </c>
      <c r="L2" s="177" t="s">
        <v>451</v>
      </c>
      <c r="M2" s="59" t="s">
        <v>79</v>
      </c>
    </row>
    <row r="3" spans="1:13" ht="27.25" customHeight="1" thickTop="1" thickBot="1">
      <c r="A3" s="14" t="s">
        <v>74</v>
      </c>
      <c r="B3" s="62"/>
      <c r="C3" s="22"/>
      <c r="D3" s="22"/>
      <c r="E3" s="22"/>
      <c r="F3" s="22"/>
      <c r="G3" s="15">
        <f>SUM(C3:F3)</f>
        <v>0</v>
      </c>
      <c r="J3" s="336"/>
      <c r="K3" s="336"/>
      <c r="L3" s="336"/>
      <c r="M3" s="341">
        <f>SUM(C3:F3)-G3</f>
        <v>0</v>
      </c>
    </row>
    <row r="4" spans="1:13" ht="27.25" customHeight="1" thickBot="1">
      <c r="A4" s="14" t="s">
        <v>75</v>
      </c>
      <c r="B4" s="62"/>
      <c r="C4" s="22"/>
      <c r="D4" s="22"/>
      <c r="E4" s="22"/>
      <c r="F4" s="22"/>
      <c r="G4" s="15">
        <f>SUM(C4:F4)</f>
        <v>0</v>
      </c>
      <c r="J4" s="336"/>
      <c r="K4" s="336"/>
      <c r="L4" s="336"/>
      <c r="M4" s="341">
        <f t="shared" ref="M4" si="0">SUM(C4:F4)-G4</f>
        <v>0</v>
      </c>
    </row>
    <row r="5" spans="1:13" ht="27.25" customHeight="1" thickBot="1">
      <c r="A5" s="14" t="s">
        <v>76</v>
      </c>
      <c r="B5" s="62"/>
      <c r="C5" s="22"/>
      <c r="D5" s="22"/>
      <c r="E5" s="22"/>
      <c r="F5" s="22"/>
      <c r="G5" s="15">
        <f>SUM(C5:F5)</f>
        <v>0</v>
      </c>
      <c r="J5" s="336"/>
      <c r="K5" s="336"/>
      <c r="L5" s="336"/>
      <c r="M5" s="341">
        <f>SUM(C5:F5)-G5</f>
        <v>0</v>
      </c>
    </row>
    <row r="6" spans="1:13" ht="27.25" customHeight="1" thickBot="1">
      <c r="A6" s="14" t="s">
        <v>77</v>
      </c>
      <c r="B6" s="62"/>
      <c r="C6" s="22"/>
      <c r="D6" s="22"/>
      <c r="E6" s="22"/>
      <c r="F6" s="22"/>
      <c r="G6" s="15">
        <f>SUM(C6:F6)</f>
        <v>0</v>
      </c>
      <c r="J6" s="336"/>
      <c r="K6" s="336"/>
      <c r="L6" s="336"/>
      <c r="M6" s="341">
        <f>SUM(C6:F6)-G6</f>
        <v>0</v>
      </c>
    </row>
    <row r="7" spans="1:13" ht="27.25" customHeight="1" thickBot="1">
      <c r="A7" s="25" t="s">
        <v>78</v>
      </c>
      <c r="B7" s="61" t="s">
        <v>18</v>
      </c>
      <c r="C7" s="58">
        <f>SUM(C3:C6)</f>
        <v>0</v>
      </c>
      <c r="D7" s="58">
        <f>SUM(D3:D6)</f>
        <v>0</v>
      </c>
      <c r="E7" s="58">
        <f>SUM(E3:E6)</f>
        <v>0</v>
      </c>
      <c r="F7" s="58">
        <f>SUM(F3:F6)</f>
        <v>0</v>
      </c>
      <c r="G7" s="60">
        <f>SUM(G3:G6)</f>
        <v>0</v>
      </c>
      <c r="I7" s="338">
        <f>SUM(C3:C6)-C7</f>
        <v>0</v>
      </c>
      <c r="J7" s="337">
        <f>SUM(D3:D6)-D7</f>
        <v>0</v>
      </c>
      <c r="K7" s="337">
        <f>SUM(E3:E6)-E7</f>
        <v>0</v>
      </c>
      <c r="L7" s="337">
        <f>SUM(F3:F6)-F7</f>
        <v>0</v>
      </c>
      <c r="M7" s="341">
        <f>SUM(G3:G6)-G7</f>
        <v>0</v>
      </c>
    </row>
    <row r="8" spans="1:13" ht="15" thickTop="1"/>
  </sheetData>
  <mergeCells count="1">
    <mergeCell ref="I1:M1"/>
  </mergeCells>
  <conditionalFormatting sqref="I3:M7">
    <cfRule type="cellIs" dxfId="190" priority="5" operator="lessThan">
      <formula>0</formula>
    </cfRule>
    <cfRule type="cellIs" dxfId="189" priority="6" operator="greaterThan">
      <formula>0</formula>
    </cfRule>
    <cfRule type="cellIs" dxfId="188" priority="7" operator="lessThan">
      <formula>0</formula>
    </cfRule>
    <cfRule type="cellIs" dxfId="187" priority="8" operator="greaterThan">
      <formula>0</formula>
    </cfRule>
  </conditionalFormatting>
  <conditionalFormatting sqref="I3:M7">
    <cfRule type="cellIs" dxfId="186" priority="1" operator="lessThan">
      <formula>0</formula>
    </cfRule>
    <cfRule type="cellIs" dxfId="185" priority="2" operator="greaterThan">
      <formula>0</formula>
    </cfRule>
    <cfRule type="cellIs" dxfId="184" priority="3" operator="lessThan">
      <formula>0</formula>
    </cfRule>
    <cfRule type="cellIs" dxfId="183" priority="4" operator="greaterThan">
      <formula>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8"/>
  <sheetViews>
    <sheetView showGridLines="0" zoomScaleNormal="100" workbookViewId="0">
      <selection activeCell="F9" sqref="F9"/>
    </sheetView>
  </sheetViews>
  <sheetFormatPr defaultRowHeight="14.5" outlineLevelCol="1"/>
  <cols>
    <col min="1" max="1" width="20.453125" customWidth="1"/>
    <col min="2" max="6" width="13.26953125" customWidth="1"/>
    <col min="7" max="7" width="17.54296875" style="340" customWidth="1"/>
    <col min="8" max="8" width="9.1796875" style="335" customWidth="1" outlineLevel="1"/>
    <col min="9" max="11" width="9.1796875" customWidth="1" outlineLevel="1"/>
    <col min="12" max="12" width="23.54296875" style="340" customWidth="1"/>
  </cols>
  <sheetData>
    <row r="1" spans="1:12" ht="15" thickBot="1">
      <c r="A1" s="1" t="s">
        <v>80</v>
      </c>
      <c r="H1" s="1597" t="s">
        <v>1056</v>
      </c>
      <c r="I1" s="1598"/>
      <c r="J1" s="1598"/>
      <c r="K1" s="1598"/>
      <c r="L1" s="1599"/>
    </row>
    <row r="2" spans="1:12" ht="58.5" customHeight="1" thickTop="1" thickBot="1">
      <c r="A2" s="59" t="s">
        <v>81</v>
      </c>
      <c r="B2" s="38" t="s">
        <v>450</v>
      </c>
      <c r="C2" s="59" t="s">
        <v>72</v>
      </c>
      <c r="D2" s="59" t="s">
        <v>73</v>
      </c>
      <c r="E2" s="59" t="s">
        <v>453</v>
      </c>
      <c r="F2" s="38" t="s">
        <v>30</v>
      </c>
      <c r="G2" s="336"/>
      <c r="H2" s="59" t="s">
        <v>450</v>
      </c>
      <c r="I2" s="59" t="s">
        <v>72</v>
      </c>
      <c r="J2" s="59" t="s">
        <v>73</v>
      </c>
      <c r="K2" s="59" t="s">
        <v>453</v>
      </c>
      <c r="L2" s="59" t="s">
        <v>30</v>
      </c>
    </row>
    <row r="3" spans="1:12" ht="27.25" customHeight="1" thickTop="1" thickBot="1">
      <c r="A3" s="14" t="s">
        <v>74</v>
      </c>
      <c r="B3" s="22"/>
      <c r="C3" s="22"/>
      <c r="D3" s="22"/>
      <c r="E3" s="22"/>
      <c r="F3" s="15">
        <f>SUM(B3:E3)</f>
        <v>0</v>
      </c>
      <c r="I3" s="336"/>
      <c r="J3" s="336"/>
      <c r="K3" s="336"/>
      <c r="L3" s="341">
        <f>SUM(B3:E3)-F3</f>
        <v>0</v>
      </c>
    </row>
    <row r="4" spans="1:12" ht="27.25" customHeight="1" thickBot="1">
      <c r="A4" s="14" t="s">
        <v>82</v>
      </c>
      <c r="B4" s="22"/>
      <c r="C4" s="22"/>
      <c r="D4" s="22"/>
      <c r="E4" s="22"/>
      <c r="F4" s="15">
        <f>SUM(B4:E4)</f>
        <v>0</v>
      </c>
      <c r="I4" s="336"/>
      <c r="J4" s="336"/>
      <c r="K4" s="336"/>
      <c r="L4" s="341">
        <f>SUM(B4:E4)-F4</f>
        <v>0</v>
      </c>
    </row>
    <row r="5" spans="1:12" ht="27.25" customHeight="1" thickBot="1">
      <c r="A5" s="14" t="s">
        <v>83</v>
      </c>
      <c r="B5" s="22"/>
      <c r="C5" s="22"/>
      <c r="D5" s="22"/>
      <c r="E5" s="22"/>
      <c r="F5" s="15">
        <f>SUM(B5:E5)</f>
        <v>0</v>
      </c>
      <c r="I5" s="336"/>
      <c r="J5" s="336"/>
      <c r="K5" s="336"/>
      <c r="L5" s="341">
        <f t="shared" ref="L5:L6" si="0">SUM(B5:E5)-F5</f>
        <v>0</v>
      </c>
    </row>
    <row r="6" spans="1:12" ht="27.25" customHeight="1" thickBot="1">
      <c r="A6" s="14" t="s">
        <v>77</v>
      </c>
      <c r="B6" s="22"/>
      <c r="C6" s="22"/>
      <c r="D6" s="22"/>
      <c r="E6" s="22"/>
      <c r="F6" s="15">
        <f>SUM(B6:E6)</f>
        <v>0</v>
      </c>
      <c r="I6" s="336"/>
      <c r="J6" s="336"/>
      <c r="K6" s="336"/>
      <c r="L6" s="341">
        <f t="shared" si="0"/>
        <v>0</v>
      </c>
    </row>
    <row r="7" spans="1:12" ht="27.25" customHeight="1" thickBot="1">
      <c r="A7" s="25" t="s">
        <v>84</v>
      </c>
      <c r="B7" s="58">
        <f>SUM(B3:B6)</f>
        <v>0</v>
      </c>
      <c r="C7" s="58">
        <f>SUM(C3:C6)</f>
        <v>0</v>
      </c>
      <c r="D7" s="58">
        <f>SUM(D3:D6)</f>
        <v>0</v>
      </c>
      <c r="E7" s="58">
        <f>SUM(E3:E6)</f>
        <v>0</v>
      </c>
      <c r="F7" s="60">
        <f>SUM(F3:F6)</f>
        <v>0</v>
      </c>
      <c r="H7" s="338">
        <f>SUM(B3:B6)-B7</f>
        <v>0</v>
      </c>
      <c r="I7" s="337">
        <f>SUM(C3:C6)-C7</f>
        <v>0</v>
      </c>
      <c r="J7" s="337">
        <f>SUM(D3:D6)-D7</f>
        <v>0</v>
      </c>
      <c r="K7" s="337">
        <f>SUM(E3:E6)-E7</f>
        <v>0</v>
      </c>
      <c r="L7" s="341">
        <f>SUM(F3:F6)-F7</f>
        <v>0</v>
      </c>
    </row>
    <row r="8" spans="1:12" ht="15" thickTop="1"/>
  </sheetData>
  <mergeCells count="1">
    <mergeCell ref="H1:L1"/>
  </mergeCells>
  <conditionalFormatting sqref="H3:L7">
    <cfRule type="cellIs" dxfId="182" priority="1" operator="lessThan">
      <formula>0</formula>
    </cfRule>
    <cfRule type="cellIs" dxfId="181" priority="2" operator="greaterThan">
      <formula>0</formula>
    </cfRule>
    <cfRule type="cellIs" dxfId="180" priority="3" operator="lessThan">
      <formula>0</formula>
    </cfRule>
    <cfRule type="cellIs" dxfId="179" priority="4" operator="greaterThan">
      <formula>0</formula>
    </cfRule>
  </conditionalFormatting>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4.5" outlineLevelCol="1"/>
  <cols>
    <col min="1" max="1" width="18.54296875" customWidth="1"/>
    <col min="2" max="6" width="13.54296875" customWidth="1"/>
    <col min="7" max="7" width="17.54296875" style="340" customWidth="1"/>
    <col min="8" max="8" width="13.453125" style="336" customWidth="1" outlineLevel="1"/>
    <col min="9" max="10" width="13.453125" customWidth="1" outlineLevel="1"/>
    <col min="11" max="11" width="21.1796875" customWidth="1" outlineLevel="1"/>
    <col min="12" max="12" width="24.7265625" style="340" customWidth="1"/>
    <col min="14" max="14" width="22" style="342" customWidth="1"/>
    <col min="22" max="22" width="9.1796875" style="336"/>
  </cols>
  <sheetData>
    <row r="1" spans="1:22">
      <c r="A1" s="1" t="s">
        <v>85</v>
      </c>
      <c r="H1" s="1597" t="s">
        <v>1056</v>
      </c>
      <c r="I1" s="1598"/>
      <c r="J1" s="1598"/>
      <c r="K1" s="1598"/>
      <c r="L1" s="1599"/>
      <c r="N1" s="350" t="s">
        <v>1058</v>
      </c>
      <c r="O1" s="345"/>
      <c r="P1" s="345"/>
      <c r="Q1" s="345"/>
      <c r="R1" s="345"/>
      <c r="S1" s="345"/>
      <c r="T1" s="345"/>
      <c r="U1" s="345"/>
      <c r="V1" s="345"/>
    </row>
    <row r="2" spans="1:22" ht="15" thickBot="1">
      <c r="A2" s="2" t="s">
        <v>8</v>
      </c>
    </row>
    <row r="3" spans="1:22" ht="15.5" thickTop="1" thickBot="1">
      <c r="A3" s="1585" t="s">
        <v>86</v>
      </c>
      <c r="B3" s="1587" t="s">
        <v>2</v>
      </c>
      <c r="C3" s="1593"/>
      <c r="D3" s="1593"/>
      <c r="E3" s="1593"/>
      <c r="F3" s="1588"/>
    </row>
    <row r="4" spans="1:22" ht="60" customHeight="1" thickTop="1" thickBot="1">
      <c r="A4" s="1586"/>
      <c r="B4" s="592" t="s">
        <v>87</v>
      </c>
      <c r="C4" s="21" t="s">
        <v>455</v>
      </c>
      <c r="D4" s="592" t="s">
        <v>1365</v>
      </c>
      <c r="E4" s="21" t="s">
        <v>457</v>
      </c>
      <c r="F4" s="592" t="s">
        <v>89</v>
      </c>
      <c r="G4" s="336"/>
      <c r="H4" s="59" t="s">
        <v>87</v>
      </c>
      <c r="I4" s="387" t="s">
        <v>456</v>
      </c>
      <c r="J4" s="59" t="s">
        <v>459</v>
      </c>
      <c r="K4" s="387" t="s">
        <v>457</v>
      </c>
      <c r="L4" s="59" t="s">
        <v>89</v>
      </c>
      <c r="N4" s="59" t="s">
        <v>89</v>
      </c>
    </row>
    <row r="5" spans="1:22" ht="23.25" customHeight="1" thickTop="1" thickBot="1">
      <c r="A5" s="14" t="s">
        <v>90</v>
      </c>
      <c r="B5" s="22"/>
      <c r="C5" s="22"/>
      <c r="D5" s="22"/>
      <c r="E5" s="22"/>
      <c r="F5" s="15">
        <f>SUM(B5:E5)</f>
        <v>0</v>
      </c>
      <c r="I5" s="336"/>
      <c r="J5" s="336"/>
      <c r="K5" s="336"/>
      <c r="L5" s="341">
        <f>SUM(B5:E5)-F5</f>
        <v>0</v>
      </c>
      <c r="N5" s="349">
        <f>F5-'BS old'!E41</f>
        <v>0</v>
      </c>
    </row>
    <row r="6" spans="1:22" ht="23.25" customHeight="1" thickBot="1">
      <c r="A6" s="14" t="s">
        <v>98</v>
      </c>
      <c r="B6" s="22"/>
      <c r="C6" s="22"/>
      <c r="D6" s="22"/>
      <c r="E6" s="22"/>
      <c r="F6" s="15">
        <f t="shared" ref="F6:F11" si="0">SUM(B6:E6)</f>
        <v>0</v>
      </c>
      <c r="I6" s="336"/>
      <c r="J6" s="336"/>
      <c r="K6" s="336"/>
      <c r="L6" s="341">
        <f t="shared" ref="L6:L11" si="1">SUM(B6:E6)-F6</f>
        <v>0</v>
      </c>
      <c r="N6" s="349">
        <f>F6-'BS old'!E42</f>
        <v>0</v>
      </c>
    </row>
    <row r="7" spans="1:22" ht="23.25" customHeight="1" thickBot="1">
      <c r="A7" s="14" t="s">
        <v>91</v>
      </c>
      <c r="B7" s="22"/>
      <c r="C7" s="22"/>
      <c r="D7" s="22"/>
      <c r="E7" s="22"/>
      <c r="F7" s="15">
        <f t="shared" si="0"/>
        <v>0</v>
      </c>
      <c r="I7" s="336"/>
      <c r="J7" s="336"/>
      <c r="K7" s="336"/>
      <c r="L7" s="341">
        <f t="shared" si="1"/>
        <v>0</v>
      </c>
      <c r="N7" s="349">
        <f>F7-'BS old'!E43</f>
        <v>0</v>
      </c>
    </row>
    <row r="8" spans="1:22" ht="23.25" customHeight="1" thickBot="1">
      <c r="A8" s="14" t="s">
        <v>92</v>
      </c>
      <c r="B8" s="22"/>
      <c r="C8" s="22"/>
      <c r="D8" s="22"/>
      <c r="E8" s="22"/>
      <c r="F8" s="15">
        <f t="shared" si="0"/>
        <v>0</v>
      </c>
      <c r="I8" s="336"/>
      <c r="J8" s="336"/>
      <c r="K8" s="336"/>
      <c r="L8" s="341">
        <f t="shared" si="1"/>
        <v>0</v>
      </c>
      <c r="N8" s="349">
        <f>F8-'BS old'!E44</f>
        <v>0</v>
      </c>
    </row>
    <row r="9" spans="1:22" ht="23.25" customHeight="1" thickBot="1">
      <c r="A9" s="14" t="s">
        <v>93</v>
      </c>
      <c r="B9" s="22"/>
      <c r="C9" s="22"/>
      <c r="D9" s="22"/>
      <c r="E9" s="22"/>
      <c r="F9" s="15">
        <f t="shared" si="0"/>
        <v>0</v>
      </c>
      <c r="L9" s="341">
        <f t="shared" si="1"/>
        <v>0</v>
      </c>
      <c r="N9" s="349">
        <f>F9-'BS old'!E45</f>
        <v>0</v>
      </c>
    </row>
    <row r="10" spans="1:22" ht="23.25" customHeight="1" thickBot="1">
      <c r="A10" s="14" t="s">
        <v>94</v>
      </c>
      <c r="B10" s="22"/>
      <c r="C10" s="22"/>
      <c r="D10" s="22"/>
      <c r="E10" s="22"/>
      <c r="F10" s="15">
        <f t="shared" si="0"/>
        <v>0</v>
      </c>
      <c r="L10" s="341">
        <f t="shared" si="1"/>
        <v>0</v>
      </c>
      <c r="N10" s="388"/>
    </row>
    <row r="11" spans="1:22" ht="23.25" customHeight="1" thickBot="1">
      <c r="A11" s="14" t="s">
        <v>458</v>
      </c>
      <c r="B11" s="22"/>
      <c r="C11" s="22"/>
      <c r="D11" s="22"/>
      <c r="E11" s="22"/>
      <c r="F11" s="15">
        <f t="shared" si="0"/>
        <v>0</v>
      </c>
      <c r="L11" s="341">
        <f t="shared" si="1"/>
        <v>0</v>
      </c>
      <c r="N11" s="349">
        <f>F11-'BS old'!E46</f>
        <v>0</v>
      </c>
    </row>
    <row r="12" spans="1:22" ht="23.25" customHeight="1" thickBot="1">
      <c r="A12" s="25" t="s">
        <v>95</v>
      </c>
      <c r="B12" s="58">
        <f>SUM(B5:B11)</f>
        <v>0</v>
      </c>
      <c r="C12" s="58">
        <f t="shared" ref="C12:E12" si="2">SUM(C5:C11)</f>
        <v>0</v>
      </c>
      <c r="D12" s="58">
        <f>SUM(D5:D11)</f>
        <v>0</v>
      </c>
      <c r="E12" s="58">
        <f t="shared" si="2"/>
        <v>0</v>
      </c>
      <c r="F12" s="60">
        <f>SUM(F5:F11)</f>
        <v>0</v>
      </c>
      <c r="H12" s="337">
        <f>SUM(B5:B11)-B12</f>
        <v>0</v>
      </c>
      <c r="I12" s="337">
        <f t="shared" ref="I12:L12" si="3">SUM(C5:C11)-C12</f>
        <v>0</v>
      </c>
      <c r="J12" s="337">
        <f t="shared" si="3"/>
        <v>0</v>
      </c>
      <c r="K12" s="337">
        <f t="shared" si="3"/>
        <v>0</v>
      </c>
      <c r="L12" s="341">
        <f t="shared" si="3"/>
        <v>0</v>
      </c>
      <c r="N12" s="349">
        <f>F12-'BS old'!E40</f>
        <v>0</v>
      </c>
    </row>
    <row r="13" spans="1:22" ht="15" thickTop="1">
      <c r="A13" s="2"/>
    </row>
  </sheetData>
  <mergeCells count="3">
    <mergeCell ref="B3:F3"/>
    <mergeCell ref="A3:A4"/>
    <mergeCell ref="H1:L1"/>
  </mergeCells>
  <conditionalFormatting sqref="H5:L8 H12:L12 L6:L12">
    <cfRule type="cellIs" dxfId="178" priority="3" operator="lessThan">
      <formula>0</formula>
    </cfRule>
    <cfRule type="cellIs" dxfId="177" priority="4" operator="greaterThan">
      <formula>0</formula>
    </cfRule>
    <cfRule type="cellIs" dxfId="176" priority="5" operator="lessThan">
      <formula>0</formula>
    </cfRule>
    <cfRule type="cellIs" dxfId="175" priority="6" operator="greaterThan">
      <formula>0</formula>
    </cfRule>
  </conditionalFormatting>
  <conditionalFormatting sqref="N5:N12">
    <cfRule type="cellIs" dxfId="174" priority="1" operator="lessThan">
      <formula>0</formula>
    </cfRule>
    <cfRule type="cellIs" dxfId="173" priority="2" operator="greaterThan">
      <formula>0</formula>
    </cfRule>
  </conditionalFormatting>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7"/>
  <sheetViews>
    <sheetView showGridLines="0" zoomScaleNormal="100" workbookViewId="0">
      <selection activeCell="B21" sqref="B21"/>
    </sheetView>
  </sheetViews>
  <sheetFormatPr defaultRowHeight="14.5"/>
  <cols>
    <col min="1" max="1" width="44.453125" customWidth="1"/>
    <col min="2" max="2" width="42.1796875" customWidth="1"/>
    <col min="3" max="3" width="19.1796875" customWidth="1"/>
    <col min="4" max="4" width="15.453125" customWidth="1"/>
    <col min="5" max="5" width="14.54296875" customWidth="1"/>
    <col min="6" max="6" width="13.54296875" customWidth="1"/>
    <col min="7" max="7" width="17.54296875" customWidth="1"/>
  </cols>
  <sheetData>
    <row r="1" spans="1:2">
      <c r="A1" s="1" t="s">
        <v>85</v>
      </c>
    </row>
    <row r="2" spans="1:2">
      <c r="A2" s="2"/>
    </row>
    <row r="3" spans="1:2" ht="15" thickBot="1">
      <c r="A3" s="2" t="s">
        <v>15</v>
      </c>
    </row>
    <row r="4" spans="1:2" ht="24" customHeight="1" thickTop="1" thickBot="1">
      <c r="A4" s="10" t="s">
        <v>94</v>
      </c>
      <c r="B4" s="11" t="s">
        <v>63</v>
      </c>
    </row>
    <row r="5" spans="1:2" ht="21" thickTop="1" thickBot="1">
      <c r="A5" s="12" t="s">
        <v>96</v>
      </c>
      <c r="B5" s="13"/>
    </row>
    <row r="6" spans="1:2" ht="24.75" customHeight="1" thickBot="1">
      <c r="A6" s="16" t="s">
        <v>97</v>
      </c>
      <c r="B6" s="17"/>
    </row>
    <row r="7" spans="1:2" ht="15" thickTop="1">
      <c r="A7" s="63"/>
      <c r="B7" s="18"/>
    </row>
  </sheetData>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5"/>
  <sheetViews>
    <sheetView showGridLines="0" zoomScaleNormal="100" workbookViewId="0">
      <selection activeCell="B3" sqref="B3"/>
    </sheetView>
  </sheetViews>
  <sheetFormatPr defaultRowHeight="14.5"/>
  <cols>
    <col min="1" max="1" width="44.453125" customWidth="1"/>
    <col min="2" max="2" width="42.1796875" customWidth="1"/>
    <col min="3" max="3" width="19.1796875" customWidth="1"/>
  </cols>
  <sheetData>
    <row r="1" spans="1:2" ht="15" thickBot="1">
      <c r="A1" s="1" t="s">
        <v>99</v>
      </c>
    </row>
    <row r="2" spans="1:2" ht="15.5" thickTop="1" thickBot="1">
      <c r="A2" s="591" t="s">
        <v>86</v>
      </c>
      <c r="B2" s="594" t="s">
        <v>36</v>
      </c>
    </row>
    <row r="3" spans="1:2" ht="24" customHeight="1" thickTop="1" thickBot="1">
      <c r="A3" s="12" t="s">
        <v>100</v>
      </c>
      <c r="B3" s="13"/>
    </row>
    <row r="4" spans="1:2" ht="24" customHeight="1" thickBot="1">
      <c r="A4" s="16" t="s">
        <v>101</v>
      </c>
      <c r="B4" s="17"/>
    </row>
    <row r="5" spans="1:2" ht="15" thickTop="1"/>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14"/>
  <sheetViews>
    <sheetView showGridLines="0" zoomScaleNormal="100" workbookViewId="0">
      <selection activeCell="H13" sqref="H13:J13"/>
    </sheetView>
  </sheetViews>
  <sheetFormatPr defaultRowHeight="14.5"/>
  <cols>
    <col min="1" max="1" width="22.1796875" customWidth="1"/>
    <col min="2" max="4" width="21.453125" customWidth="1"/>
    <col min="8" max="8" width="20" style="335" customWidth="1"/>
    <col min="9" max="9" width="15.26953125" style="336" customWidth="1"/>
    <col min="10" max="10" width="20.81640625" style="340" customWidth="1"/>
  </cols>
  <sheetData>
    <row r="1" spans="1:13">
      <c r="A1" s="1" t="s">
        <v>102</v>
      </c>
      <c r="H1" s="1597" t="s">
        <v>1056</v>
      </c>
      <c r="I1" s="1598"/>
      <c r="J1" s="1599"/>
      <c r="K1" s="345"/>
      <c r="L1" s="345"/>
      <c r="M1" s="336"/>
    </row>
    <row r="2" spans="1:13" ht="15" thickBot="1">
      <c r="A2" s="2" t="s">
        <v>8</v>
      </c>
    </row>
    <row r="3" spans="1:13" ht="45.25" customHeight="1" thickTop="1" thickBot="1">
      <c r="A3" s="59" t="s">
        <v>1</v>
      </c>
      <c r="B3" s="70" t="s">
        <v>489</v>
      </c>
      <c r="C3" s="70" t="s">
        <v>104</v>
      </c>
      <c r="D3" s="70" t="s">
        <v>491</v>
      </c>
      <c r="H3" s="59" t="s">
        <v>489</v>
      </c>
      <c r="I3" s="387" t="s">
        <v>104</v>
      </c>
      <c r="J3" s="387" t="s">
        <v>491</v>
      </c>
    </row>
    <row r="4" spans="1:13" ht="20.25" customHeight="1" thickTop="1" thickBot="1">
      <c r="A4" s="14" t="s">
        <v>106</v>
      </c>
      <c r="B4" s="15"/>
      <c r="C4" s="15"/>
      <c r="D4" s="15"/>
    </row>
    <row r="5" spans="1:13" ht="20.25" customHeight="1" thickBot="1">
      <c r="A5" s="14" t="s">
        <v>107</v>
      </c>
      <c r="B5" s="15"/>
      <c r="C5" s="15"/>
      <c r="D5" s="15"/>
    </row>
    <row r="6" spans="1:13" ht="20.25" customHeight="1" thickBot="1">
      <c r="A6" s="16" t="s">
        <v>108</v>
      </c>
      <c r="B6" s="17">
        <f>B4+B5</f>
        <v>0</v>
      </c>
      <c r="C6" s="17">
        <f t="shared" ref="C6:D6" si="0">C4+C5</f>
        <v>0</v>
      </c>
      <c r="D6" s="17">
        <f t="shared" si="0"/>
        <v>0</v>
      </c>
      <c r="H6" s="338">
        <f>SUM(B4:B5)-B6</f>
        <v>0</v>
      </c>
      <c r="I6" s="337">
        <f t="shared" ref="I6" si="1">SUM(C4:C5)-C6</f>
        <v>0</v>
      </c>
      <c r="J6" s="341">
        <f>SUM(D4:D5)-D6</f>
        <v>0</v>
      </c>
    </row>
    <row r="7" spans="1:13" ht="15" thickTop="1">
      <c r="A7" s="48"/>
      <c r="B7" s="20"/>
      <c r="C7" s="20"/>
      <c r="D7" s="20"/>
    </row>
    <row r="8" spans="1:13">
      <c r="A8" s="48"/>
      <c r="B8" s="20"/>
      <c r="C8" s="20"/>
      <c r="D8" s="20"/>
    </row>
    <row r="9" spans="1:13" ht="15" thickBot="1">
      <c r="A9" s="48" t="s">
        <v>114</v>
      </c>
      <c r="B9" s="20"/>
      <c r="C9" s="20"/>
      <c r="D9" s="20"/>
    </row>
    <row r="10" spans="1:13" ht="45.25" customHeight="1" thickTop="1" thickBot="1">
      <c r="A10" s="59" t="s">
        <v>1</v>
      </c>
      <c r="B10" s="70" t="s">
        <v>489</v>
      </c>
      <c r="C10" s="70" t="s">
        <v>104</v>
      </c>
      <c r="D10" s="593" t="s">
        <v>490</v>
      </c>
    </row>
    <row r="11" spans="1:13" ht="20.25" customHeight="1" thickTop="1" thickBot="1">
      <c r="A11" s="14" t="s">
        <v>115</v>
      </c>
      <c r="B11" s="15"/>
      <c r="C11" s="15"/>
      <c r="D11" s="15"/>
    </row>
    <row r="12" spans="1:13" ht="20.25" customHeight="1" thickBot="1">
      <c r="A12" s="14" t="s">
        <v>116</v>
      </c>
      <c r="B12" s="15"/>
      <c r="C12" s="15"/>
      <c r="D12" s="15"/>
    </row>
    <row r="13" spans="1:13" ht="20.25" customHeight="1" thickBot="1">
      <c r="A13" s="16" t="s">
        <v>108</v>
      </c>
      <c r="B13" s="17">
        <f>B11+B12</f>
        <v>0</v>
      </c>
      <c r="C13" s="17">
        <f t="shared" ref="C13:D13" si="2">C11+C12</f>
        <v>0</v>
      </c>
      <c r="D13" s="17">
        <f t="shared" si="2"/>
        <v>0</v>
      </c>
      <c r="H13" s="338">
        <f>SUM(B11:B12)-B13</f>
        <v>0</v>
      </c>
      <c r="I13" s="337">
        <f>SUM(C11:C12)-C13</f>
        <v>0</v>
      </c>
      <c r="J13" s="341">
        <f t="shared" ref="J13" si="3">SUM(D11:D12)-D13</f>
        <v>0</v>
      </c>
    </row>
    <row r="14" spans="1:13" ht="15" thickTop="1">
      <c r="A14" s="5"/>
    </row>
  </sheetData>
  <mergeCells count="1">
    <mergeCell ref="H1:J1"/>
  </mergeCells>
  <conditionalFormatting sqref="H4:J13">
    <cfRule type="cellIs" dxfId="172" priority="1" operator="lessThan">
      <formula>0</formula>
    </cfRule>
    <cfRule type="cellIs" dxfId="171" priority="2" operator="greaterThan">
      <formula>0</formula>
    </cfRule>
  </conditionalFormatting>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7"/>
  <sheetViews>
    <sheetView showGridLines="0" zoomScaleNormal="100" workbookViewId="0">
      <selection activeCell="D10" sqref="D10"/>
    </sheetView>
  </sheetViews>
  <sheetFormatPr defaultRowHeight="14.5"/>
  <cols>
    <col min="1" max="1" width="28.7265625" customWidth="1"/>
    <col min="2" max="3" width="28.81640625" customWidth="1"/>
    <col min="4" max="4" width="36.54296875" customWidth="1"/>
  </cols>
  <sheetData>
    <row r="1" spans="1:3">
      <c r="A1" s="1" t="s">
        <v>102</v>
      </c>
    </row>
    <row r="2" spans="1:3">
      <c r="A2" s="2"/>
    </row>
    <row r="3" spans="1:3" ht="15" thickBot="1">
      <c r="A3" s="20" t="s">
        <v>15</v>
      </c>
      <c r="B3" s="20"/>
      <c r="C3" s="20"/>
    </row>
    <row r="4" spans="1:3" ht="45.25" customHeight="1" thickTop="1" thickBot="1">
      <c r="A4" s="59" t="s">
        <v>109</v>
      </c>
      <c r="B4" s="70" t="s">
        <v>103</v>
      </c>
      <c r="C4" s="70" t="s">
        <v>105</v>
      </c>
    </row>
    <row r="5" spans="1:3" ht="20.25" customHeight="1" thickTop="1" thickBot="1">
      <c r="A5" s="14" t="s">
        <v>110</v>
      </c>
      <c r="B5" s="15"/>
      <c r="C5" s="15"/>
    </row>
    <row r="6" spans="1:3" ht="20.25" customHeight="1" thickBot="1">
      <c r="A6" s="14" t="s">
        <v>111</v>
      </c>
      <c r="B6" s="15"/>
      <c r="C6" s="15"/>
    </row>
    <row r="7" spans="1:3" ht="20.25" customHeight="1" thickBot="1">
      <c r="A7" s="14" t="s">
        <v>112</v>
      </c>
      <c r="B7" s="15"/>
      <c r="C7" s="15"/>
    </row>
    <row r="8" spans="1:3" ht="20.25" customHeight="1" thickBot="1">
      <c r="A8" s="16" t="s">
        <v>113</v>
      </c>
      <c r="B8" s="17"/>
      <c r="C8" s="17"/>
    </row>
    <row r="9" spans="1:3" ht="15" thickTop="1">
      <c r="A9" s="20"/>
      <c r="B9" s="20"/>
      <c r="C9" s="20"/>
    </row>
    <row r="10" spans="1:3">
      <c r="A10" s="49"/>
      <c r="B10" s="20"/>
      <c r="C10" s="20"/>
    </row>
    <row r="11" spans="1:3" ht="15" thickBot="1">
      <c r="A11" s="49" t="s">
        <v>117</v>
      </c>
      <c r="B11" s="20"/>
      <c r="C11" s="20"/>
    </row>
    <row r="12" spans="1:3" ht="45.25" customHeight="1" thickTop="1" thickBot="1">
      <c r="A12" s="59" t="s">
        <v>118</v>
      </c>
      <c r="B12" s="70" t="s">
        <v>103</v>
      </c>
      <c r="C12" s="593" t="s">
        <v>490</v>
      </c>
    </row>
    <row r="13" spans="1:3" ht="20.25" customHeight="1" thickTop="1" thickBot="1">
      <c r="A13" s="14" t="s">
        <v>119</v>
      </c>
      <c r="B13" s="15"/>
      <c r="C13" s="15"/>
    </row>
    <row r="14" spans="1:3" ht="20.25" customHeight="1" thickBot="1">
      <c r="A14" s="14" t="s">
        <v>111</v>
      </c>
      <c r="B14" s="15"/>
      <c r="C14" s="15"/>
    </row>
    <row r="15" spans="1:3" ht="20.25" customHeight="1" thickBot="1">
      <c r="A15" s="14" t="s">
        <v>120</v>
      </c>
      <c r="B15" s="15"/>
      <c r="C15" s="15"/>
    </row>
    <row r="16" spans="1:3" ht="20.25" customHeight="1" thickBot="1">
      <c r="A16" s="16" t="s">
        <v>113</v>
      </c>
      <c r="B16" s="17"/>
      <c r="C16" s="17"/>
    </row>
    <row r="17" ht="15" thickTop="1"/>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99"/>
  </sheetPr>
  <dimension ref="A1:B48"/>
  <sheetViews>
    <sheetView showGridLines="0" workbookViewId="0">
      <selection activeCell="C28" sqref="C28"/>
    </sheetView>
  </sheetViews>
  <sheetFormatPr defaultRowHeight="14.5"/>
  <cols>
    <col min="1" max="1" width="22" customWidth="1"/>
    <col min="2" max="2" width="21.54296875" customWidth="1"/>
  </cols>
  <sheetData>
    <row r="1" spans="1:1" ht="15">
      <c r="A1" s="1418" t="s">
        <v>2643</v>
      </c>
    </row>
    <row r="2" spans="1:1" ht="15">
      <c r="A2" s="1418" t="s">
        <v>2644</v>
      </c>
    </row>
    <row r="3" spans="1:1" ht="15.5">
      <c r="A3" s="1419"/>
    </row>
    <row r="4" spans="1:1" ht="15">
      <c r="A4" s="1420" t="s">
        <v>2645</v>
      </c>
    </row>
    <row r="5" spans="1:1" ht="15">
      <c r="A5" s="1420" t="s">
        <v>2646</v>
      </c>
    </row>
    <row r="6" spans="1:1" ht="15">
      <c r="A6" s="1420" t="s">
        <v>2647</v>
      </c>
    </row>
    <row r="7" spans="1:1" ht="15">
      <c r="A7" s="1420" t="s">
        <v>2648</v>
      </c>
    </row>
    <row r="8" spans="1:1" ht="15">
      <c r="A8" s="1420" t="s">
        <v>2649</v>
      </c>
    </row>
    <row r="9" spans="1:1" ht="15">
      <c r="A9" s="1420" t="s">
        <v>2650</v>
      </c>
    </row>
    <row r="10" spans="1:1" ht="15">
      <c r="A10" s="1418" t="s">
        <v>2651</v>
      </c>
    </row>
    <row r="11" spans="1:1" ht="15">
      <c r="A11" s="1420"/>
    </row>
    <row r="12" spans="1:1">
      <c r="A12" t="s">
        <v>405</v>
      </c>
    </row>
    <row r="13" spans="1:1">
      <c r="A13" t="s">
        <v>406</v>
      </c>
    </row>
    <row r="14" spans="1:1">
      <c r="A14" t="s">
        <v>407</v>
      </c>
    </row>
    <row r="15" spans="1:1">
      <c r="A15" t="s">
        <v>408</v>
      </c>
    </row>
    <row r="16" spans="1:1">
      <c r="A16" t="s">
        <v>409</v>
      </c>
    </row>
    <row r="17" spans="1:2">
      <c r="A17" t="s">
        <v>410</v>
      </c>
    </row>
    <row r="18" spans="1:2">
      <c r="A18" t="s">
        <v>411</v>
      </c>
    </row>
    <row r="19" spans="1:2">
      <c r="A19" t="s">
        <v>412</v>
      </c>
    </row>
    <row r="20" spans="1:2">
      <c r="A20" t="s">
        <v>413</v>
      </c>
    </row>
    <row r="21" spans="1:2">
      <c r="A21" t="s">
        <v>414</v>
      </c>
    </row>
    <row r="22" spans="1:2">
      <c r="A22" s="9" t="s">
        <v>388</v>
      </c>
      <c r="B22" s="9" t="s">
        <v>415</v>
      </c>
    </row>
    <row r="23" spans="1:2">
      <c r="A23" s="7">
        <v>1</v>
      </c>
      <c r="B23" s="8" t="s">
        <v>416</v>
      </c>
    </row>
    <row r="24" spans="1:2">
      <c r="A24" s="7">
        <v>2</v>
      </c>
      <c r="B24" s="8" t="s">
        <v>417</v>
      </c>
    </row>
    <row r="25" spans="1:2">
      <c r="A25" s="7">
        <v>3</v>
      </c>
      <c r="B25" s="8" t="s">
        <v>418</v>
      </c>
    </row>
    <row r="26" spans="1:2">
      <c r="A26" s="7">
        <v>4</v>
      </c>
      <c r="B26" s="8" t="s">
        <v>419</v>
      </c>
    </row>
    <row r="27" spans="1:2">
      <c r="A27" s="7">
        <v>5</v>
      </c>
      <c r="B27" s="8" t="s">
        <v>420</v>
      </c>
    </row>
    <row r="28" spans="1:2">
      <c r="A28" s="7">
        <v>6</v>
      </c>
      <c r="B28" s="8" t="s">
        <v>421</v>
      </c>
    </row>
    <row r="29" spans="1:2">
      <c r="A29" s="7">
        <v>7</v>
      </c>
      <c r="B29" s="8" t="s">
        <v>422</v>
      </c>
    </row>
    <row r="30" spans="1:2">
      <c r="A30" s="7">
        <v>8</v>
      </c>
      <c r="B30" s="8" t="s">
        <v>423</v>
      </c>
    </row>
    <row r="31" spans="1:2">
      <c r="A31" s="7">
        <v>9</v>
      </c>
      <c r="B31" s="8" t="s">
        <v>424</v>
      </c>
    </row>
    <row r="32" spans="1:2">
      <c r="A32" s="7">
        <v>10</v>
      </c>
      <c r="B32" s="8" t="s">
        <v>425</v>
      </c>
    </row>
    <row r="33" spans="1:2">
      <c r="A33" s="7">
        <v>11</v>
      </c>
      <c r="B33" s="8" t="s">
        <v>426</v>
      </c>
    </row>
    <row r="35" spans="1:2">
      <c r="A35" t="s">
        <v>427</v>
      </c>
    </row>
    <row r="36" spans="1:2">
      <c r="A36" t="s">
        <v>428</v>
      </c>
    </row>
    <row r="37" spans="1:2">
      <c r="A37" t="s">
        <v>429</v>
      </c>
    </row>
    <row r="38" spans="1:2">
      <c r="A38" t="s">
        <v>430</v>
      </c>
    </row>
    <row r="39" spans="1:2">
      <c r="A39" t="s">
        <v>431</v>
      </c>
    </row>
    <row r="40" spans="1:2">
      <c r="A40" t="s">
        <v>432</v>
      </c>
    </row>
    <row r="41" spans="1:2">
      <c r="A41" t="s">
        <v>433</v>
      </c>
    </row>
    <row r="42" spans="1:2">
      <c r="A42" t="s">
        <v>434</v>
      </c>
    </row>
    <row r="43" spans="1:2">
      <c r="A43" t="s">
        <v>435</v>
      </c>
    </row>
    <row r="44" spans="1:2">
      <c r="A44" t="s">
        <v>436</v>
      </c>
    </row>
    <row r="45" spans="1:2">
      <c r="A45" t="s">
        <v>437</v>
      </c>
    </row>
    <row r="46" spans="1:2">
      <c r="A46" t="s">
        <v>438</v>
      </c>
    </row>
    <row r="47" spans="1:2">
      <c r="A47" t="s">
        <v>439</v>
      </c>
    </row>
    <row r="48" spans="1:2">
      <c r="A48" t="s">
        <v>440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11"/>
  <sheetViews>
    <sheetView showGridLines="0" zoomScaleNormal="100" workbookViewId="0">
      <selection activeCell="H3" sqref="H3:K3"/>
    </sheetView>
  </sheetViews>
  <sheetFormatPr defaultRowHeight="14.5" outlineLevelCol="1"/>
  <cols>
    <col min="1" max="1" width="25.26953125" customWidth="1"/>
    <col min="2" max="6" width="12.1796875" customWidth="1"/>
    <col min="8" max="8" width="18.81640625" style="335" hidden="1" customWidth="1" outlineLevel="1"/>
    <col min="9" max="11" width="18.81640625" hidden="1" customWidth="1" outlineLevel="1"/>
    <col min="12" max="12" width="24.7265625" style="340" customWidth="1" collapsed="1"/>
    <col min="14" max="14" width="22" style="342" customWidth="1"/>
  </cols>
  <sheetData>
    <row r="1" spans="1:15" ht="15" thickBot="1">
      <c r="A1" s="1" t="s">
        <v>121</v>
      </c>
      <c r="H1" s="1597" t="s">
        <v>1056</v>
      </c>
      <c r="I1" s="1598"/>
      <c r="J1" s="1598"/>
      <c r="K1" s="1598"/>
      <c r="L1" s="1599"/>
      <c r="N1" s="350" t="s">
        <v>1058</v>
      </c>
    </row>
    <row r="2" spans="1:15" ht="15.5" thickTop="1" thickBot="1">
      <c r="A2" s="1585" t="s">
        <v>122</v>
      </c>
      <c r="B2" s="1587" t="s">
        <v>2</v>
      </c>
      <c r="C2" s="1593"/>
      <c r="D2" s="1593"/>
      <c r="E2" s="1593"/>
      <c r="F2" s="1588"/>
    </row>
    <row r="3" spans="1:15" ht="62.25" customHeight="1" thickTop="1" thickBot="1">
      <c r="A3" s="1586"/>
      <c r="B3" s="30" t="s">
        <v>123</v>
      </c>
      <c r="C3" s="21" t="s">
        <v>455</v>
      </c>
      <c r="D3" s="30" t="s">
        <v>459</v>
      </c>
      <c r="E3" s="21" t="s">
        <v>457</v>
      </c>
      <c r="F3" s="30" t="s">
        <v>89</v>
      </c>
      <c r="H3" s="59" t="s">
        <v>123</v>
      </c>
      <c r="I3" s="177" t="s">
        <v>455</v>
      </c>
      <c r="J3" s="59" t="s">
        <v>459</v>
      </c>
      <c r="K3" s="177" t="s">
        <v>457</v>
      </c>
      <c r="L3" s="59" t="s">
        <v>89</v>
      </c>
      <c r="N3" s="59" t="s">
        <v>89</v>
      </c>
    </row>
    <row r="4" spans="1:15" s="4" customFormat="1" ht="33" customHeight="1" thickTop="1" thickBot="1">
      <c r="A4" s="14" t="s">
        <v>125</v>
      </c>
      <c r="B4" s="22"/>
      <c r="C4" s="22"/>
      <c r="D4" s="22"/>
      <c r="E4" s="22"/>
      <c r="F4" s="15">
        <f>SUM(B4:E4)</f>
        <v>0</v>
      </c>
      <c r="H4" s="335"/>
      <c r="I4" s="336"/>
      <c r="J4" s="336"/>
      <c r="K4" s="336"/>
      <c r="L4" s="341">
        <f>SUM(B4:E4)-F4</f>
        <v>0</v>
      </c>
      <c r="N4" s="349">
        <f>F4-'BS old'!$E$56-'BS old'!$E$48</f>
        <v>0</v>
      </c>
      <c r="O4" s="39"/>
    </row>
    <row r="5" spans="1:15" s="4" customFormat="1" ht="33" customHeight="1" thickBot="1">
      <c r="A5" s="14" t="s">
        <v>126</v>
      </c>
      <c r="B5" s="22"/>
      <c r="C5" s="22"/>
      <c r="D5" s="22"/>
      <c r="E5" s="22"/>
      <c r="F5" s="15">
        <f t="shared" ref="F5:F8" si="0">SUM(B5:E5)</f>
        <v>0</v>
      </c>
      <c r="H5" s="335"/>
      <c r="I5" s="336"/>
      <c r="J5" s="336"/>
      <c r="K5" s="336"/>
      <c r="L5" s="341">
        <f>SUM(B5:E5)-F5</f>
        <v>0</v>
      </c>
      <c r="N5" s="349">
        <f>F5-'BS old'!$E$58-'BS old'!$E$50</f>
        <v>0</v>
      </c>
      <c r="O5" s="39"/>
    </row>
    <row r="6" spans="1:15" s="4" customFormat="1" ht="33" customHeight="1" thickBot="1">
      <c r="A6" s="14" t="s">
        <v>136</v>
      </c>
      <c r="B6" s="22"/>
      <c r="C6" s="22"/>
      <c r="D6" s="22"/>
      <c r="E6" s="22"/>
      <c r="F6" s="15">
        <f t="shared" si="0"/>
        <v>0</v>
      </c>
      <c r="H6" s="335"/>
      <c r="I6" s="336"/>
      <c r="J6" s="336"/>
      <c r="K6" s="336"/>
      <c r="L6" s="341">
        <f t="shared" ref="L6:L8" si="1">SUM(B6:E6)-F6</f>
        <v>0</v>
      </c>
      <c r="N6" s="349">
        <f>F6-'BS old'!$E$59-'BS old'!$E$51</f>
        <v>0</v>
      </c>
      <c r="O6" s="39"/>
    </row>
    <row r="7" spans="1:15" s="4" customFormat="1" ht="33" customHeight="1" thickBot="1">
      <c r="A7" s="14" t="s">
        <v>127</v>
      </c>
      <c r="B7" s="22"/>
      <c r="C7" s="22"/>
      <c r="D7" s="22"/>
      <c r="E7" s="22"/>
      <c r="F7" s="15">
        <f t="shared" si="0"/>
        <v>0</v>
      </c>
      <c r="H7" s="335"/>
      <c r="I7" s="336"/>
      <c r="J7" s="336"/>
      <c r="K7" s="336"/>
      <c r="L7" s="341">
        <f t="shared" si="1"/>
        <v>0</v>
      </c>
      <c r="N7" s="349">
        <f>F7-'BS old'!$E$60-'BS old'!$E$52</f>
        <v>0</v>
      </c>
      <c r="O7" s="39"/>
    </row>
    <row r="8" spans="1:15" s="4" customFormat="1" ht="33" customHeight="1" thickBot="1">
      <c r="A8" s="14" t="s">
        <v>128</v>
      </c>
      <c r="B8" s="22"/>
      <c r="C8" s="22"/>
      <c r="D8" s="22"/>
      <c r="E8" s="22"/>
      <c r="F8" s="15">
        <f t="shared" si="0"/>
        <v>0</v>
      </c>
      <c r="H8" s="335"/>
      <c r="I8"/>
      <c r="J8"/>
      <c r="K8"/>
      <c r="L8" s="341">
        <f t="shared" si="1"/>
        <v>0</v>
      </c>
      <c r="N8" s="349">
        <f>F8-SUM('BS old'!$E$61:$E$63,'BS old'!$E$53,'BS old'!$E$54)</f>
        <v>0</v>
      </c>
      <c r="O8" s="39"/>
    </row>
    <row r="9" spans="1:15" s="4" customFormat="1" ht="33" customHeight="1" thickBot="1">
      <c r="A9" s="25" t="s">
        <v>129</v>
      </c>
      <c r="B9" s="58">
        <f>SUM(B4:B8)</f>
        <v>0</v>
      </c>
      <c r="C9" s="58">
        <f>SUM(C4:C8)</f>
        <v>0</v>
      </c>
      <c r="D9" s="58">
        <f>SUM(D4:D8)</f>
        <v>0</v>
      </c>
      <c r="E9" s="58">
        <f>SUM(E4:E8)</f>
        <v>0</v>
      </c>
      <c r="F9" s="60">
        <f>SUM(F4:F8)</f>
        <v>0</v>
      </c>
      <c r="H9" s="335"/>
      <c r="I9"/>
      <c r="J9"/>
      <c r="K9"/>
      <c r="L9" s="341">
        <f>SUM(F4:F8)-F9</f>
        <v>0</v>
      </c>
      <c r="N9" s="349">
        <f>F9-'BS old'!$E$47-'BS old'!$E$55</f>
        <v>0</v>
      </c>
      <c r="O9" s="39"/>
    </row>
    <row r="10" spans="1:15" ht="15" thickTop="1">
      <c r="L10" s="341"/>
      <c r="N10" s="349"/>
      <c r="O10" s="39"/>
    </row>
    <row r="11" spans="1:15">
      <c r="H11" s="338"/>
      <c r="I11" s="337"/>
      <c r="J11" s="337"/>
      <c r="K11" s="337"/>
      <c r="L11" s="341"/>
      <c r="N11" s="349"/>
      <c r="O11" s="39"/>
    </row>
  </sheetData>
  <mergeCells count="3">
    <mergeCell ref="B2:F2"/>
    <mergeCell ref="A2:A3"/>
    <mergeCell ref="H1:L1"/>
  </mergeCells>
  <conditionalFormatting sqref="H4:L7 H11:L11 L5:L10">
    <cfRule type="cellIs" dxfId="170" priority="7" operator="lessThan">
      <formula>0</formula>
    </cfRule>
    <cfRule type="cellIs" dxfId="169" priority="8" operator="greaterThan">
      <formula>0</formula>
    </cfRule>
    <cfRule type="cellIs" dxfId="168" priority="9" operator="lessThan">
      <formula>0</formula>
    </cfRule>
    <cfRule type="cellIs" dxfId="167" priority="10" operator="greaterThan">
      <formula>0</formula>
    </cfRule>
  </conditionalFormatting>
  <conditionalFormatting sqref="N4:N11">
    <cfRule type="cellIs" dxfId="166" priority="5" operator="lessThan">
      <formula>0</formula>
    </cfRule>
    <cfRule type="cellIs" dxfId="165" priority="6" operator="greaterThan">
      <formula>0</formula>
    </cfRule>
  </conditionalFormatting>
  <conditionalFormatting sqref="L9">
    <cfRule type="cellIs" dxfId="164" priority="1" operator="lessThan">
      <formula>0</formula>
    </cfRule>
    <cfRule type="cellIs" dxfId="163" priority="2" operator="greaterThan">
      <formula>0</formula>
    </cfRule>
    <cfRule type="cellIs" dxfId="162" priority="3" operator="lessThan">
      <formula>0</formula>
    </cfRule>
    <cfRule type="cellIs" dxfId="161" priority="4" operator="greaterThan">
      <formula>0</formula>
    </cfRule>
  </conditionalFormatting>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20"/>
  <sheetViews>
    <sheetView showGridLines="0" zoomScaleNormal="100" workbookViewId="0">
      <selection activeCell="J12" sqref="J12:J19"/>
    </sheetView>
  </sheetViews>
  <sheetFormatPr defaultRowHeight="14.5" outlineLevelCol="1"/>
  <cols>
    <col min="1" max="1" width="25.81640625" customWidth="1"/>
    <col min="2" max="4" width="20.1796875" customWidth="1"/>
    <col min="5" max="5" width="20.453125" customWidth="1"/>
    <col min="6" max="6" width="20.453125" style="335" customWidth="1" outlineLevel="1"/>
    <col min="7" max="7" width="18.81640625" style="336" customWidth="1" outlineLevel="1"/>
    <col min="8" max="8" width="20.81640625" style="340" customWidth="1"/>
    <col min="10" max="10" width="22" style="342" customWidth="1"/>
  </cols>
  <sheetData>
    <row r="1" spans="1:10">
      <c r="A1" s="1" t="s">
        <v>130</v>
      </c>
      <c r="F1" s="1597" t="s">
        <v>1056</v>
      </c>
      <c r="G1" s="1598"/>
      <c r="H1" s="1599"/>
      <c r="J1" s="348" t="s">
        <v>1058</v>
      </c>
    </row>
    <row r="2" spans="1:10" ht="15" thickBot="1">
      <c r="A2" s="2" t="s">
        <v>8</v>
      </c>
    </row>
    <row r="3" spans="1:10" ht="22.5" customHeight="1" thickTop="1" thickBot="1">
      <c r="A3" s="10" t="s">
        <v>131</v>
      </c>
      <c r="B3" s="11" t="s">
        <v>132</v>
      </c>
      <c r="C3" s="11" t="s">
        <v>133</v>
      </c>
      <c r="D3" s="11" t="s">
        <v>129</v>
      </c>
      <c r="F3" s="59" t="s">
        <v>132</v>
      </c>
      <c r="G3" s="386" t="s">
        <v>133</v>
      </c>
      <c r="H3" s="386" t="s">
        <v>129</v>
      </c>
      <c r="J3" s="59" t="s">
        <v>129</v>
      </c>
    </row>
    <row r="4" spans="1:10" ht="22.5" customHeight="1" thickTop="1" thickBot="1">
      <c r="A4" s="64" t="s">
        <v>134</v>
      </c>
      <c r="B4" s="53"/>
      <c r="C4" s="53"/>
      <c r="D4" s="54"/>
      <c r="J4" s="349"/>
    </row>
    <row r="5" spans="1:10" ht="22.5" customHeight="1" thickTop="1" thickBot="1">
      <c r="A5" s="14" t="s">
        <v>135</v>
      </c>
      <c r="B5" s="22"/>
      <c r="C5" s="22"/>
      <c r="D5" s="15">
        <f>B5+C5</f>
        <v>0</v>
      </c>
      <c r="H5" s="341">
        <f>SUM(B5:C5)-D5</f>
        <v>0</v>
      </c>
      <c r="J5" s="349">
        <f>D5-'BS old'!$D$48</f>
        <v>0</v>
      </c>
    </row>
    <row r="6" spans="1:10" ht="22.5" customHeight="1" thickBot="1">
      <c r="A6" s="14" t="s">
        <v>126</v>
      </c>
      <c r="B6" s="22"/>
      <c r="C6" s="22"/>
      <c r="D6" s="15">
        <f t="shared" ref="D6:D9" si="0">B6+C6</f>
        <v>0</v>
      </c>
      <c r="H6" s="341">
        <f t="shared" ref="H6:H9" si="1">SUM(B6:C6)-D6</f>
        <v>0</v>
      </c>
      <c r="J6" s="349">
        <f>D6-'BS old'!$D$50</f>
        <v>0</v>
      </c>
    </row>
    <row r="7" spans="1:10" ht="22.5" customHeight="1" thickBot="1">
      <c r="A7" s="14" t="s">
        <v>136</v>
      </c>
      <c r="B7" s="22"/>
      <c r="C7" s="22"/>
      <c r="D7" s="15">
        <f t="shared" si="0"/>
        <v>0</v>
      </c>
      <c r="H7" s="341">
        <f t="shared" si="1"/>
        <v>0</v>
      </c>
      <c r="J7" s="349">
        <f>D7-'BS old'!$D$51</f>
        <v>0</v>
      </c>
    </row>
    <row r="8" spans="1:10" ht="22.5" customHeight="1" thickBot="1">
      <c r="A8" s="14" t="s">
        <v>127</v>
      </c>
      <c r="B8" s="22"/>
      <c r="C8" s="22"/>
      <c r="D8" s="15">
        <f t="shared" si="0"/>
        <v>0</v>
      </c>
      <c r="H8" s="341">
        <f t="shared" si="1"/>
        <v>0</v>
      </c>
      <c r="J8" s="349">
        <f>D8-'BS old'!$D$52</f>
        <v>0</v>
      </c>
    </row>
    <row r="9" spans="1:10" ht="22.5" customHeight="1" thickBot="1">
      <c r="A9" s="14" t="s">
        <v>128</v>
      </c>
      <c r="B9" s="22"/>
      <c r="C9" s="22"/>
      <c r="D9" s="15">
        <f t="shared" si="0"/>
        <v>0</v>
      </c>
      <c r="H9" s="341">
        <f t="shared" si="1"/>
        <v>0</v>
      </c>
      <c r="J9" s="349">
        <f>D9-'BS old'!$D$53-'BS old'!$D$54</f>
        <v>0</v>
      </c>
    </row>
    <row r="10" spans="1:10" ht="22.5" customHeight="1" thickBot="1">
      <c r="A10" s="25" t="s">
        <v>137</v>
      </c>
      <c r="B10" s="58">
        <f>SUM(B5:B9)</f>
        <v>0</v>
      </c>
      <c r="C10" s="58">
        <f>SUM(C5:C9)</f>
        <v>0</v>
      </c>
      <c r="D10" s="60">
        <f>SUM(D5:D9)</f>
        <v>0</v>
      </c>
      <c r="F10" s="338">
        <f>SUM(B5:B9)-B10</f>
        <v>0</v>
      </c>
      <c r="G10" s="337">
        <f>SUM(C5:C9)-C10</f>
        <v>0</v>
      </c>
      <c r="H10" s="341">
        <f>SUM(D5:D9)-D10</f>
        <v>0</v>
      </c>
      <c r="J10" s="349">
        <f>D10-'BS old'!$D$47</f>
        <v>0</v>
      </c>
    </row>
    <row r="11" spans="1:10" ht="22.5" customHeight="1" thickTop="1" thickBot="1">
      <c r="A11" s="64" t="s">
        <v>138</v>
      </c>
      <c r="B11" s="53"/>
      <c r="C11" s="53"/>
      <c r="D11" s="54"/>
      <c r="J11" s="349"/>
    </row>
    <row r="12" spans="1:10" ht="22.5" customHeight="1" thickTop="1" thickBot="1">
      <c r="A12" s="14" t="s">
        <v>139</v>
      </c>
      <c r="B12" s="22"/>
      <c r="C12" s="22"/>
      <c r="D12" s="15">
        <f>B12+C12</f>
        <v>0</v>
      </c>
      <c r="H12" s="341">
        <f>SUM(B12:C12)-D12</f>
        <v>0</v>
      </c>
      <c r="J12" s="349">
        <f>D12-'BS old'!$D$56</f>
        <v>0</v>
      </c>
    </row>
    <row r="13" spans="1:10" ht="22.5" customHeight="1" thickBot="1">
      <c r="A13" s="14" t="s">
        <v>126</v>
      </c>
      <c r="B13" s="22"/>
      <c r="C13" s="22"/>
      <c r="D13" s="15">
        <f t="shared" ref="D13:D18" si="2">B13+C13</f>
        <v>0</v>
      </c>
      <c r="H13" s="341">
        <f t="shared" ref="H13:H18" si="3">SUM(B13:C13)-D13</f>
        <v>0</v>
      </c>
      <c r="J13" s="349">
        <f>D13-'BS old'!$D$58</f>
        <v>0</v>
      </c>
    </row>
    <row r="14" spans="1:10" ht="22.5" customHeight="1" thickBot="1">
      <c r="A14" s="14" t="s">
        <v>136</v>
      </c>
      <c r="B14" s="22"/>
      <c r="C14" s="22"/>
      <c r="D14" s="15">
        <f t="shared" si="2"/>
        <v>0</v>
      </c>
      <c r="H14" s="341">
        <f t="shared" si="3"/>
        <v>0</v>
      </c>
      <c r="J14" s="349">
        <f>D14-'BS old'!$D$59</f>
        <v>0</v>
      </c>
    </row>
    <row r="15" spans="1:10" ht="22.5" customHeight="1" thickBot="1">
      <c r="A15" s="14" t="s">
        <v>127</v>
      </c>
      <c r="B15" s="22"/>
      <c r="C15" s="22"/>
      <c r="D15" s="15">
        <f t="shared" si="2"/>
        <v>0</v>
      </c>
      <c r="H15" s="341">
        <f t="shared" si="3"/>
        <v>0</v>
      </c>
      <c r="J15" s="349">
        <f>D15-'BS old'!$D$60</f>
        <v>0</v>
      </c>
    </row>
    <row r="16" spans="1:10" ht="22.5" customHeight="1" thickBot="1">
      <c r="A16" s="14" t="s">
        <v>140</v>
      </c>
      <c r="B16" s="22"/>
      <c r="C16" s="22"/>
      <c r="D16" s="15">
        <f t="shared" si="2"/>
        <v>0</v>
      </c>
      <c r="H16" s="341">
        <f t="shared" si="3"/>
        <v>0</v>
      </c>
      <c r="J16" s="349">
        <f>D16-'BS old'!$D$61</f>
        <v>0</v>
      </c>
    </row>
    <row r="17" spans="1:10" ht="22.5" customHeight="1" thickBot="1">
      <c r="A17" s="14" t="s">
        <v>141</v>
      </c>
      <c r="B17" s="22"/>
      <c r="C17" s="22"/>
      <c r="D17" s="15">
        <f t="shared" si="2"/>
        <v>0</v>
      </c>
      <c r="H17" s="341">
        <f t="shared" si="3"/>
        <v>0</v>
      </c>
      <c r="J17" s="349">
        <f>D17-'BS old'!$D$62</f>
        <v>0</v>
      </c>
    </row>
    <row r="18" spans="1:10" ht="22.5" customHeight="1" thickBot="1">
      <c r="A18" s="14" t="s">
        <v>128</v>
      </c>
      <c r="B18" s="22"/>
      <c r="C18" s="22"/>
      <c r="D18" s="15">
        <f t="shared" si="2"/>
        <v>0</v>
      </c>
      <c r="H18" s="341">
        <f t="shared" si="3"/>
        <v>0</v>
      </c>
      <c r="J18" s="349">
        <f>D18-'BS old'!$D$63</f>
        <v>0</v>
      </c>
    </row>
    <row r="19" spans="1:10" ht="22.5" customHeight="1" thickBot="1">
      <c r="A19" s="25" t="s">
        <v>142</v>
      </c>
      <c r="B19" s="58">
        <f>SUM(B12:B18)</f>
        <v>0</v>
      </c>
      <c r="C19" s="58">
        <f>SUM(C12:C18)</f>
        <v>0</v>
      </c>
      <c r="D19" s="60">
        <f>SUM(D12:D18)</f>
        <v>0</v>
      </c>
      <c r="F19" s="338">
        <f>SUM(B12:B18)-B19</f>
        <v>0</v>
      </c>
      <c r="G19" s="337">
        <f>SUM(C12:C18)-C19</f>
        <v>0</v>
      </c>
      <c r="H19" s="341">
        <f>SUM(D12:D18)-D19</f>
        <v>0</v>
      </c>
      <c r="J19" s="349">
        <f>D19-'BS old'!$D$55</f>
        <v>0</v>
      </c>
    </row>
    <row r="20" spans="1:10" ht="15" thickTop="1">
      <c r="A20" s="6"/>
    </row>
  </sheetData>
  <mergeCells count="1">
    <mergeCell ref="F1:H1"/>
  </mergeCells>
  <conditionalFormatting sqref="F5:H19">
    <cfRule type="cellIs" dxfId="160" priority="9" operator="lessThan">
      <formula>0</formula>
    </cfRule>
    <cfRule type="cellIs" dxfId="159" priority="10" operator="greaterThan">
      <formula>0</formula>
    </cfRule>
  </conditionalFormatting>
  <conditionalFormatting sqref="J4:J11">
    <cfRule type="cellIs" dxfId="158" priority="7" operator="lessThan">
      <formula>0</formula>
    </cfRule>
    <cfRule type="cellIs" dxfId="157" priority="8" operator="greaterThan">
      <formula>0</formula>
    </cfRule>
  </conditionalFormatting>
  <conditionalFormatting sqref="J12:J19">
    <cfRule type="cellIs" dxfId="156" priority="5" operator="lessThan">
      <formula>0</formula>
    </cfRule>
    <cfRule type="cellIs" dxfId="155" priority="6" operator="greaterThan">
      <formula>0</formula>
    </cfRule>
  </conditionalFormatting>
  <conditionalFormatting sqref="F5:H19">
    <cfRule type="cellIs" dxfId="154" priority="3" operator="lessThan">
      <formula>0</formula>
    </cfRule>
    <cfRule type="cellIs" dxfId="153" priority="4" operator="greaterThan">
      <formula>0</formula>
    </cfRule>
  </conditionalFormatting>
  <conditionalFormatting sqref="J5">
    <cfRule type="cellIs" dxfId="152" priority="1" operator="lessThan">
      <formula>0</formula>
    </cfRule>
    <cfRule type="cellIs" dxfId="151" priority="2"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showGridLines="0" zoomScaleNormal="100" workbookViewId="0">
      <selection activeCell="H7" sqref="H7:I10"/>
    </sheetView>
  </sheetViews>
  <sheetFormatPr defaultRowHeight="14.5"/>
  <cols>
    <col min="1" max="1" width="33.54296875" customWidth="1"/>
    <col min="2" max="3" width="26.453125" customWidth="1"/>
    <col min="4" max="4" width="20.453125" customWidth="1"/>
    <col min="5" max="5" width="25.7265625" style="335" customWidth="1"/>
    <col min="6" max="6" width="25.7265625" style="340" customWidth="1"/>
    <col min="7" max="7" width="3.81640625" customWidth="1"/>
    <col min="8" max="8" width="26" style="335" customWidth="1"/>
    <col min="9" max="9" width="26" style="340" customWidth="1"/>
  </cols>
  <sheetData>
    <row r="1" spans="1:9">
      <c r="A1" s="1" t="s">
        <v>130</v>
      </c>
      <c r="E1" s="1597" t="s">
        <v>1056</v>
      </c>
      <c r="F1" s="1599"/>
      <c r="G1" s="345"/>
      <c r="H1" s="1597" t="s">
        <v>1058</v>
      </c>
      <c r="I1" s="1599"/>
    </row>
    <row r="2" spans="1:9" ht="15" thickBot="1">
      <c r="A2" s="5" t="s">
        <v>15</v>
      </c>
    </row>
    <row r="3" spans="1:9" ht="33" customHeight="1" thickTop="1">
      <c r="A3" s="1585" t="s">
        <v>460</v>
      </c>
      <c r="B3" s="1585" t="s">
        <v>2</v>
      </c>
      <c r="C3" s="1585" t="s">
        <v>3</v>
      </c>
      <c r="E3" s="1585" t="s">
        <v>2</v>
      </c>
      <c r="F3" s="1585" t="s">
        <v>3</v>
      </c>
      <c r="H3" s="1585" t="s">
        <v>2</v>
      </c>
      <c r="I3" s="1585" t="s">
        <v>3</v>
      </c>
    </row>
    <row r="4" spans="1:9" ht="15.75" customHeight="1" thickBot="1">
      <c r="A4" s="1586"/>
      <c r="B4" s="1586"/>
      <c r="C4" s="1586"/>
      <c r="E4" s="1586"/>
      <c r="F4" s="1586"/>
      <c r="H4" s="1586"/>
      <c r="I4" s="1586"/>
    </row>
    <row r="5" spans="1:9" ht="23.25" customHeight="1" thickTop="1" thickBot="1">
      <c r="A5" s="14" t="s">
        <v>143</v>
      </c>
      <c r="B5" s="65"/>
      <c r="C5" s="66"/>
    </row>
    <row r="6" spans="1:9" ht="23.25" customHeight="1" thickBot="1">
      <c r="A6" s="14" t="s">
        <v>461</v>
      </c>
      <c r="B6" s="65"/>
      <c r="C6" s="66"/>
    </row>
    <row r="7" spans="1:9" ht="23.25" customHeight="1" thickBot="1">
      <c r="A7" s="44" t="s">
        <v>142</v>
      </c>
      <c r="B7" s="65">
        <f>B5+B6</f>
        <v>0</v>
      </c>
      <c r="C7" s="66">
        <f>C5+C6</f>
        <v>0</v>
      </c>
      <c r="E7" s="338">
        <f>SUM(B5:B6)-B7</f>
        <v>0</v>
      </c>
      <c r="F7" s="341">
        <f>SUM(C5:C6)-C7</f>
        <v>0</v>
      </c>
      <c r="H7" s="338">
        <f>B7-'BS old'!$D$55</f>
        <v>0</v>
      </c>
      <c r="I7" s="341">
        <f>C7-'BS old'!$G$55</f>
        <v>0</v>
      </c>
    </row>
    <row r="8" spans="1:9" ht="23.25" customHeight="1" thickBot="1">
      <c r="A8" s="14" t="s">
        <v>144</v>
      </c>
      <c r="B8" s="65"/>
      <c r="C8" s="66"/>
    </row>
    <row r="9" spans="1:9" ht="23.25" customHeight="1" thickBot="1">
      <c r="A9" s="14" t="s">
        <v>145</v>
      </c>
      <c r="B9" s="65"/>
      <c r="C9" s="66"/>
    </row>
    <row r="10" spans="1:9" ht="23.25" customHeight="1" thickBot="1">
      <c r="A10" s="25" t="s">
        <v>137</v>
      </c>
      <c r="B10" s="67">
        <f>B8+B9</f>
        <v>0</v>
      </c>
      <c r="C10" s="68">
        <f>C8+C9</f>
        <v>0</v>
      </c>
      <c r="E10" s="338">
        <f>SUM(B8:B9)-B10</f>
        <v>0</v>
      </c>
      <c r="F10" s="341">
        <f>SUM(C8:C9)-C10</f>
        <v>0</v>
      </c>
      <c r="H10" s="338">
        <f>B10-'BS old'!$D$47</f>
        <v>0</v>
      </c>
      <c r="I10" s="341">
        <f>C10-'BS old'!$G$47</f>
        <v>0</v>
      </c>
    </row>
    <row r="11" spans="1:9" ht="15" thickTop="1">
      <c r="A11" s="3"/>
    </row>
  </sheetData>
  <mergeCells count="9">
    <mergeCell ref="I3:I4"/>
    <mergeCell ref="H1:I1"/>
    <mergeCell ref="B3:B4"/>
    <mergeCell ref="C3:C4"/>
    <mergeCell ref="A3:A4"/>
    <mergeCell ref="E1:F1"/>
    <mergeCell ref="E3:E4"/>
    <mergeCell ref="F3:F4"/>
    <mergeCell ref="H3:H4"/>
  </mergeCells>
  <conditionalFormatting sqref="E7:F10">
    <cfRule type="cellIs" dxfId="150" priority="6" operator="lessThan">
      <formula>0</formula>
    </cfRule>
    <cfRule type="cellIs" dxfId="149" priority="7" operator="greaterThan">
      <formula>0</formula>
    </cfRule>
  </conditionalFormatting>
  <conditionalFormatting sqref="H7:I10">
    <cfRule type="cellIs" dxfId="148" priority="1" operator="lessThan">
      <formula>0</formula>
    </cfRule>
    <cfRule type="cellIs" dxfId="147" priority="2" operator="greaterThan">
      <formula>0</formula>
    </cfRule>
    <cfRule type="cellIs" dxfId="146" priority="4" operator="lessThan">
      <formula>0</formula>
    </cfRule>
    <cfRule type="cellIs" dxfId="145"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7"/>
  <sheetViews>
    <sheetView showGridLines="0" zoomScaleNormal="100" workbookViewId="0">
      <selection activeCell="A7" sqref="A7"/>
    </sheetView>
  </sheetViews>
  <sheetFormatPr defaultRowHeight="14.5"/>
  <cols>
    <col min="1" max="1" width="32.453125" customWidth="1"/>
    <col min="2" max="3" width="27" customWidth="1"/>
    <col min="4" max="6" width="20.453125" customWidth="1"/>
  </cols>
  <sheetData>
    <row r="1" spans="1:3" ht="15" thickBot="1">
      <c r="A1" s="1" t="s">
        <v>146</v>
      </c>
    </row>
    <row r="2" spans="1:3" ht="15.5" thickTop="1" thickBot="1">
      <c r="A2" s="1585" t="s">
        <v>147</v>
      </c>
      <c r="B2" s="1606" t="s">
        <v>2</v>
      </c>
      <c r="C2" s="1607"/>
    </row>
    <row r="3" spans="1:3" ht="15.5" thickTop="1" thickBot="1">
      <c r="A3" s="1586"/>
      <c r="B3" s="11" t="s">
        <v>148</v>
      </c>
      <c r="C3" s="59" t="s">
        <v>149</v>
      </c>
    </row>
    <row r="4" spans="1:3" ht="23.25" customHeight="1" thickTop="1" thickBot="1">
      <c r="A4" s="12" t="s">
        <v>150</v>
      </c>
      <c r="B4" s="45"/>
      <c r="C4" s="13"/>
    </row>
    <row r="5" spans="1:3" ht="23.25" customHeight="1" thickBot="1">
      <c r="A5" s="14" t="s">
        <v>151</v>
      </c>
      <c r="B5" s="62" t="s">
        <v>18</v>
      </c>
      <c r="C5" s="15"/>
    </row>
    <row r="6" spans="1:3" ht="23.25" customHeight="1" thickBot="1">
      <c r="A6" s="16" t="s">
        <v>152</v>
      </c>
      <c r="B6" s="34" t="s">
        <v>18</v>
      </c>
      <c r="C6" s="17"/>
    </row>
    <row r="7" spans="1:3" ht="15" thickTop="1">
      <c r="A7" s="1"/>
    </row>
  </sheetData>
  <mergeCells count="2">
    <mergeCell ref="A2:A3"/>
    <mergeCell ref="B2:C2"/>
  </mergeCells>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
  <sheetViews>
    <sheetView showGridLines="0" topLeftCell="C1" zoomScaleNormal="100" workbookViewId="0">
      <selection activeCell="H3" sqref="H3:I8"/>
    </sheetView>
  </sheetViews>
  <sheetFormatPr defaultRowHeight="14.5"/>
  <cols>
    <col min="1" max="1" width="33" customWidth="1"/>
    <col min="2" max="3" width="26.7265625" customWidth="1"/>
    <col min="4" max="4" width="20.453125" customWidth="1"/>
    <col min="5" max="5" width="21.81640625" style="335" customWidth="1"/>
    <col min="6" max="6" width="36" style="340" customWidth="1"/>
    <col min="7" max="7" width="3.81640625" customWidth="1"/>
    <col min="8" max="8" width="18.54296875" style="335" customWidth="1"/>
    <col min="9" max="9" width="37" style="340" customWidth="1"/>
  </cols>
  <sheetData>
    <row r="1" spans="1:9">
      <c r="A1" s="1" t="s">
        <v>153</v>
      </c>
      <c r="E1" s="1597" t="s">
        <v>1056</v>
      </c>
      <c r="F1" s="1599"/>
      <c r="H1" s="1597" t="s">
        <v>1058</v>
      </c>
      <c r="I1" s="1599"/>
    </row>
    <row r="2" spans="1:9" ht="15" thickBot="1">
      <c r="A2" s="5" t="s">
        <v>154</v>
      </c>
    </row>
    <row r="3" spans="1:9" ht="30" customHeight="1" thickTop="1" thickBot="1">
      <c r="A3" s="10" t="s">
        <v>131</v>
      </c>
      <c r="B3" s="11" t="s">
        <v>2</v>
      </c>
      <c r="C3" s="11" t="s">
        <v>3</v>
      </c>
      <c r="E3" s="59" t="s">
        <v>2</v>
      </c>
      <c r="F3" s="59" t="s">
        <v>3</v>
      </c>
      <c r="H3" s="59" t="s">
        <v>2</v>
      </c>
      <c r="I3" s="59" t="s">
        <v>3</v>
      </c>
    </row>
    <row r="4" spans="1:9" ht="18.75" customHeight="1" thickTop="1" thickBot="1">
      <c r="A4" s="12" t="s">
        <v>155</v>
      </c>
      <c r="B4" s="45"/>
      <c r="C4" s="13"/>
      <c r="H4" s="338">
        <f>B4+B7-'BS old'!$D$65</f>
        <v>0</v>
      </c>
      <c r="I4" s="341">
        <f>C4+C7-'BS old'!$G$65</f>
        <v>0</v>
      </c>
    </row>
    <row r="5" spans="1:9" ht="18.75" customHeight="1" thickBot="1">
      <c r="A5" s="14" t="s">
        <v>156</v>
      </c>
      <c r="B5" s="22"/>
      <c r="C5" s="15"/>
      <c r="H5" s="338">
        <f>B5-'BS old'!$D$66</f>
        <v>0</v>
      </c>
      <c r="I5" s="341">
        <f>C5-'BS old'!$G$66</f>
        <v>0</v>
      </c>
    </row>
    <row r="6" spans="1:9" ht="18.75" customHeight="1" thickBot="1">
      <c r="A6" s="14" t="s">
        <v>157</v>
      </c>
      <c r="B6" s="22"/>
      <c r="C6" s="15"/>
      <c r="E6" s="338"/>
      <c r="F6" s="341"/>
      <c r="H6" s="338">
        <f>B6-'BS old'!$D$67</f>
        <v>0</v>
      </c>
      <c r="I6" s="341">
        <f>C6-'BS old'!$G$67</f>
        <v>0</v>
      </c>
    </row>
    <row r="7" spans="1:9" ht="18.75" customHeight="1" thickBot="1">
      <c r="A7" s="14" t="s">
        <v>158</v>
      </c>
      <c r="B7" s="22"/>
      <c r="C7" s="15"/>
      <c r="H7" s="338">
        <f>H4</f>
        <v>0</v>
      </c>
      <c r="I7" s="341">
        <f>I4</f>
        <v>0</v>
      </c>
    </row>
    <row r="8" spans="1:9" ht="18.75" customHeight="1" thickBot="1">
      <c r="A8" s="25" t="s">
        <v>14</v>
      </c>
      <c r="B8" s="58">
        <f>SUM(B4:B7)</f>
        <v>0</v>
      </c>
      <c r="C8" s="60">
        <f>SUM(C4:C7)</f>
        <v>0</v>
      </c>
      <c r="E8" s="338">
        <f>SUM(B4:B7)-B8</f>
        <v>0</v>
      </c>
      <c r="F8" s="341">
        <f>SUM(C4:C7)-C8</f>
        <v>0</v>
      </c>
      <c r="H8" s="338">
        <f>B8-SUM('BS old'!$D$65:$D$67)</f>
        <v>0</v>
      </c>
      <c r="I8" s="341">
        <f>C8-SUM('BS old'!$G$65:$G$67)</f>
        <v>0</v>
      </c>
    </row>
    <row r="9" spans="1:9" ht="15" thickTop="1">
      <c r="E9" s="338"/>
      <c r="F9" s="341"/>
    </row>
  </sheetData>
  <mergeCells count="2">
    <mergeCell ref="E1:F1"/>
    <mergeCell ref="H1:I1"/>
  </mergeCells>
  <conditionalFormatting sqref="E6:F9">
    <cfRule type="cellIs" dxfId="144" priority="9" operator="lessThan">
      <formula>0</formula>
    </cfRule>
    <cfRule type="cellIs" dxfId="143" priority="10" operator="greaterThan">
      <formula>0</formula>
    </cfRule>
  </conditionalFormatting>
  <conditionalFormatting sqref="H1:I1">
    <cfRule type="cellIs" priority="8" stopIfTrue="1" operator="greaterThan">
      <formula>0</formula>
    </cfRule>
  </conditionalFormatting>
  <conditionalFormatting sqref="H8:I8">
    <cfRule type="cellIs" dxfId="142" priority="6" operator="lessThan">
      <formula>0</formula>
    </cfRule>
    <cfRule type="cellIs" dxfId="141" priority="7" operator="greaterThan">
      <formula>0</formula>
    </cfRule>
  </conditionalFormatting>
  <conditionalFormatting sqref="H4:I8">
    <cfRule type="cellIs" dxfId="140" priority="1" operator="lessThan">
      <formula>0</formula>
    </cfRule>
    <cfRule type="cellIs" dxfId="139"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14"/>
  <sheetViews>
    <sheetView showGridLines="0" zoomScaleNormal="100" workbookViewId="0">
      <selection activeCell="C19" sqref="C19"/>
    </sheetView>
  </sheetViews>
  <sheetFormatPr defaultRowHeight="14.5" outlineLevelCol="1"/>
  <cols>
    <col min="1" max="1" width="24.54296875" customWidth="1"/>
    <col min="2" max="5" width="15.453125" customWidth="1"/>
    <col min="6" max="6" width="20.453125" customWidth="1"/>
    <col min="7" max="7" width="20.453125" style="335" customWidth="1" outlineLevel="1"/>
    <col min="8" max="9" width="20.453125" style="336" customWidth="1" outlineLevel="1"/>
    <col min="10" max="10" width="20.453125" style="340" customWidth="1"/>
    <col min="12" max="12" width="20.453125" style="342" customWidth="1"/>
  </cols>
  <sheetData>
    <row r="1" spans="1:13">
      <c r="A1" s="1" t="s">
        <v>153</v>
      </c>
      <c r="G1" s="1597" t="s">
        <v>1056</v>
      </c>
      <c r="H1" s="1598"/>
      <c r="I1" s="1598"/>
      <c r="J1" s="1599"/>
      <c r="L1" s="348" t="s">
        <v>1058</v>
      </c>
      <c r="M1" s="345"/>
    </row>
    <row r="3" spans="1:13" ht="15" thickBot="1">
      <c r="A3" s="5" t="s">
        <v>15</v>
      </c>
    </row>
    <row r="4" spans="1:13" ht="15.5" thickTop="1" thickBot="1">
      <c r="A4" s="1585" t="s">
        <v>159</v>
      </c>
      <c r="B4" s="1587" t="s">
        <v>2</v>
      </c>
      <c r="C4" s="1593"/>
      <c r="D4" s="1593"/>
      <c r="E4" s="1588"/>
    </row>
    <row r="5" spans="1:13" ht="18" customHeight="1" thickTop="1">
      <c r="A5" s="1592"/>
      <c r="B5" s="1592" t="s">
        <v>32</v>
      </c>
      <c r="C5" s="1592" t="s">
        <v>27</v>
      </c>
      <c r="D5" s="1592" t="s">
        <v>28</v>
      </c>
      <c r="E5" s="1592" t="s">
        <v>30</v>
      </c>
      <c r="G5" s="1585" t="s">
        <v>32</v>
      </c>
      <c r="H5" s="1585" t="s">
        <v>27</v>
      </c>
      <c r="I5" s="1585" t="s">
        <v>28</v>
      </c>
      <c r="J5" s="1585" t="s">
        <v>30</v>
      </c>
      <c r="L5" s="1585" t="s">
        <v>30</v>
      </c>
    </row>
    <row r="6" spans="1:13" ht="17.25" customHeight="1" thickBot="1">
      <c r="A6" s="1586"/>
      <c r="B6" s="1586"/>
      <c r="C6" s="1586"/>
      <c r="D6" s="1586"/>
      <c r="E6" s="1586"/>
      <c r="G6" s="1586"/>
      <c r="H6" s="1586"/>
      <c r="I6" s="1586"/>
      <c r="J6" s="1586"/>
      <c r="L6" s="1586"/>
    </row>
    <row r="7" spans="1:13" ht="21.75" customHeight="1" thickTop="1" thickBot="1">
      <c r="A7" s="14" t="s">
        <v>160</v>
      </c>
      <c r="B7" s="22"/>
      <c r="C7" s="22"/>
      <c r="D7" s="22"/>
      <c r="E7" s="15">
        <f>SUM(B7:D7)</f>
        <v>0</v>
      </c>
      <c r="J7" s="341">
        <f>SUM(B7:D7)-E7</f>
        <v>0</v>
      </c>
    </row>
    <row r="8" spans="1:13" ht="21.75" customHeight="1" thickBot="1">
      <c r="A8" s="14" t="s">
        <v>161</v>
      </c>
      <c r="B8" s="22"/>
      <c r="C8" s="22"/>
      <c r="D8" s="22"/>
      <c r="E8" s="15">
        <f t="shared" ref="E8:E12" si="0">SUM(B8:D8)</f>
        <v>0</v>
      </c>
      <c r="J8" s="341">
        <f t="shared" ref="J8:J12" si="1">SUM(B8:D8)-E8</f>
        <v>0</v>
      </c>
    </row>
    <row r="9" spans="1:13" ht="21.75" customHeight="1" thickBot="1">
      <c r="A9" s="14" t="s">
        <v>162</v>
      </c>
      <c r="B9" s="22"/>
      <c r="C9" s="22"/>
      <c r="D9" s="22"/>
      <c r="E9" s="15">
        <f t="shared" si="0"/>
        <v>0</v>
      </c>
      <c r="J9" s="341">
        <f t="shared" si="1"/>
        <v>0</v>
      </c>
    </row>
    <row r="10" spans="1:13" ht="21.75" customHeight="1" thickBot="1">
      <c r="A10" s="14" t="s">
        <v>163</v>
      </c>
      <c r="B10" s="22"/>
      <c r="C10" s="22"/>
      <c r="D10" s="22"/>
      <c r="E10" s="15">
        <f t="shared" si="0"/>
        <v>0</v>
      </c>
      <c r="J10" s="341">
        <f t="shared" si="1"/>
        <v>0</v>
      </c>
    </row>
    <row r="11" spans="1:13" ht="21.75" customHeight="1" thickBot="1">
      <c r="A11" s="14" t="s">
        <v>164</v>
      </c>
      <c r="B11" s="22"/>
      <c r="C11" s="22"/>
      <c r="D11" s="22"/>
      <c r="E11" s="15">
        <f t="shared" si="0"/>
        <v>0</v>
      </c>
      <c r="J11" s="341">
        <f t="shared" si="1"/>
        <v>0</v>
      </c>
    </row>
    <row r="12" spans="1:13" ht="21.75" customHeight="1" thickBot="1">
      <c r="A12" s="14" t="s">
        <v>165</v>
      </c>
      <c r="B12" s="22"/>
      <c r="C12" s="22"/>
      <c r="D12" s="22"/>
      <c r="E12" s="15">
        <f t="shared" si="0"/>
        <v>0</v>
      </c>
      <c r="J12" s="341">
        <f t="shared" si="1"/>
        <v>0</v>
      </c>
    </row>
    <row r="13" spans="1:13" ht="21.75" customHeight="1" thickBot="1">
      <c r="A13" s="25" t="s">
        <v>166</v>
      </c>
      <c r="B13" s="58">
        <f>SUM(B7:B12)</f>
        <v>0</v>
      </c>
      <c r="C13" s="58">
        <f t="shared" ref="C13:E13" si="2">SUM(C7:C12)</f>
        <v>0</v>
      </c>
      <c r="D13" s="58">
        <f t="shared" si="2"/>
        <v>0</v>
      </c>
      <c r="E13" s="60">
        <f t="shared" si="2"/>
        <v>0</v>
      </c>
      <c r="G13" s="338">
        <f>SUM(B7:B12)-B13</f>
        <v>0</v>
      </c>
      <c r="H13" s="337">
        <f t="shared" ref="H13:J13" si="3">SUM(C7:C12)-C13</f>
        <v>0</v>
      </c>
      <c r="I13" s="337">
        <f t="shared" si="3"/>
        <v>0</v>
      </c>
      <c r="J13" s="341">
        <f t="shared" si="3"/>
        <v>0</v>
      </c>
      <c r="L13" s="349">
        <f>E13-SUM('BS old'!$D$68:$D$69)</f>
        <v>0</v>
      </c>
    </row>
    <row r="14" spans="1:13" ht="15" thickTop="1"/>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138" priority="3" operator="lessThan">
      <formula>0</formula>
    </cfRule>
    <cfRule type="cellIs" dxfId="137" priority="4" operator="greaterThan">
      <formula>0</formula>
    </cfRule>
  </conditionalFormatting>
  <conditionalFormatting sqref="J13">
    <cfRule type="cellIs" dxfId="136" priority="1" operator="lessThan">
      <formula>0</formula>
    </cfRule>
    <cfRule type="cellIs" dxfId="135" priority="2"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10"/>
  <sheetViews>
    <sheetView showGridLines="0" topLeftCell="C1" zoomScaleNormal="100" workbookViewId="0">
      <selection activeCell="O6" sqref="O6"/>
    </sheetView>
  </sheetViews>
  <sheetFormatPr defaultRowHeight="14.5" outlineLevelCol="1"/>
  <cols>
    <col min="1" max="1" width="21.453125" customWidth="1"/>
    <col min="2" max="6" width="13" customWidth="1"/>
    <col min="9" max="9" width="23.1796875" style="335" hidden="1" customWidth="1" outlineLevel="1"/>
    <col min="10" max="11" width="23.1796875" style="336" hidden="1" customWidth="1" outlineLevel="1"/>
    <col min="12" max="12" width="20.1796875" style="336" hidden="1" customWidth="1" outlineLevel="1"/>
    <col min="13" max="13" width="24.81640625" style="340" customWidth="1" collapsed="1"/>
    <col min="14" max="14" width="9.1796875" style="336"/>
    <col min="15" max="15" width="20.453125" style="342" customWidth="1"/>
  </cols>
  <sheetData>
    <row r="1" spans="1:15" ht="15" thickBot="1">
      <c r="A1" s="1" t="s">
        <v>167</v>
      </c>
      <c r="I1" s="1603" t="s">
        <v>1056</v>
      </c>
      <c r="J1" s="1604"/>
      <c r="K1" s="1604"/>
      <c r="L1" s="1604"/>
      <c r="M1" s="1605"/>
      <c r="N1" s="340"/>
      <c r="O1" s="348" t="s">
        <v>1058</v>
      </c>
    </row>
    <row r="2" spans="1:15" ht="55.5" customHeight="1" thickTop="1" thickBot="1">
      <c r="A2" s="59" t="s">
        <v>168</v>
      </c>
      <c r="B2" s="59" t="s">
        <v>169</v>
      </c>
      <c r="C2" s="59" t="s">
        <v>170</v>
      </c>
      <c r="D2" s="59" t="s">
        <v>88</v>
      </c>
      <c r="E2" s="59" t="s">
        <v>457</v>
      </c>
      <c r="F2" s="59" t="s">
        <v>171</v>
      </c>
      <c r="I2" s="59" t="s">
        <v>169</v>
      </c>
      <c r="J2" s="59" t="s">
        <v>170</v>
      </c>
      <c r="K2" s="59" t="s">
        <v>88</v>
      </c>
      <c r="L2" s="176" t="s">
        <v>457</v>
      </c>
      <c r="M2" s="59" t="s">
        <v>171</v>
      </c>
      <c r="N2" s="351"/>
      <c r="O2" s="59" t="s">
        <v>171</v>
      </c>
    </row>
    <row r="3" spans="1:15" ht="23.25" customHeight="1" thickTop="1" thickBot="1">
      <c r="A3" s="71" t="s">
        <v>164</v>
      </c>
      <c r="B3" s="79"/>
      <c r="C3" s="79"/>
      <c r="D3" s="79"/>
      <c r="E3" s="79"/>
      <c r="F3" s="80">
        <f>SUM(B3:E3)</f>
        <v>0</v>
      </c>
      <c r="M3" s="341">
        <f>SUM(B3:E3)-F3</f>
        <v>0</v>
      </c>
      <c r="N3" s="341"/>
    </row>
    <row r="4" spans="1:15" ht="23.25" customHeight="1" thickBot="1">
      <c r="A4" s="14" t="s">
        <v>165</v>
      </c>
      <c r="B4" s="79"/>
      <c r="C4" s="79"/>
      <c r="D4" s="79"/>
      <c r="E4" s="79"/>
      <c r="F4" s="80">
        <f t="shared" ref="F4:F5" si="0">SUM(B4:E4)</f>
        <v>0</v>
      </c>
      <c r="M4" s="341">
        <f>SUM(B4:E4)-F4</f>
        <v>0</v>
      </c>
      <c r="N4" s="341"/>
    </row>
    <row r="5" spans="1:15" ht="23.25" customHeight="1" thickBot="1">
      <c r="A5" s="25" t="s">
        <v>166</v>
      </c>
      <c r="B5" s="81">
        <f>SUM(B3:B4)</f>
        <v>0</v>
      </c>
      <c r="C5" s="81">
        <f>SUM(C3:C4)</f>
        <v>0</v>
      </c>
      <c r="D5" s="81">
        <f>SUM(D3:D4)</f>
        <v>0</v>
      </c>
      <c r="E5" s="81">
        <f>SUM(E3:E4)</f>
        <v>0</v>
      </c>
      <c r="F5" s="82">
        <f t="shared" si="0"/>
        <v>0</v>
      </c>
      <c r="I5" s="338">
        <f>SUM(B3:B4)-B5</f>
        <v>0</v>
      </c>
      <c r="J5" s="337">
        <f>SUM(C3:C4)-C5</f>
        <v>0</v>
      </c>
      <c r="K5" s="337">
        <f>SUM(D3:D4)-D5</f>
        <v>0</v>
      </c>
      <c r="L5" s="337">
        <f>SUM(E3:E4)-E5</f>
        <v>0</v>
      </c>
      <c r="M5" s="341">
        <f>SUM(F3:F4)-F5</f>
        <v>0</v>
      </c>
      <c r="N5" s="341"/>
      <c r="O5" s="349">
        <f>F5-SUM('BS old'!E68:E69)</f>
        <v>0</v>
      </c>
    </row>
    <row r="6" spans="1:15" ht="15" thickTop="1">
      <c r="M6" s="341"/>
      <c r="N6" s="341"/>
    </row>
    <row r="7" spans="1:15">
      <c r="M7" s="341"/>
      <c r="N7" s="341"/>
    </row>
    <row r="8" spans="1:15">
      <c r="M8" s="341"/>
      <c r="N8" s="341"/>
    </row>
    <row r="10" spans="1:15">
      <c r="B10" s="20"/>
    </row>
  </sheetData>
  <mergeCells count="1">
    <mergeCell ref="I1:M1"/>
  </mergeCells>
  <conditionalFormatting sqref="O1">
    <cfRule type="cellIs" priority="3" stopIfTrue="1" operator="greaterThan">
      <formula>0</formula>
    </cfRule>
  </conditionalFormatting>
  <conditionalFormatting sqref="I3:K8 L5 O3:O8 M3:N9">
    <cfRule type="cellIs" dxfId="134" priority="1" operator="lessThan">
      <formula>0</formula>
    </cfRule>
    <cfRule type="cellIs" dxfId="133" priority="2" operator="greaterThan">
      <formula>0</formula>
    </cfRule>
  </conditionalFormatting>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showGridLines="0" zoomScaleNormal="100" workbookViewId="0">
      <selection activeCell="C11" sqref="C11"/>
    </sheetView>
  </sheetViews>
  <sheetFormatPr defaultRowHeight="14.5"/>
  <cols>
    <col min="1" max="2" width="43.26953125" customWidth="1"/>
    <col min="3" max="3" width="19.1796875" customWidth="1"/>
  </cols>
  <sheetData>
    <row r="1" spans="1:2" ht="15" thickBot="1">
      <c r="A1" s="1" t="s">
        <v>174</v>
      </c>
    </row>
    <row r="2" spans="1:2" ht="15.5" thickTop="1" thickBot="1">
      <c r="A2" s="75" t="s">
        <v>131</v>
      </c>
      <c r="B2" s="76" t="s">
        <v>36</v>
      </c>
    </row>
    <row r="3" spans="1:2" ht="21" thickTop="1" thickBot="1">
      <c r="A3" s="12" t="s">
        <v>172</v>
      </c>
      <c r="B3" s="77"/>
    </row>
    <row r="4" spans="1:2" ht="20.5" thickBot="1">
      <c r="A4" s="16" t="s">
        <v>173</v>
      </c>
      <c r="B4" s="78"/>
    </row>
    <row r="5" spans="1:2" ht="15" thickTop="1"/>
  </sheetData>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8"/>
  <sheetViews>
    <sheetView showGridLines="0" zoomScaleNormal="100" workbookViewId="0">
      <selection activeCell="A3" sqref="A3:A7"/>
    </sheetView>
  </sheetViews>
  <sheetFormatPr defaultRowHeight="14.5"/>
  <cols>
    <col min="1" max="1" width="26.1796875" customWidth="1"/>
    <col min="2" max="4" width="20.1796875" customWidth="1"/>
  </cols>
  <sheetData>
    <row r="1" spans="1:4" ht="15" thickBot="1">
      <c r="A1" s="1" t="s">
        <v>175</v>
      </c>
    </row>
    <row r="2" spans="1:4" ht="44.25" customHeight="1" thickTop="1" thickBot="1">
      <c r="A2" s="84" t="s">
        <v>168</v>
      </c>
      <c r="B2" s="593" t="s">
        <v>462</v>
      </c>
      <c r="C2" s="593" t="s">
        <v>463</v>
      </c>
      <c r="D2" s="593" t="s">
        <v>464</v>
      </c>
    </row>
    <row r="3" spans="1:4" ht="15.5" thickTop="1" thickBot="1">
      <c r="A3" s="71" t="s">
        <v>160</v>
      </c>
      <c r="B3" s="79"/>
      <c r="C3" s="79"/>
      <c r="D3" s="80"/>
    </row>
    <row r="4" spans="1:4" ht="15" thickBot="1">
      <c r="A4" s="71" t="s">
        <v>161</v>
      </c>
      <c r="B4" s="79"/>
      <c r="C4" s="79"/>
      <c r="D4" s="80"/>
    </row>
    <row r="5" spans="1:4" ht="15" thickBot="1">
      <c r="A5" s="71" t="s">
        <v>176</v>
      </c>
      <c r="B5" s="79"/>
      <c r="C5" s="79"/>
      <c r="D5" s="80"/>
    </row>
    <row r="6" spans="1:4" ht="15" thickBot="1">
      <c r="A6" s="71" t="s">
        <v>164</v>
      </c>
      <c r="B6" s="79"/>
      <c r="C6" s="79"/>
      <c r="D6" s="80"/>
    </row>
    <row r="7" spans="1:4" ht="26.25" customHeight="1" thickBot="1">
      <c r="A7" s="86" t="s">
        <v>166</v>
      </c>
      <c r="B7" s="85"/>
      <c r="C7" s="85"/>
      <c r="D7" s="78"/>
    </row>
    <row r="8" spans="1:4" ht="15" thickTop="1"/>
  </sheetData>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5"/>
  <sheetViews>
    <sheetView showGridLines="0" topLeftCell="C1" zoomScaleNormal="100" workbookViewId="0">
      <selection activeCell="H3" sqref="H3:I12"/>
    </sheetView>
  </sheetViews>
  <sheetFormatPr defaultRowHeight="14.5"/>
  <cols>
    <col min="1" max="1" width="35.453125" customWidth="1"/>
    <col min="2" max="3" width="25.54296875" customWidth="1"/>
    <col min="4" max="4" width="22.26953125" customWidth="1"/>
    <col min="5" max="5" width="34.7265625" style="335" customWidth="1"/>
    <col min="6" max="6" width="41.26953125" style="340" customWidth="1"/>
    <col min="8" max="8" width="26.7265625" style="335" customWidth="1"/>
    <col min="9" max="9" width="26.7265625" style="340" customWidth="1"/>
  </cols>
  <sheetData>
    <row r="1" spans="1:9" ht="15" thickBot="1">
      <c r="A1" s="1" t="s">
        <v>177</v>
      </c>
      <c r="E1" s="1603" t="s">
        <v>1056</v>
      </c>
      <c r="F1" s="1605"/>
      <c r="G1" s="345"/>
      <c r="H1" s="1597" t="s">
        <v>1058</v>
      </c>
      <c r="I1" s="1599"/>
    </row>
    <row r="2" spans="1:9" ht="22" thickTop="1" thickBot="1">
      <c r="A2" s="84" t="s">
        <v>178</v>
      </c>
      <c r="B2" s="593" t="s">
        <v>2</v>
      </c>
      <c r="C2" s="593" t="s">
        <v>3</v>
      </c>
      <c r="E2" s="59" t="s">
        <v>2</v>
      </c>
      <c r="F2" s="59" t="s">
        <v>3</v>
      </c>
      <c r="H2" s="59" t="s">
        <v>2</v>
      </c>
      <c r="I2" s="59" t="s">
        <v>3</v>
      </c>
    </row>
    <row r="3" spans="1:9" ht="15.5" thickTop="1" thickBot="1">
      <c r="A3" s="25" t="s">
        <v>179</v>
      </c>
      <c r="B3" s="352">
        <f>SUM(B4:B5)</f>
        <v>0</v>
      </c>
      <c r="C3" s="143">
        <f>SUM(C4:C5)</f>
        <v>0</v>
      </c>
      <c r="E3" s="338">
        <f>SUM(B4:B5)-B3</f>
        <v>0</v>
      </c>
      <c r="F3" s="341">
        <f>SUM(C4:C5)-C3</f>
        <v>0</v>
      </c>
      <c r="H3" s="338">
        <f>B3-'BS old'!$D$71</f>
        <v>0</v>
      </c>
      <c r="I3" s="355">
        <f>C3-'BS old'!$G$71</f>
        <v>0</v>
      </c>
    </row>
    <row r="4" spans="1:9" ht="15.5" thickTop="1" thickBot="1">
      <c r="A4" s="14"/>
      <c r="B4" s="353"/>
      <c r="C4" s="80"/>
    </row>
    <row r="5" spans="1:9" ht="15" thickBot="1">
      <c r="A5" s="16"/>
      <c r="B5" s="354"/>
      <c r="C5" s="78"/>
    </row>
    <row r="6" spans="1:9" ht="15.5" thickTop="1" thickBot="1">
      <c r="A6" s="25" t="s">
        <v>180</v>
      </c>
      <c r="B6" s="354">
        <f>SUM(B7:B8)</f>
        <v>0</v>
      </c>
      <c r="C6" s="143">
        <f>SUM(C7:C8)</f>
        <v>0</v>
      </c>
      <c r="E6" s="338">
        <f>SUM(B7:B8)-B6</f>
        <v>0</v>
      </c>
      <c r="F6" s="341">
        <f>SUM(C7:C8)-C6</f>
        <v>0</v>
      </c>
      <c r="H6" s="338">
        <f>B6-'BS old'!$D$72</f>
        <v>0</v>
      </c>
      <c r="I6" s="341">
        <f>C6-'BS old'!$G$72</f>
        <v>0</v>
      </c>
    </row>
    <row r="7" spans="1:9" ht="15.5" thickTop="1" thickBot="1">
      <c r="A7" s="14"/>
      <c r="B7" s="353"/>
      <c r="C7" s="80"/>
    </row>
    <row r="8" spans="1:9" ht="15" thickBot="1">
      <c r="A8" s="16"/>
      <c r="B8" s="354"/>
      <c r="C8" s="78"/>
    </row>
    <row r="9" spans="1:9" ht="24" customHeight="1" thickTop="1" thickBot="1">
      <c r="A9" s="25" t="s">
        <v>181</v>
      </c>
      <c r="B9" s="354">
        <f>SUM(B10:B11)</f>
        <v>0</v>
      </c>
      <c r="C9" s="143">
        <f>SUM(C10:C11)</f>
        <v>0</v>
      </c>
      <c r="E9" s="338">
        <f>SUM(B10:B11)-B9</f>
        <v>0</v>
      </c>
      <c r="F9" s="341">
        <f>SUM(C10:C11)-C9</f>
        <v>0</v>
      </c>
      <c r="H9" s="338">
        <f>B9-'BS old'!$D$73</f>
        <v>0</v>
      </c>
      <c r="I9" s="341">
        <f>C9-'BS old'!$G$73</f>
        <v>0</v>
      </c>
    </row>
    <row r="10" spans="1:9" ht="15.5" thickTop="1" thickBot="1">
      <c r="A10" s="14"/>
      <c r="B10" s="353"/>
      <c r="C10" s="80"/>
    </row>
    <row r="11" spans="1:9" ht="15" thickBot="1">
      <c r="A11" s="16"/>
      <c r="B11" s="354"/>
      <c r="C11" s="78"/>
    </row>
    <row r="12" spans="1:9" ht="15.5" thickTop="1" thickBot="1">
      <c r="A12" s="25" t="s">
        <v>182</v>
      </c>
      <c r="B12" s="354">
        <f>SUM(B13:B14)</f>
        <v>0</v>
      </c>
      <c r="C12" s="143">
        <f>SUM(C13:C14)</f>
        <v>0</v>
      </c>
      <c r="E12" s="338">
        <f>SUM(B13:B14)-B12</f>
        <v>0</v>
      </c>
      <c r="F12" s="341">
        <f>SUM(C13:C14)-C12</f>
        <v>0</v>
      </c>
      <c r="H12" s="338">
        <f>B12-'BS old'!$D$74</f>
        <v>0</v>
      </c>
      <c r="I12" s="341">
        <f>C12-'BS old'!$G$74</f>
        <v>0</v>
      </c>
    </row>
    <row r="13" spans="1:9" ht="15.5" thickTop="1" thickBot="1">
      <c r="A13" s="14"/>
      <c r="B13" s="353"/>
      <c r="C13" s="80"/>
    </row>
    <row r="14" spans="1:9" ht="15" thickBot="1">
      <c r="A14" s="16"/>
      <c r="B14" s="354"/>
      <c r="C14" s="78"/>
    </row>
    <row r="15" spans="1:9" ht="15" thickTop="1"/>
  </sheetData>
  <mergeCells count="2">
    <mergeCell ref="E1:F1"/>
    <mergeCell ref="H1:I1"/>
  </mergeCells>
  <conditionalFormatting sqref="H1">
    <cfRule type="cellIs" priority="5" stopIfTrue="1" operator="greaterThan">
      <formula>0</formula>
    </cfRule>
  </conditionalFormatting>
  <conditionalFormatting sqref="E3:F12">
    <cfRule type="cellIs" dxfId="132" priority="3" operator="lessThan">
      <formula>0</formula>
    </cfRule>
    <cfRule type="cellIs" dxfId="131" priority="4" operator="greaterThan">
      <formula>0</formula>
    </cfRule>
  </conditionalFormatting>
  <conditionalFormatting sqref="H3:I12">
    <cfRule type="cellIs" dxfId="130" priority="1" operator="lessThan">
      <formula>0</formula>
    </cfRule>
    <cfRule type="cellIs" dxfId="129" priority="2" operator="greaterThan">
      <formula>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
  <sheetViews>
    <sheetView showGridLines="0" zoomScale="115" zoomScaleNormal="115" workbookViewId="0">
      <selection activeCell="B10" sqref="B10"/>
    </sheetView>
  </sheetViews>
  <sheetFormatPr defaultRowHeight="14.5"/>
  <cols>
    <col min="1" max="1" width="33.26953125" customWidth="1"/>
    <col min="2" max="3" width="26.1796875" customWidth="1"/>
  </cols>
  <sheetData>
    <row r="1" spans="1:3" ht="15" thickBot="1">
      <c r="A1" s="1" t="s">
        <v>0</v>
      </c>
    </row>
    <row r="2" spans="1:3" ht="21.75" customHeight="1" thickTop="1" thickBot="1">
      <c r="A2" s="10" t="s">
        <v>1</v>
      </c>
      <c r="B2" s="11" t="s">
        <v>2</v>
      </c>
      <c r="C2" s="11" t="s">
        <v>3</v>
      </c>
    </row>
    <row r="3" spans="1:3" ht="22.5" customHeight="1" thickTop="1" thickBot="1">
      <c r="A3" s="12" t="s">
        <v>4</v>
      </c>
      <c r="B3" s="13"/>
      <c r="C3" s="13"/>
    </row>
    <row r="4" spans="1:3" ht="22.5" customHeight="1" thickBot="1">
      <c r="A4" s="14" t="s">
        <v>5</v>
      </c>
      <c r="B4" s="15"/>
      <c r="C4" s="15"/>
    </row>
    <row r="5" spans="1:3" ht="22.5" customHeight="1" thickBot="1">
      <c r="A5" s="16" t="s">
        <v>6</v>
      </c>
      <c r="B5" s="17"/>
      <c r="C5" s="17"/>
    </row>
    <row r="6" spans="1:3" ht="15" thickTop="1"/>
  </sheetData>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
  <sheetViews>
    <sheetView showGridLines="0" zoomScaleNormal="100" workbookViewId="0">
      <selection activeCell="O7" sqref="J2:O7"/>
    </sheetView>
  </sheetViews>
  <sheetFormatPr defaultRowHeight="14.5"/>
  <cols>
    <col min="1" max="1" width="14.453125" customWidth="1"/>
    <col min="2" max="7" width="12" customWidth="1"/>
    <col min="10" max="10" width="9.1796875" style="335"/>
    <col min="11" max="14" width="9.1796875" style="336"/>
    <col min="15" max="15" width="9.1796875" style="340"/>
  </cols>
  <sheetData>
    <row r="1" spans="1:15" ht="15" thickBot="1">
      <c r="A1" s="1" t="s">
        <v>183</v>
      </c>
      <c r="J1" s="1603" t="s">
        <v>1056</v>
      </c>
      <c r="K1" s="1604"/>
      <c r="L1" s="1604"/>
      <c r="M1" s="1604"/>
      <c r="N1" s="1604"/>
      <c r="O1" s="1605"/>
    </row>
    <row r="2" spans="1:15" ht="49.5" customHeight="1" thickTop="1" thickBot="1">
      <c r="A2" s="1608" t="s">
        <v>1</v>
      </c>
      <c r="B2" s="1594" t="s">
        <v>2</v>
      </c>
      <c r="C2" s="1595"/>
      <c r="D2" s="1596"/>
      <c r="E2" s="1587" t="s">
        <v>492</v>
      </c>
      <c r="F2" s="1593"/>
      <c r="G2" s="1588"/>
      <c r="J2" s="1594" t="s">
        <v>2</v>
      </c>
      <c r="K2" s="1595"/>
      <c r="L2" s="1596"/>
      <c r="M2" s="1587" t="s">
        <v>492</v>
      </c>
      <c r="N2" s="1593"/>
      <c r="O2" s="1588"/>
    </row>
    <row r="3" spans="1:15" ht="15.5" thickTop="1" thickBot="1">
      <c r="A3" s="1609"/>
      <c r="B3" s="1594" t="s">
        <v>184</v>
      </c>
      <c r="C3" s="1595"/>
      <c r="D3" s="1596"/>
      <c r="E3" s="1594" t="s">
        <v>184</v>
      </c>
      <c r="F3" s="1595"/>
      <c r="G3" s="1596"/>
      <c r="J3" s="1594" t="s">
        <v>184</v>
      </c>
      <c r="K3" s="1595"/>
      <c r="L3" s="1596"/>
      <c r="M3" s="1594" t="s">
        <v>184</v>
      </c>
      <c r="N3" s="1595"/>
      <c r="O3" s="1596"/>
    </row>
    <row r="4" spans="1:15" s="4" customFormat="1" ht="45.25" customHeight="1" thickTop="1" thickBot="1">
      <c r="A4" s="1610"/>
      <c r="B4" s="21" t="s">
        <v>185</v>
      </c>
      <c r="C4" s="21" t="s">
        <v>186</v>
      </c>
      <c r="D4" s="21" t="s">
        <v>187</v>
      </c>
      <c r="E4" s="21" t="s">
        <v>185</v>
      </c>
      <c r="F4" s="21" t="s">
        <v>186</v>
      </c>
      <c r="G4" s="21" t="s">
        <v>187</v>
      </c>
      <c r="J4" s="59" t="s">
        <v>185</v>
      </c>
      <c r="K4" s="21" t="s">
        <v>186</v>
      </c>
      <c r="L4" s="21" t="s">
        <v>187</v>
      </c>
      <c r="M4" s="21" t="s">
        <v>185</v>
      </c>
      <c r="N4" s="21" t="s">
        <v>186</v>
      </c>
      <c r="O4" s="21" t="s">
        <v>187</v>
      </c>
    </row>
    <row r="5" spans="1:15" ht="15.5" thickTop="1" thickBot="1">
      <c r="A5" s="71" t="s">
        <v>188</v>
      </c>
      <c r="B5" s="79"/>
      <c r="C5" s="79"/>
      <c r="D5" s="79"/>
      <c r="E5" s="79"/>
      <c r="F5" s="79"/>
      <c r="G5" s="80"/>
    </row>
    <row r="6" spans="1:15" ht="15" thickBot="1">
      <c r="A6" s="71" t="s">
        <v>189</v>
      </c>
      <c r="B6" s="79"/>
      <c r="C6" s="79"/>
      <c r="D6" s="79"/>
      <c r="E6" s="79"/>
      <c r="F6" s="79"/>
      <c r="G6" s="80"/>
    </row>
    <row r="7" spans="1:15" ht="15" thickBot="1">
      <c r="A7" s="72" t="s">
        <v>14</v>
      </c>
      <c r="B7" s="85">
        <f>B5+B6</f>
        <v>0</v>
      </c>
      <c r="C7" s="85">
        <f t="shared" ref="C7:G7" si="0">C5+C6</f>
        <v>0</v>
      </c>
      <c r="D7" s="85">
        <f t="shared" si="0"/>
        <v>0</v>
      </c>
      <c r="E7" s="85">
        <f t="shared" si="0"/>
        <v>0</v>
      </c>
      <c r="F7" s="85">
        <f t="shared" si="0"/>
        <v>0</v>
      </c>
      <c r="G7" s="78">
        <f t="shared" si="0"/>
        <v>0</v>
      </c>
      <c r="J7" s="338">
        <f>SUM(B5:B6)-B7</f>
        <v>0</v>
      </c>
      <c r="K7" s="337">
        <f t="shared" ref="K7:O7" si="1">SUM(C5:C6)-C7</f>
        <v>0</v>
      </c>
      <c r="L7" s="337">
        <f t="shared" si="1"/>
        <v>0</v>
      </c>
      <c r="M7" s="337">
        <f t="shared" si="1"/>
        <v>0</v>
      </c>
      <c r="N7" s="337">
        <f t="shared" si="1"/>
        <v>0</v>
      </c>
      <c r="O7" s="341">
        <f t="shared" si="1"/>
        <v>0</v>
      </c>
    </row>
    <row r="8" spans="1:15" ht="15" thickTop="1"/>
  </sheetData>
  <mergeCells count="10">
    <mergeCell ref="B2:D2"/>
    <mergeCell ref="E2:G2"/>
    <mergeCell ref="B3:D3"/>
    <mergeCell ref="E3:G3"/>
    <mergeCell ref="A2:A4"/>
    <mergeCell ref="J2:L2"/>
    <mergeCell ref="M2:O2"/>
    <mergeCell ref="J3:L3"/>
    <mergeCell ref="M3:O3"/>
    <mergeCell ref="J1:O1"/>
  </mergeCells>
  <conditionalFormatting sqref="J5:O7">
    <cfRule type="cellIs" dxfId="128" priority="3" operator="lessThan">
      <formula>0</formula>
    </cfRule>
    <cfRule type="cellIs" dxfId="127" priority="4" operator="greaterThan">
      <formula>0</formula>
    </cfRule>
  </conditionalFormatting>
  <conditionalFormatting sqref="J7:O7">
    <cfRule type="cellIs" dxfId="126" priority="1" operator="lessThan">
      <formula>0</formula>
    </cfRule>
    <cfRule type="cellIs" dxfId="125" priority="2" operator="greaterThan">
      <formula>0</formula>
    </cfRule>
  </conditionalFormatting>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27"/>
  <sheetViews>
    <sheetView showGridLines="0" zoomScaleNormal="100" workbookViewId="0">
      <selection activeCell="C23" sqref="C23"/>
    </sheetView>
  </sheetViews>
  <sheetFormatPr defaultRowHeight="14.5"/>
  <cols>
    <col min="1" max="1" width="41" customWidth="1"/>
    <col min="2" max="2" width="45.453125" customWidth="1"/>
    <col min="3" max="3" width="15.7265625" customWidth="1"/>
    <col min="4" max="4" width="41" style="342" customWidth="1"/>
    <col min="5" max="5" width="14.453125" customWidth="1"/>
    <col min="6" max="6" width="11.453125" customWidth="1"/>
  </cols>
  <sheetData>
    <row r="1" spans="1:8" ht="42.5">
      <c r="A1" s="3" t="s">
        <v>190</v>
      </c>
      <c r="D1" s="350" t="s">
        <v>1056</v>
      </c>
      <c r="E1" s="345"/>
      <c r="F1" s="345"/>
      <c r="G1" s="345"/>
      <c r="H1" s="345"/>
    </row>
    <row r="2" spans="1:8" ht="15" thickBot="1">
      <c r="A2" s="20" t="s">
        <v>8</v>
      </c>
      <c r="B2" s="20"/>
    </row>
    <row r="3" spans="1:8" ht="18.75" customHeight="1" thickTop="1" thickBot="1">
      <c r="A3" s="84" t="s">
        <v>131</v>
      </c>
      <c r="B3" s="51" t="s">
        <v>3</v>
      </c>
      <c r="D3" s="84" t="s">
        <v>3</v>
      </c>
    </row>
    <row r="4" spans="1:8" ht="18.75" customHeight="1" thickTop="1" thickBot="1">
      <c r="A4" s="72" t="s">
        <v>191</v>
      </c>
      <c r="B4" s="89"/>
    </row>
    <row r="5" spans="1:8" ht="18.75" customHeight="1" thickTop="1" thickBot="1">
      <c r="A5" s="72" t="s">
        <v>192</v>
      </c>
      <c r="B5" s="88" t="s">
        <v>2</v>
      </c>
    </row>
    <row r="6" spans="1:8" ht="18.75" customHeight="1" thickTop="1" thickBot="1">
      <c r="A6" s="71" t="s">
        <v>193</v>
      </c>
      <c r="B6" s="80"/>
    </row>
    <row r="7" spans="1:8" ht="18.75" customHeight="1" thickBot="1">
      <c r="A7" s="71" t="s">
        <v>194</v>
      </c>
      <c r="B7" s="80"/>
    </row>
    <row r="8" spans="1:8" ht="18.75" customHeight="1" thickBot="1">
      <c r="A8" s="71" t="s">
        <v>195</v>
      </c>
      <c r="B8" s="80"/>
    </row>
    <row r="9" spans="1:8" ht="18.75" customHeight="1" thickBot="1">
      <c r="A9" s="71" t="s">
        <v>196</v>
      </c>
      <c r="B9" s="80"/>
    </row>
    <row r="10" spans="1:8" ht="18.75" customHeight="1" thickBot="1">
      <c r="A10" s="71" t="s">
        <v>197</v>
      </c>
      <c r="B10" s="80"/>
    </row>
    <row r="11" spans="1:8" ht="18.75" customHeight="1" thickBot="1">
      <c r="A11" s="71" t="s">
        <v>198</v>
      </c>
      <c r="B11" s="80"/>
    </row>
    <row r="12" spans="1:8" ht="18.75" customHeight="1" thickBot="1">
      <c r="A12" s="71" t="s">
        <v>199</v>
      </c>
      <c r="B12" s="80"/>
    </row>
    <row r="13" spans="1:8" ht="18.75" customHeight="1" thickBot="1">
      <c r="A13" s="71" t="s">
        <v>200</v>
      </c>
      <c r="B13" s="80"/>
    </row>
    <row r="14" spans="1:8" ht="18.75" customHeight="1" thickBot="1">
      <c r="A14" s="72" t="s">
        <v>14</v>
      </c>
      <c r="B14" s="78">
        <f>SUM(B6:B13)</f>
        <v>0</v>
      </c>
      <c r="D14" s="349">
        <f>SUM(B6:B13)-B14</f>
        <v>0</v>
      </c>
    </row>
    <row r="15" spans="1:8" ht="18.75" customHeight="1" thickTop="1">
      <c r="A15" s="20"/>
      <c r="B15" s="20"/>
    </row>
    <row r="16" spans="1:8" ht="18.75" customHeight="1" thickBot="1">
      <c r="A16" s="20" t="s">
        <v>15</v>
      </c>
      <c r="B16" s="20"/>
    </row>
    <row r="17" spans="1:4" ht="18.75" customHeight="1" thickTop="1" thickBot="1">
      <c r="A17" s="84" t="s">
        <v>131</v>
      </c>
      <c r="B17" s="51" t="s">
        <v>3</v>
      </c>
    </row>
    <row r="18" spans="1:4" ht="18.75" customHeight="1" thickTop="1" thickBot="1">
      <c r="A18" s="72" t="s">
        <v>201</v>
      </c>
      <c r="B18" s="89"/>
    </row>
    <row r="19" spans="1:4" ht="18.75" customHeight="1" thickTop="1" thickBot="1">
      <c r="A19" s="72" t="s">
        <v>202</v>
      </c>
      <c r="B19" s="88" t="s">
        <v>2</v>
      </c>
    </row>
    <row r="20" spans="1:4" ht="18.75" customHeight="1" thickTop="1" thickBot="1">
      <c r="A20" s="71" t="s">
        <v>203</v>
      </c>
      <c r="B20" s="80"/>
    </row>
    <row r="21" spans="1:4" ht="18.75" customHeight="1" thickBot="1">
      <c r="A21" s="71" t="s">
        <v>204</v>
      </c>
      <c r="B21" s="80"/>
    </row>
    <row r="22" spans="1:4" ht="18.75" customHeight="1" thickBot="1">
      <c r="A22" s="71" t="s">
        <v>205</v>
      </c>
      <c r="B22" s="80"/>
    </row>
    <row r="23" spans="1:4" ht="18.75" customHeight="1" thickBot="1">
      <c r="A23" s="71" t="s">
        <v>206</v>
      </c>
      <c r="B23" s="80"/>
    </row>
    <row r="24" spans="1:4" ht="18.75" customHeight="1" thickBot="1">
      <c r="A24" s="71" t="s">
        <v>207</v>
      </c>
      <c r="B24" s="80"/>
    </row>
    <row r="25" spans="1:4" ht="18.75" customHeight="1" thickBot="1">
      <c r="A25" s="71" t="s">
        <v>200</v>
      </c>
      <c r="B25" s="80"/>
    </row>
    <row r="26" spans="1:4" ht="18.75" customHeight="1" thickBot="1">
      <c r="A26" s="72" t="s">
        <v>208</v>
      </c>
      <c r="B26" s="78">
        <f>SUM(B20:B25)</f>
        <v>0</v>
      </c>
      <c r="D26" s="349">
        <f>SUM(B20:B25)-B26</f>
        <v>0</v>
      </c>
    </row>
    <row r="27" spans="1:4" ht="15" thickTop="1">
      <c r="A27" s="1"/>
    </row>
  </sheetData>
  <conditionalFormatting sqref="D14:D26">
    <cfRule type="cellIs" dxfId="124" priority="2" operator="lessThan">
      <formula>0</formula>
    </cfRule>
    <cfRule type="cellIs" dxfId="123" priority="3"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workbookViewId="0">
      <selection activeCell="F12" sqref="F12"/>
    </sheetView>
  </sheetViews>
  <sheetFormatPr defaultColWidth="9.1796875" defaultRowHeight="10"/>
  <cols>
    <col min="1" max="1" width="28.453125" style="20" customWidth="1"/>
    <col min="2" max="6" width="11.54296875" style="20" customWidth="1"/>
    <col min="7" max="8" width="9.1796875" style="20"/>
    <col min="9" max="9" width="20.1796875" style="358" customWidth="1"/>
    <col min="10" max="10" width="9.1796875" style="20" customWidth="1"/>
    <col min="11" max="11" width="26.81640625" style="358" customWidth="1"/>
    <col min="12" max="12" width="9.1796875" style="20"/>
    <col min="13" max="13" width="31.26953125" style="358" customWidth="1"/>
    <col min="14" max="16384" width="9.1796875" style="20"/>
  </cols>
  <sheetData>
    <row r="1" spans="1:13" ht="14.5">
      <c r="I1" s="348" t="s">
        <v>1056</v>
      </c>
      <c r="K1" s="348" t="s">
        <v>1060</v>
      </c>
      <c r="M1" s="350" t="s">
        <v>1058</v>
      </c>
    </row>
    <row r="2" spans="1:13" ht="10.5" thickBot="1"/>
    <row r="3" spans="1:13" ht="13.5" customHeight="1" thickTop="1" thickBot="1">
      <c r="A3" s="1614" t="s">
        <v>465</v>
      </c>
      <c r="B3" s="1611" t="s">
        <v>2</v>
      </c>
      <c r="C3" s="1612"/>
      <c r="D3" s="1612"/>
      <c r="E3" s="1612"/>
      <c r="F3" s="1613"/>
    </row>
    <row r="4" spans="1:13" ht="43" thickTop="1" thickBot="1">
      <c r="A4" s="1615"/>
      <c r="B4" s="92" t="s">
        <v>472</v>
      </c>
      <c r="C4" s="92" t="s">
        <v>27</v>
      </c>
      <c r="D4" s="92" t="s">
        <v>28</v>
      </c>
      <c r="E4" s="92" t="s">
        <v>29</v>
      </c>
      <c r="F4" s="21" t="s">
        <v>392</v>
      </c>
      <c r="I4" s="59" t="s">
        <v>392</v>
      </c>
      <c r="K4" s="59" t="s">
        <v>472</v>
      </c>
      <c r="M4" s="59" t="s">
        <v>392</v>
      </c>
    </row>
    <row r="5" spans="1:13" ht="22.5" customHeight="1" thickTop="1" thickBot="1">
      <c r="A5" s="90" t="s">
        <v>393</v>
      </c>
      <c r="B5" s="93"/>
      <c r="C5" s="93"/>
      <c r="D5" s="93"/>
      <c r="E5" s="93"/>
      <c r="F5" s="94">
        <f>SUM(B5:E5)</f>
        <v>0</v>
      </c>
      <c r="I5" s="358">
        <f>SUM(B5:E5)-F5</f>
        <v>0</v>
      </c>
      <c r="K5" s="358">
        <f>B5-F27</f>
        <v>0</v>
      </c>
      <c r="M5" s="359">
        <f>F5-'BS old'!$D$84</f>
        <v>0</v>
      </c>
    </row>
    <row r="6" spans="1:13" ht="22.5" customHeight="1" thickBot="1">
      <c r="A6" s="90" t="s">
        <v>394</v>
      </c>
      <c r="B6" s="93"/>
      <c r="C6" s="93"/>
      <c r="D6" s="93"/>
      <c r="E6" s="93"/>
      <c r="F6" s="94">
        <f t="shared" ref="F6:F21" si="0">SUM(B6:E6)</f>
        <v>0</v>
      </c>
      <c r="I6" s="358">
        <f>SUM(B6:E6)-F6</f>
        <v>0</v>
      </c>
      <c r="K6" s="358">
        <f>B6-F28</f>
        <v>0</v>
      </c>
      <c r="M6" s="359">
        <f>F6-'BS old'!$D$85</f>
        <v>0</v>
      </c>
    </row>
    <row r="7" spans="1:13" ht="22.5" customHeight="1" thickBot="1">
      <c r="A7" s="90" t="s">
        <v>466</v>
      </c>
      <c r="B7" s="93"/>
      <c r="C7" s="93"/>
      <c r="D7" s="93"/>
      <c r="E7" s="93"/>
      <c r="F7" s="94">
        <f t="shared" si="0"/>
        <v>0</v>
      </c>
      <c r="I7" s="358">
        <f t="shared" ref="I7:I22" si="1">SUM(B7:E7)-F7</f>
        <v>0</v>
      </c>
      <c r="K7" s="358">
        <f t="shared" ref="K7:K22" si="2">B7-F29</f>
        <v>0</v>
      </c>
      <c r="M7" s="359">
        <f>F7-'BS old'!$D$86</f>
        <v>0</v>
      </c>
    </row>
    <row r="8" spans="1:13" ht="22.5" customHeight="1" thickBot="1">
      <c r="A8" s="90" t="s">
        <v>467</v>
      </c>
      <c r="B8" s="93"/>
      <c r="C8" s="93"/>
      <c r="D8" s="93"/>
      <c r="E8" s="93"/>
      <c r="F8" s="94">
        <f t="shared" si="0"/>
        <v>0</v>
      </c>
      <c r="I8" s="358">
        <f t="shared" si="1"/>
        <v>0</v>
      </c>
      <c r="K8" s="358">
        <f t="shared" si="2"/>
        <v>0</v>
      </c>
      <c r="M8" s="358">
        <f>F8-'BS old'!$D$87</f>
        <v>0</v>
      </c>
    </row>
    <row r="9" spans="1:13" ht="22.5" customHeight="1" thickBot="1">
      <c r="A9" s="90" t="s">
        <v>395</v>
      </c>
      <c r="B9" s="93"/>
      <c r="C9" s="93"/>
      <c r="D9" s="93"/>
      <c r="E9" s="93"/>
      <c r="F9" s="94">
        <f t="shared" si="0"/>
        <v>0</v>
      </c>
      <c r="I9" s="358">
        <f t="shared" si="1"/>
        <v>0</v>
      </c>
      <c r="K9" s="358">
        <f t="shared" si="2"/>
        <v>0</v>
      </c>
      <c r="M9" s="359">
        <f>F9-'BS old'!$D$89</f>
        <v>0</v>
      </c>
    </row>
    <row r="10" spans="1:13" ht="22.5" customHeight="1" thickBot="1">
      <c r="A10" s="90" t="s">
        <v>396</v>
      </c>
      <c r="B10" s="93"/>
      <c r="C10" s="93"/>
      <c r="D10" s="93"/>
      <c r="E10" s="93"/>
      <c r="F10" s="94">
        <f t="shared" si="0"/>
        <v>0</v>
      </c>
      <c r="I10" s="358">
        <f t="shared" si="1"/>
        <v>0</v>
      </c>
      <c r="K10" s="358">
        <f t="shared" si="2"/>
        <v>0</v>
      </c>
      <c r="M10" s="359">
        <f>F10-'BS old'!$D$90</f>
        <v>0</v>
      </c>
    </row>
    <row r="11" spans="1:13" ht="22.5" customHeight="1" thickBot="1">
      <c r="A11" s="90" t="s">
        <v>397</v>
      </c>
      <c r="B11" s="93"/>
      <c r="C11" s="93"/>
      <c r="D11" s="93"/>
      <c r="E11" s="93"/>
      <c r="F11" s="94">
        <f>SUM(B11:E11)</f>
        <v>0</v>
      </c>
      <c r="I11" s="358">
        <f t="shared" si="1"/>
        <v>0</v>
      </c>
      <c r="K11" s="358">
        <f t="shared" si="2"/>
        <v>0</v>
      </c>
      <c r="M11" s="359">
        <f>F11-'BS old'!$D$91</f>
        <v>0</v>
      </c>
    </row>
    <row r="12" spans="1:13" ht="22.5" customHeight="1" thickBot="1">
      <c r="A12" s="90" t="s">
        <v>398</v>
      </c>
      <c r="B12" s="93"/>
      <c r="C12" s="93"/>
      <c r="D12" s="93"/>
      <c r="E12" s="93"/>
      <c r="F12" s="94">
        <f t="shared" si="0"/>
        <v>0</v>
      </c>
      <c r="I12" s="358">
        <f t="shared" si="1"/>
        <v>0</v>
      </c>
      <c r="K12" s="358">
        <f t="shared" si="2"/>
        <v>0</v>
      </c>
      <c r="M12" s="359">
        <f>F12-'BS old'!$D$92-'BS old'!$D$93</f>
        <v>0</v>
      </c>
    </row>
    <row r="13" spans="1:13" ht="22.5" customHeight="1" thickBot="1">
      <c r="A13" s="90" t="s">
        <v>468</v>
      </c>
      <c r="B13" s="93"/>
      <c r="C13" s="93"/>
      <c r="D13" s="93"/>
      <c r="E13" s="93"/>
      <c r="F13" s="94">
        <f t="shared" si="0"/>
        <v>0</v>
      </c>
      <c r="I13" s="358">
        <f t="shared" si="1"/>
        <v>0</v>
      </c>
      <c r="K13" s="358">
        <f t="shared" si="2"/>
        <v>0</v>
      </c>
      <c r="M13" s="359">
        <f>F13-'BS old'!$D$94</f>
        <v>0</v>
      </c>
    </row>
    <row r="14" spans="1:13" ht="22.5" customHeight="1" thickBot="1">
      <c r="A14" s="90" t="s">
        <v>399</v>
      </c>
      <c r="B14" s="93"/>
      <c r="C14" s="93"/>
      <c r="D14" s="93"/>
      <c r="E14" s="93"/>
      <c r="F14" s="94">
        <f t="shared" si="0"/>
        <v>0</v>
      </c>
      <c r="I14" s="358">
        <f t="shared" si="1"/>
        <v>0</v>
      </c>
      <c r="K14" s="358">
        <f t="shared" si="2"/>
        <v>0</v>
      </c>
      <c r="M14" s="359">
        <f>F14-'BS old'!$D$96</f>
        <v>0</v>
      </c>
    </row>
    <row r="15" spans="1:13" ht="22.5" customHeight="1" thickBot="1">
      <c r="A15" s="90" t="s">
        <v>400</v>
      </c>
      <c r="B15" s="93"/>
      <c r="C15" s="93"/>
      <c r="D15" s="93"/>
      <c r="E15" s="93"/>
      <c r="F15" s="94">
        <f t="shared" si="0"/>
        <v>0</v>
      </c>
      <c r="I15" s="358">
        <f t="shared" si="1"/>
        <v>0</v>
      </c>
      <c r="K15" s="358">
        <f t="shared" si="2"/>
        <v>0</v>
      </c>
      <c r="M15" s="359">
        <f>F15-'BS old'!$D$97</f>
        <v>0</v>
      </c>
    </row>
    <row r="16" spans="1:13" ht="22.5" customHeight="1" thickBot="1">
      <c r="A16" s="90" t="s">
        <v>401</v>
      </c>
      <c r="B16" s="93"/>
      <c r="C16" s="93"/>
      <c r="D16" s="93"/>
      <c r="E16" s="93"/>
      <c r="F16" s="94">
        <f t="shared" si="0"/>
        <v>0</v>
      </c>
      <c r="I16" s="358">
        <f t="shared" si="1"/>
        <v>0</v>
      </c>
      <c r="K16" s="358">
        <f t="shared" si="2"/>
        <v>0</v>
      </c>
      <c r="M16" s="359">
        <f>F16-'BS old'!$D$98</f>
        <v>0</v>
      </c>
    </row>
    <row r="17" spans="1:13" ht="22.5" customHeight="1" thickBot="1">
      <c r="A17" s="90" t="s">
        <v>402</v>
      </c>
      <c r="B17" s="93"/>
      <c r="C17" s="93"/>
      <c r="D17" s="93"/>
      <c r="E17" s="93"/>
      <c r="F17" s="94">
        <f t="shared" si="0"/>
        <v>0</v>
      </c>
      <c r="I17" s="358">
        <f t="shared" si="1"/>
        <v>0</v>
      </c>
      <c r="K17" s="358">
        <f t="shared" si="2"/>
        <v>0</v>
      </c>
      <c r="M17" s="359">
        <f>F17-'BS old'!$D$100</f>
        <v>0</v>
      </c>
    </row>
    <row r="18" spans="1:13" ht="22.5" customHeight="1" thickBot="1">
      <c r="A18" s="90" t="s">
        <v>469</v>
      </c>
      <c r="B18" s="93"/>
      <c r="C18" s="93"/>
      <c r="D18" s="93"/>
      <c r="E18" s="93"/>
      <c r="F18" s="94">
        <f t="shared" si="0"/>
        <v>0</v>
      </c>
      <c r="I18" s="358">
        <f t="shared" si="1"/>
        <v>0</v>
      </c>
      <c r="K18" s="358">
        <f t="shared" si="2"/>
        <v>0</v>
      </c>
      <c r="M18" s="359">
        <f>F18-'BS old'!$D$101</f>
        <v>0</v>
      </c>
    </row>
    <row r="19" spans="1:13" ht="22.5" customHeight="1" thickBot="1">
      <c r="A19" s="90" t="s">
        <v>470</v>
      </c>
      <c r="B19" s="93"/>
      <c r="C19" s="93"/>
      <c r="D19" s="93"/>
      <c r="E19" s="93"/>
      <c r="F19" s="94">
        <f t="shared" si="0"/>
        <v>0</v>
      </c>
      <c r="I19" s="358">
        <f t="shared" si="1"/>
        <v>0</v>
      </c>
      <c r="K19" s="358">
        <f t="shared" si="2"/>
        <v>0</v>
      </c>
      <c r="M19" s="359">
        <f>F19-'BS old'!$D$102</f>
        <v>0</v>
      </c>
    </row>
    <row r="20" spans="1:13" ht="22.5" customHeight="1" thickBot="1">
      <c r="A20" s="90" t="s">
        <v>403</v>
      </c>
      <c r="B20" s="93"/>
      <c r="C20" s="93"/>
      <c r="D20" s="93"/>
      <c r="E20" s="93"/>
      <c r="F20" s="94">
        <f t="shared" si="0"/>
        <v>0</v>
      </c>
      <c r="I20" s="358">
        <f t="shared" si="1"/>
        <v>0</v>
      </c>
      <c r="K20" s="358">
        <f t="shared" si="2"/>
        <v>0</v>
      </c>
      <c r="M20" s="360"/>
    </row>
    <row r="21" spans="1:13" ht="22.5" customHeight="1" thickBot="1">
      <c r="A21" s="90" t="s">
        <v>404</v>
      </c>
      <c r="B21" s="93"/>
      <c r="C21" s="93"/>
      <c r="D21" s="93"/>
      <c r="E21" s="93"/>
      <c r="F21" s="94">
        <f t="shared" si="0"/>
        <v>0</v>
      </c>
      <c r="I21" s="358">
        <f t="shared" si="1"/>
        <v>0</v>
      </c>
      <c r="K21" s="358">
        <f t="shared" si="2"/>
        <v>0</v>
      </c>
      <c r="M21" s="360"/>
    </row>
    <row r="22" spans="1:13" ht="22.5" customHeight="1" thickBot="1">
      <c r="A22" s="91" t="s">
        <v>471</v>
      </c>
      <c r="B22" s="95"/>
      <c r="C22" s="95"/>
      <c r="D22" s="95"/>
      <c r="E22" s="95"/>
      <c r="F22" s="98">
        <f>SUM(B22:E22)</f>
        <v>0</v>
      </c>
      <c r="I22" s="358">
        <f t="shared" si="1"/>
        <v>0</v>
      </c>
      <c r="K22" s="358">
        <f t="shared" si="2"/>
        <v>0</v>
      </c>
      <c r="M22" s="360"/>
    </row>
    <row r="23" spans="1:13" ht="22.5" customHeight="1" thickTop="1">
      <c r="A23" s="96"/>
      <c r="B23" s="97"/>
      <c r="C23" s="97"/>
      <c r="D23" s="97"/>
      <c r="E23" s="97"/>
      <c r="F23" s="97"/>
    </row>
    <row r="24" spans="1:13" ht="10.5" thickBot="1"/>
    <row r="25" spans="1:13" ht="13.5" customHeight="1" thickTop="1" thickBot="1">
      <c r="A25" s="1614" t="s">
        <v>465</v>
      </c>
      <c r="B25" s="1611" t="s">
        <v>3</v>
      </c>
      <c r="C25" s="1612"/>
      <c r="D25" s="1612"/>
      <c r="E25" s="1612"/>
      <c r="F25" s="1613"/>
    </row>
    <row r="26" spans="1:13" ht="43" thickTop="1" thickBot="1">
      <c r="A26" s="1615"/>
      <c r="B26" s="92" t="s">
        <v>472</v>
      </c>
      <c r="C26" s="92" t="s">
        <v>27</v>
      </c>
      <c r="D26" s="92" t="s">
        <v>28</v>
      </c>
      <c r="E26" s="92" t="s">
        <v>29</v>
      </c>
      <c r="F26" s="21" t="s">
        <v>392</v>
      </c>
      <c r="I26" s="59" t="s">
        <v>392</v>
      </c>
      <c r="M26" s="59" t="s">
        <v>392</v>
      </c>
    </row>
    <row r="27" spans="1:13" ht="22.5" customHeight="1" thickTop="1" thickBot="1">
      <c r="A27" s="90" t="s">
        <v>393</v>
      </c>
      <c r="B27" s="93"/>
      <c r="C27" s="93"/>
      <c r="D27" s="93"/>
      <c r="E27" s="93"/>
      <c r="F27" s="94">
        <f>SUM(B27:E27)</f>
        <v>0</v>
      </c>
      <c r="I27" s="358">
        <f>SUM(B27:E27)-F27</f>
        <v>0</v>
      </c>
      <c r="M27" s="359">
        <f>F27-'BS old'!E84</f>
        <v>0</v>
      </c>
    </row>
    <row r="28" spans="1:13" ht="22.5" customHeight="1" thickBot="1">
      <c r="A28" s="90" t="s">
        <v>394</v>
      </c>
      <c r="B28" s="93"/>
      <c r="C28" s="93"/>
      <c r="D28" s="93"/>
      <c r="E28" s="93"/>
      <c r="F28" s="94">
        <f t="shared" ref="F28:F42" si="3">SUM(B28:E28)</f>
        <v>0</v>
      </c>
      <c r="I28" s="358">
        <f>SUM(B28:E28)-F28</f>
        <v>0</v>
      </c>
      <c r="M28" s="359">
        <f>F28-'BS old'!E85</f>
        <v>0</v>
      </c>
    </row>
    <row r="29" spans="1:13" ht="22.5" customHeight="1" thickBot="1">
      <c r="A29" s="90" t="s">
        <v>466</v>
      </c>
      <c r="B29" s="93"/>
      <c r="C29" s="93"/>
      <c r="D29" s="93"/>
      <c r="E29" s="93"/>
      <c r="F29" s="94">
        <f t="shared" si="3"/>
        <v>0</v>
      </c>
      <c r="I29" s="358">
        <f t="shared" ref="I29:I44" si="4">SUM(B29:E29)-F29</f>
        <v>0</v>
      </c>
      <c r="M29" s="359">
        <f>F29-'BS old'!E86</f>
        <v>0</v>
      </c>
    </row>
    <row r="30" spans="1:13" ht="22.5" customHeight="1" thickBot="1">
      <c r="A30" s="90" t="s">
        <v>467</v>
      </c>
      <c r="B30" s="93"/>
      <c r="C30" s="93"/>
      <c r="D30" s="93"/>
      <c r="E30" s="93"/>
      <c r="F30" s="94">
        <f t="shared" si="3"/>
        <v>0</v>
      </c>
      <c r="I30" s="358">
        <f t="shared" si="4"/>
        <v>0</v>
      </c>
      <c r="M30" s="359">
        <f>F30-'BS old'!E87</f>
        <v>0</v>
      </c>
    </row>
    <row r="31" spans="1:13" ht="22.5" customHeight="1" thickBot="1">
      <c r="A31" s="90" t="s">
        <v>395</v>
      </c>
      <c r="B31" s="93"/>
      <c r="C31" s="93"/>
      <c r="D31" s="93"/>
      <c r="E31" s="93"/>
      <c r="F31" s="94">
        <f t="shared" si="3"/>
        <v>0</v>
      </c>
      <c r="I31" s="358">
        <f t="shared" si="4"/>
        <v>0</v>
      </c>
      <c r="M31" s="359">
        <f>F31-'BS old'!E89</f>
        <v>0</v>
      </c>
    </row>
    <row r="32" spans="1:13" ht="22.5" customHeight="1" thickBot="1">
      <c r="A32" s="90" t="s">
        <v>396</v>
      </c>
      <c r="B32" s="93"/>
      <c r="C32" s="93"/>
      <c r="D32" s="93"/>
      <c r="E32" s="93"/>
      <c r="F32" s="94">
        <f t="shared" si="3"/>
        <v>0</v>
      </c>
      <c r="I32" s="358">
        <f t="shared" si="4"/>
        <v>0</v>
      </c>
      <c r="M32" s="359">
        <f>F32-'BS old'!E90</f>
        <v>0</v>
      </c>
    </row>
    <row r="33" spans="1:13" ht="22.5" customHeight="1" thickBot="1">
      <c r="A33" s="90" t="s">
        <v>397</v>
      </c>
      <c r="B33" s="93"/>
      <c r="C33" s="93"/>
      <c r="D33" s="93"/>
      <c r="E33" s="93"/>
      <c r="F33" s="94">
        <f t="shared" si="3"/>
        <v>0</v>
      </c>
      <c r="I33" s="358">
        <f t="shared" si="4"/>
        <v>0</v>
      </c>
      <c r="M33" s="359">
        <f>F33-'BS old'!E91</f>
        <v>0</v>
      </c>
    </row>
    <row r="34" spans="1:13" ht="22.5" customHeight="1" thickBot="1">
      <c r="A34" s="90" t="s">
        <v>398</v>
      </c>
      <c r="B34" s="93"/>
      <c r="C34" s="93"/>
      <c r="D34" s="93"/>
      <c r="E34" s="93"/>
      <c r="F34" s="94">
        <f t="shared" si="3"/>
        <v>0</v>
      </c>
      <c r="I34" s="358">
        <f t="shared" si="4"/>
        <v>0</v>
      </c>
      <c r="M34" s="359">
        <f>F34-'BS old'!E92-'BS old'!E93</f>
        <v>0</v>
      </c>
    </row>
    <row r="35" spans="1:13" ht="22.5" customHeight="1" thickBot="1">
      <c r="A35" s="90" t="s">
        <v>468</v>
      </c>
      <c r="B35" s="93"/>
      <c r="C35" s="93"/>
      <c r="D35" s="93"/>
      <c r="E35" s="93"/>
      <c r="F35" s="94">
        <f t="shared" si="3"/>
        <v>0</v>
      </c>
      <c r="I35" s="358">
        <f t="shared" si="4"/>
        <v>0</v>
      </c>
      <c r="M35" s="359">
        <f>F35-'BS old'!E94</f>
        <v>0</v>
      </c>
    </row>
    <row r="36" spans="1:13" ht="22.5" customHeight="1" thickBot="1">
      <c r="A36" s="90" t="s">
        <v>399</v>
      </c>
      <c r="B36" s="93"/>
      <c r="C36" s="93"/>
      <c r="D36" s="93"/>
      <c r="E36" s="93"/>
      <c r="F36" s="94">
        <f t="shared" si="3"/>
        <v>0</v>
      </c>
      <c r="I36" s="358">
        <f t="shared" si="4"/>
        <v>0</v>
      </c>
      <c r="M36" s="359">
        <f>F36-'BS old'!E96</f>
        <v>0</v>
      </c>
    </row>
    <row r="37" spans="1:13" ht="22.5" customHeight="1" thickBot="1">
      <c r="A37" s="90" t="s">
        <v>400</v>
      </c>
      <c r="B37" s="93"/>
      <c r="C37" s="93"/>
      <c r="D37" s="93"/>
      <c r="E37" s="93"/>
      <c r="F37" s="94">
        <f t="shared" si="3"/>
        <v>0</v>
      </c>
      <c r="I37" s="358">
        <f t="shared" si="4"/>
        <v>0</v>
      </c>
      <c r="M37" s="359">
        <f>F37-'BS old'!E97</f>
        <v>0</v>
      </c>
    </row>
    <row r="38" spans="1:13" ht="22.5" customHeight="1" thickBot="1">
      <c r="A38" s="90" t="s">
        <v>401</v>
      </c>
      <c r="B38" s="93"/>
      <c r="C38" s="93"/>
      <c r="D38" s="93"/>
      <c r="E38" s="93"/>
      <c r="F38" s="94">
        <f t="shared" si="3"/>
        <v>0</v>
      </c>
      <c r="I38" s="358">
        <f t="shared" si="4"/>
        <v>0</v>
      </c>
      <c r="M38" s="359">
        <f>F38-'BS old'!E98</f>
        <v>0</v>
      </c>
    </row>
    <row r="39" spans="1:13" ht="22.5" customHeight="1" thickBot="1">
      <c r="A39" s="90" t="s">
        <v>402</v>
      </c>
      <c r="B39" s="93"/>
      <c r="C39" s="93"/>
      <c r="D39" s="93"/>
      <c r="E39" s="93"/>
      <c r="F39" s="94">
        <f t="shared" si="3"/>
        <v>0</v>
      </c>
      <c r="I39" s="358">
        <f t="shared" si="4"/>
        <v>0</v>
      </c>
      <c r="M39" s="359">
        <f>F39-'BS old'!E100</f>
        <v>0</v>
      </c>
    </row>
    <row r="40" spans="1:13" ht="22.5" customHeight="1" thickBot="1">
      <c r="A40" s="90" t="s">
        <v>469</v>
      </c>
      <c r="B40" s="93"/>
      <c r="C40" s="93"/>
      <c r="D40" s="93"/>
      <c r="E40" s="93"/>
      <c r="F40" s="94">
        <f t="shared" si="3"/>
        <v>0</v>
      </c>
      <c r="I40" s="358">
        <f t="shared" si="4"/>
        <v>0</v>
      </c>
      <c r="M40" s="359">
        <f>F40-'BS old'!E101</f>
        <v>0</v>
      </c>
    </row>
    <row r="41" spans="1:13" ht="22.5" customHeight="1" thickBot="1">
      <c r="A41" s="90" t="s">
        <v>470</v>
      </c>
      <c r="B41" s="93"/>
      <c r="C41" s="93"/>
      <c r="D41" s="93"/>
      <c r="E41" s="93"/>
      <c r="F41" s="94">
        <f t="shared" si="3"/>
        <v>0</v>
      </c>
      <c r="I41" s="358">
        <f t="shared" si="4"/>
        <v>0</v>
      </c>
      <c r="M41" s="359">
        <f>F41-'BS old'!E102</f>
        <v>0</v>
      </c>
    </row>
    <row r="42" spans="1:13" ht="22.5" customHeight="1" thickBot="1">
      <c r="A42" s="90" t="s">
        <v>403</v>
      </c>
      <c r="B42" s="93"/>
      <c r="C42" s="93"/>
      <c r="D42" s="93"/>
      <c r="E42" s="93"/>
      <c r="F42" s="94">
        <f t="shared" si="3"/>
        <v>0</v>
      </c>
      <c r="I42" s="358">
        <f t="shared" si="4"/>
        <v>0</v>
      </c>
      <c r="M42" s="360"/>
    </row>
    <row r="43" spans="1:13" ht="22.5" customHeight="1" thickBot="1">
      <c r="A43" s="90" t="s">
        <v>404</v>
      </c>
      <c r="B43" s="93"/>
      <c r="C43" s="93"/>
      <c r="D43" s="93"/>
      <c r="E43" s="93"/>
      <c r="F43" s="94">
        <f>SUM(B43:E43)</f>
        <v>0</v>
      </c>
      <c r="I43" s="358">
        <f t="shared" si="4"/>
        <v>0</v>
      </c>
      <c r="M43" s="360"/>
    </row>
    <row r="44" spans="1:13" ht="22.5" customHeight="1" thickBot="1">
      <c r="A44" s="91" t="s">
        <v>471</v>
      </c>
      <c r="B44" s="95"/>
      <c r="C44" s="95"/>
      <c r="D44" s="95"/>
      <c r="E44" s="95"/>
      <c r="F44" s="98">
        <f>SUM(B44:E44)</f>
        <v>0</v>
      </c>
      <c r="I44" s="358">
        <f t="shared" si="4"/>
        <v>0</v>
      </c>
      <c r="M44" s="360"/>
    </row>
    <row r="45" spans="1:13" ht="10.5" thickTop="1"/>
  </sheetData>
  <mergeCells count="4">
    <mergeCell ref="B3:F3"/>
    <mergeCell ref="A25:A26"/>
    <mergeCell ref="B25:F25"/>
    <mergeCell ref="A3:A4"/>
  </mergeCells>
  <conditionalFormatting sqref="I5:I22 I27:I44 M5:M19 M27:M41 K5:K22">
    <cfRule type="cellIs" dxfId="122" priority="12" operator="lessThan">
      <formula>0</formula>
    </cfRule>
    <cfRule type="cellIs" dxfId="121"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36"/>
  <sheetViews>
    <sheetView showGridLines="0" topLeftCell="A25" zoomScaleNormal="100" workbookViewId="0">
      <selection activeCell="P29" sqref="P29"/>
    </sheetView>
  </sheetViews>
  <sheetFormatPr defaultRowHeight="14.5" outlineLevelCol="1"/>
  <cols>
    <col min="1" max="1" width="20.7265625" customWidth="1"/>
    <col min="2" max="6" width="13.1796875" customWidth="1"/>
    <col min="7" max="7" width="23.26953125" customWidth="1"/>
    <col min="8" max="8" width="14.26953125" style="335" hidden="1" customWidth="1" outlineLevel="1"/>
    <col min="9" max="11" width="12.7265625" style="336" hidden="1" customWidth="1" outlineLevel="1"/>
    <col min="12" max="12" width="18" style="340" customWidth="1" collapsed="1"/>
    <col min="14" max="14" width="27.453125" style="342" customWidth="1"/>
    <col min="16" max="16" width="24.7265625" style="342" customWidth="1"/>
    <col min="17" max="17" width="27.7265625" customWidth="1"/>
  </cols>
  <sheetData>
    <row r="1" spans="1:16">
      <c r="A1" s="99" t="s">
        <v>209</v>
      </c>
      <c r="B1" s="20"/>
      <c r="C1" s="20"/>
      <c r="D1" s="20"/>
      <c r="E1" s="20"/>
      <c r="F1" s="20"/>
      <c r="H1" s="1597" t="s">
        <v>1056</v>
      </c>
      <c r="I1" s="1598"/>
      <c r="J1" s="1598"/>
      <c r="K1" s="1598"/>
      <c r="L1" s="1599"/>
      <c r="N1" s="348" t="s">
        <v>1060</v>
      </c>
      <c r="P1" s="350" t="s">
        <v>1058</v>
      </c>
    </row>
    <row r="2" spans="1:16" ht="15" thickBot="1">
      <c r="A2" s="20" t="s">
        <v>8</v>
      </c>
      <c r="B2" s="20"/>
      <c r="C2" s="20"/>
      <c r="D2" s="20"/>
      <c r="E2" s="20"/>
      <c r="F2" s="20"/>
      <c r="N2" s="358"/>
    </row>
    <row r="3" spans="1:16" ht="15.5" thickTop="1" thickBot="1">
      <c r="A3" s="1608" t="s">
        <v>131</v>
      </c>
      <c r="B3" s="1594" t="s">
        <v>2</v>
      </c>
      <c r="C3" s="1595"/>
      <c r="D3" s="1595"/>
      <c r="E3" s="1595"/>
      <c r="F3" s="1596"/>
      <c r="N3" s="358"/>
    </row>
    <row r="4" spans="1:16" s="4" customFormat="1" ht="33" customHeight="1" thickTop="1" thickBot="1">
      <c r="A4" s="1610"/>
      <c r="B4" s="21" t="s">
        <v>32</v>
      </c>
      <c r="C4" s="21" t="s">
        <v>124</v>
      </c>
      <c r="D4" s="102" t="s">
        <v>210</v>
      </c>
      <c r="E4" s="592" t="s">
        <v>211</v>
      </c>
      <c r="F4" s="21" t="s">
        <v>30</v>
      </c>
      <c r="H4" s="59" t="s">
        <v>32</v>
      </c>
      <c r="I4" s="59" t="s">
        <v>124</v>
      </c>
      <c r="J4" s="59" t="s">
        <v>210</v>
      </c>
      <c r="K4" s="59" t="s">
        <v>211</v>
      </c>
      <c r="L4" s="59" t="s">
        <v>30</v>
      </c>
      <c r="N4" s="59" t="s">
        <v>472</v>
      </c>
      <c r="P4" s="59" t="s">
        <v>30</v>
      </c>
    </row>
    <row r="5" spans="1:16" ht="21" customHeight="1" thickTop="1" thickBot="1">
      <c r="A5" s="86" t="s">
        <v>212</v>
      </c>
      <c r="B5" s="85">
        <f>SUM(B6:B10)</f>
        <v>0</v>
      </c>
      <c r="C5" s="85">
        <f>SUM(C6:C10)</f>
        <v>0</v>
      </c>
      <c r="D5" s="85">
        <f t="shared" ref="D5:E5" si="0">SUM(D6:D10)</f>
        <v>0</v>
      </c>
      <c r="E5" s="85">
        <f t="shared" si="0"/>
        <v>0</v>
      </c>
      <c r="F5" s="143">
        <f>SUM(B5:E5)</f>
        <v>0</v>
      </c>
      <c r="H5" s="338">
        <f>SUM(B6:B10)-B5</f>
        <v>0</v>
      </c>
      <c r="I5" s="337">
        <f t="shared" ref="I5:K5" si="1">SUM(C6:C10)-C5</f>
        <v>0</v>
      </c>
      <c r="J5" s="337">
        <f t="shared" si="1"/>
        <v>0</v>
      </c>
      <c r="K5" s="337">
        <f t="shared" si="1"/>
        <v>0</v>
      </c>
      <c r="L5" s="341">
        <f>SUM(B5:E5)-F5</f>
        <v>0</v>
      </c>
      <c r="N5" s="349">
        <f>B5-F23</f>
        <v>0</v>
      </c>
      <c r="P5" s="349">
        <f>F5-'BS old'!$D$105-'BS old'!$D$107</f>
        <v>0</v>
      </c>
    </row>
    <row r="6" spans="1:16" ht="21" customHeight="1" thickTop="1" thickBot="1">
      <c r="A6" s="108"/>
      <c r="B6" s="79"/>
      <c r="C6" s="79"/>
      <c r="D6" s="144"/>
      <c r="E6" s="144"/>
      <c r="F6" s="145">
        <f t="shared" ref="F6:F17" si="2">SUM(B6:E6)</f>
        <v>0</v>
      </c>
      <c r="L6" s="341">
        <f>SUM(B6:E6)-F6</f>
        <v>0</v>
      </c>
      <c r="N6" s="349">
        <f>B6-F24</f>
        <v>0</v>
      </c>
    </row>
    <row r="7" spans="1:16" ht="21" customHeight="1" thickBot="1">
      <c r="A7" s="108"/>
      <c r="B7" s="79"/>
      <c r="C7" s="79"/>
      <c r="D7" s="120"/>
      <c r="E7" s="120"/>
      <c r="F7" s="145">
        <f t="shared" si="2"/>
        <v>0</v>
      </c>
      <c r="L7" s="341">
        <f t="shared" ref="L7:L10" si="3">SUM(B7:E7)-F7</f>
        <v>0</v>
      </c>
      <c r="N7" s="349">
        <f t="shared" ref="N7:N17" si="4">B7-F25</f>
        <v>0</v>
      </c>
    </row>
    <row r="8" spans="1:16" ht="21" customHeight="1" thickBot="1">
      <c r="A8" s="108"/>
      <c r="B8" s="79"/>
      <c r="C8" s="79"/>
      <c r="D8" s="120"/>
      <c r="E8" s="120"/>
      <c r="F8" s="145">
        <f t="shared" si="2"/>
        <v>0</v>
      </c>
      <c r="L8" s="341">
        <f t="shared" si="3"/>
        <v>0</v>
      </c>
      <c r="N8" s="349">
        <f t="shared" si="4"/>
        <v>0</v>
      </c>
    </row>
    <row r="9" spans="1:16" ht="21" customHeight="1" thickBot="1">
      <c r="A9" s="108"/>
      <c r="B9" s="79"/>
      <c r="C9" s="79"/>
      <c r="D9" s="120"/>
      <c r="E9" s="120"/>
      <c r="F9" s="145">
        <f t="shared" si="2"/>
        <v>0</v>
      </c>
      <c r="L9" s="341">
        <f t="shared" si="3"/>
        <v>0</v>
      </c>
      <c r="N9" s="349">
        <f t="shared" si="4"/>
        <v>0</v>
      </c>
    </row>
    <row r="10" spans="1:16" ht="21" customHeight="1" thickBot="1">
      <c r="A10" s="150"/>
      <c r="B10" s="85"/>
      <c r="C10" s="85"/>
      <c r="D10" s="146"/>
      <c r="E10" s="146"/>
      <c r="F10" s="147">
        <f t="shared" si="2"/>
        <v>0</v>
      </c>
      <c r="L10" s="341">
        <f t="shared" si="3"/>
        <v>0</v>
      </c>
      <c r="N10" s="349">
        <f t="shared" si="4"/>
        <v>0</v>
      </c>
    </row>
    <row r="11" spans="1:16" ht="21" customHeight="1" thickTop="1" thickBot="1">
      <c r="A11" s="86" t="s">
        <v>213</v>
      </c>
      <c r="B11" s="85">
        <f>SUM(B12:B17)</f>
        <v>0</v>
      </c>
      <c r="C11" s="85">
        <f>SUM(C12:C17)</f>
        <v>0</v>
      </c>
      <c r="D11" s="85">
        <f t="shared" ref="D11:E11" si="5">SUM(D12:D17)</f>
        <v>0</v>
      </c>
      <c r="E11" s="85">
        <f t="shared" si="5"/>
        <v>0</v>
      </c>
      <c r="F11" s="143">
        <f>SUM(B11:E11)</f>
        <v>0</v>
      </c>
      <c r="H11" s="338">
        <f>SUM(B12:B17)-B11</f>
        <v>0</v>
      </c>
      <c r="I11" s="337">
        <f t="shared" ref="I11:K11" si="6">SUM(C12:C17)-C11</f>
        <v>0</v>
      </c>
      <c r="J11" s="337">
        <f t="shared" si="6"/>
        <v>0</v>
      </c>
      <c r="K11" s="337">
        <f t="shared" si="6"/>
        <v>0</v>
      </c>
      <c r="L11" s="341">
        <f>SUM(B11:E11)-F11</f>
        <v>0</v>
      </c>
      <c r="N11" s="349">
        <f t="shared" si="4"/>
        <v>0</v>
      </c>
      <c r="P11" s="349">
        <f>F11-'BS old'!$D$106-'BS old'!$D$108</f>
        <v>0</v>
      </c>
    </row>
    <row r="12" spans="1:16" ht="21" customHeight="1" thickTop="1" thickBot="1">
      <c r="A12" s="108"/>
      <c r="B12" s="79"/>
      <c r="C12" s="79"/>
      <c r="D12" s="144"/>
      <c r="E12" s="144"/>
      <c r="F12" s="145">
        <f t="shared" si="2"/>
        <v>0</v>
      </c>
      <c r="L12" s="341">
        <f>SUM(B12:E12)-F12</f>
        <v>0</v>
      </c>
      <c r="N12" s="349">
        <f t="shared" si="4"/>
        <v>0</v>
      </c>
    </row>
    <row r="13" spans="1:16" ht="21" customHeight="1" thickBot="1">
      <c r="A13" s="108"/>
      <c r="B13" s="79"/>
      <c r="C13" s="79"/>
      <c r="D13" s="120"/>
      <c r="E13" s="120"/>
      <c r="F13" s="145">
        <f t="shared" si="2"/>
        <v>0</v>
      </c>
      <c r="L13" s="341">
        <f>SUM(B13:E13)-F13</f>
        <v>0</v>
      </c>
      <c r="N13" s="349">
        <f>B13-F31</f>
        <v>0</v>
      </c>
    </row>
    <row r="14" spans="1:16" ht="21" customHeight="1" thickBot="1">
      <c r="A14" s="108"/>
      <c r="B14" s="79"/>
      <c r="C14" s="79"/>
      <c r="D14" s="120"/>
      <c r="E14" s="120"/>
      <c r="F14" s="145">
        <f t="shared" si="2"/>
        <v>0</v>
      </c>
      <c r="L14" s="341">
        <f t="shared" ref="L14:L17" si="7">SUM(B14:E14)-F14</f>
        <v>0</v>
      </c>
      <c r="N14" s="349">
        <f t="shared" si="4"/>
        <v>0</v>
      </c>
    </row>
    <row r="15" spans="1:16" ht="21" customHeight="1" thickBot="1">
      <c r="A15" s="108"/>
      <c r="B15" s="79"/>
      <c r="C15" s="79"/>
      <c r="D15" s="120"/>
      <c r="E15" s="120"/>
      <c r="F15" s="145">
        <f t="shared" si="2"/>
        <v>0</v>
      </c>
      <c r="L15" s="341">
        <f t="shared" si="7"/>
        <v>0</v>
      </c>
      <c r="N15" s="349">
        <f t="shared" si="4"/>
        <v>0</v>
      </c>
    </row>
    <row r="16" spans="1:16" ht="21" customHeight="1" thickBot="1">
      <c r="A16" s="108"/>
      <c r="B16" s="79"/>
      <c r="C16" s="79"/>
      <c r="D16" s="120"/>
      <c r="E16" s="120"/>
      <c r="F16" s="145">
        <f t="shared" si="2"/>
        <v>0</v>
      </c>
      <c r="L16" s="341">
        <f t="shared" si="7"/>
        <v>0</v>
      </c>
      <c r="N16" s="349">
        <f t="shared" si="4"/>
        <v>0</v>
      </c>
    </row>
    <row r="17" spans="1:16" ht="21" customHeight="1" thickBot="1">
      <c r="A17" s="150"/>
      <c r="B17" s="81"/>
      <c r="C17" s="81"/>
      <c r="D17" s="148"/>
      <c r="E17" s="148"/>
      <c r="F17" s="149">
        <f t="shared" si="2"/>
        <v>0</v>
      </c>
      <c r="L17" s="341">
        <f t="shared" si="7"/>
        <v>0</v>
      </c>
      <c r="N17" s="349">
        <f t="shared" si="4"/>
        <v>0</v>
      </c>
    </row>
    <row r="18" spans="1:16" ht="15" thickTop="1">
      <c r="A18" s="4"/>
      <c r="B18" s="4"/>
      <c r="C18" s="4"/>
      <c r="D18" s="4"/>
      <c r="E18" s="4"/>
      <c r="F18" s="4"/>
      <c r="N18" s="349"/>
    </row>
    <row r="19" spans="1:16">
      <c r="A19" s="2"/>
      <c r="N19" s="349"/>
    </row>
    <row r="20" spans="1:16" ht="15" thickBot="1">
      <c r="A20" s="20" t="s">
        <v>15</v>
      </c>
      <c r="B20" s="20"/>
      <c r="C20" s="20"/>
      <c r="D20" s="20"/>
      <c r="E20" s="20"/>
      <c r="F20" s="20"/>
      <c r="N20" s="349"/>
    </row>
    <row r="21" spans="1:16" ht="15.5" thickTop="1" thickBot="1">
      <c r="A21" s="1608" t="s">
        <v>131</v>
      </c>
      <c r="B21" s="1594" t="s">
        <v>3</v>
      </c>
      <c r="C21" s="1595"/>
      <c r="D21" s="1595"/>
      <c r="E21" s="1595"/>
      <c r="F21" s="1596"/>
      <c r="N21" s="349"/>
    </row>
    <row r="22" spans="1:16" s="4" customFormat="1" ht="32.5" thickTop="1" thickBot="1">
      <c r="A22" s="1610"/>
      <c r="B22" s="21" t="s">
        <v>32</v>
      </c>
      <c r="C22" s="21" t="s">
        <v>124</v>
      </c>
      <c r="D22" s="102" t="s">
        <v>210</v>
      </c>
      <c r="E22" s="30" t="s">
        <v>211</v>
      </c>
      <c r="F22" s="21" t="s">
        <v>30</v>
      </c>
      <c r="H22" s="362"/>
      <c r="I22" s="361"/>
      <c r="J22" s="361"/>
      <c r="K22" s="361"/>
      <c r="L22" s="344"/>
      <c r="N22" s="349"/>
      <c r="P22" s="363"/>
    </row>
    <row r="23" spans="1:16" ht="21" customHeight="1" thickTop="1" thickBot="1">
      <c r="A23" s="150" t="s">
        <v>212</v>
      </c>
      <c r="B23" s="85">
        <f>SUM(B24:B28)</f>
        <v>0</v>
      </c>
      <c r="C23" s="85">
        <f>SUM(C24:C28)</f>
        <v>0</v>
      </c>
      <c r="D23" s="85">
        <f t="shared" ref="D23" si="8">SUM(D24:D28)</f>
        <v>0</v>
      </c>
      <c r="E23" s="85">
        <f t="shared" ref="E23" si="9">SUM(E24:E28)</f>
        <v>0</v>
      </c>
      <c r="F23" s="143">
        <f>SUM(B23:E23)</f>
        <v>0</v>
      </c>
      <c r="H23" s="338">
        <f>SUM(B24:B28)-B23</f>
        <v>0</v>
      </c>
      <c r="I23" s="337">
        <f t="shared" ref="I23" si="10">SUM(C24:C28)-C23</f>
        <v>0</v>
      </c>
      <c r="J23" s="337">
        <f t="shared" ref="J23" si="11">SUM(D24:D28)-D23</f>
        <v>0</v>
      </c>
      <c r="K23" s="337">
        <f t="shared" ref="K23" si="12">SUM(E24:E28)-E23</f>
        <v>0</v>
      </c>
      <c r="L23" s="341">
        <f>SUM(B23:E23)-F23</f>
        <v>0</v>
      </c>
      <c r="N23" s="349"/>
      <c r="P23" s="349">
        <f>F23-'BS old'!E105-'BS old'!E107</f>
        <v>0</v>
      </c>
    </row>
    <row r="24" spans="1:16" ht="21" customHeight="1" thickTop="1" thickBot="1">
      <c r="A24" s="108"/>
      <c r="B24" s="79"/>
      <c r="C24" s="79"/>
      <c r="D24" s="144"/>
      <c r="E24" s="144"/>
      <c r="F24" s="145">
        <f t="shared" ref="F24:F35" si="13">SUM(B24:E24)</f>
        <v>0</v>
      </c>
      <c r="L24" s="341">
        <f>SUM(B24:E24)-F24</f>
        <v>0</v>
      </c>
      <c r="N24" s="349"/>
    </row>
    <row r="25" spans="1:16" ht="21" customHeight="1" thickBot="1">
      <c r="A25" s="108"/>
      <c r="B25" s="79"/>
      <c r="C25" s="79"/>
      <c r="D25" s="120"/>
      <c r="E25" s="120"/>
      <c r="F25" s="145">
        <f t="shared" si="13"/>
        <v>0</v>
      </c>
      <c r="L25" s="341">
        <f t="shared" ref="L25:L28" si="14">SUM(B25:E25)-F25</f>
        <v>0</v>
      </c>
      <c r="N25" s="349"/>
    </row>
    <row r="26" spans="1:16" ht="21" customHeight="1" thickBot="1">
      <c r="A26" s="108"/>
      <c r="B26" s="79"/>
      <c r="C26" s="79"/>
      <c r="D26" s="120"/>
      <c r="E26" s="120"/>
      <c r="F26" s="145">
        <f t="shared" si="13"/>
        <v>0</v>
      </c>
      <c r="L26" s="341">
        <f t="shared" si="14"/>
        <v>0</v>
      </c>
      <c r="N26" s="349"/>
    </row>
    <row r="27" spans="1:16" ht="21" customHeight="1" thickBot="1">
      <c r="A27" s="108"/>
      <c r="B27" s="79"/>
      <c r="C27" s="79"/>
      <c r="D27" s="120"/>
      <c r="E27" s="120"/>
      <c r="F27" s="145">
        <f t="shared" si="13"/>
        <v>0</v>
      </c>
      <c r="L27" s="341">
        <f t="shared" si="14"/>
        <v>0</v>
      </c>
      <c r="N27" s="349"/>
    </row>
    <row r="28" spans="1:16" ht="21" customHeight="1" thickBot="1">
      <c r="A28" s="150"/>
      <c r="B28" s="85"/>
      <c r="C28" s="85"/>
      <c r="D28" s="146"/>
      <c r="E28" s="146"/>
      <c r="F28" s="147">
        <f t="shared" si="13"/>
        <v>0</v>
      </c>
      <c r="L28" s="341">
        <f t="shared" si="14"/>
        <v>0</v>
      </c>
      <c r="N28" s="349"/>
    </row>
    <row r="29" spans="1:16" ht="21" customHeight="1" thickTop="1" thickBot="1">
      <c r="A29" s="150" t="s">
        <v>213</v>
      </c>
      <c r="B29" s="85">
        <f>SUM(B30:B34)</f>
        <v>0</v>
      </c>
      <c r="C29" s="85">
        <f>SUM(C30:C34)</f>
        <v>0</v>
      </c>
      <c r="D29" s="85">
        <f t="shared" ref="D29" si="15">SUM(D30:D34)</f>
        <v>0</v>
      </c>
      <c r="E29" s="85">
        <f t="shared" ref="E29" si="16">SUM(E30:E34)</f>
        <v>0</v>
      </c>
      <c r="F29" s="143">
        <f>SUM(B29:E29)</f>
        <v>0</v>
      </c>
      <c r="H29" s="338">
        <f>SUM(B30:B35)-B29</f>
        <v>0</v>
      </c>
      <c r="I29" s="337">
        <f t="shared" ref="I29" si="17">SUM(C30:C35)-C29</f>
        <v>0</v>
      </c>
      <c r="J29" s="337">
        <f t="shared" ref="J29" si="18">SUM(D30:D35)-D29</f>
        <v>0</v>
      </c>
      <c r="K29" s="337">
        <f t="shared" ref="K29" si="19">SUM(E30:E35)-E29</f>
        <v>0</v>
      </c>
      <c r="L29" s="341">
        <f>SUM(B29:E29)-F29</f>
        <v>0</v>
      </c>
      <c r="N29" s="349"/>
      <c r="P29" s="349">
        <f>F29-'BS old'!E106-'BS old'!E108</f>
        <v>0</v>
      </c>
    </row>
    <row r="30" spans="1:16" ht="21" customHeight="1" thickTop="1" thickBot="1">
      <c r="A30" s="108"/>
      <c r="B30" s="79"/>
      <c r="C30" s="79"/>
      <c r="D30" s="144"/>
      <c r="E30" s="144"/>
      <c r="F30" s="145">
        <f t="shared" si="13"/>
        <v>0</v>
      </c>
      <c r="L30" s="341">
        <f>SUM(B30:E30)-F30</f>
        <v>0</v>
      </c>
      <c r="N30" s="349"/>
    </row>
    <row r="31" spans="1:16" ht="21" customHeight="1" thickBot="1">
      <c r="A31" s="108"/>
      <c r="B31" s="79"/>
      <c r="C31" s="79"/>
      <c r="D31" s="120"/>
      <c r="E31" s="120"/>
      <c r="F31" s="145">
        <f t="shared" si="13"/>
        <v>0</v>
      </c>
      <c r="L31" s="341">
        <f t="shared" ref="L31:L35" si="20">SUM(B31:E31)-F31</f>
        <v>0</v>
      </c>
      <c r="N31" s="349"/>
    </row>
    <row r="32" spans="1:16" ht="21" customHeight="1" thickBot="1">
      <c r="A32" s="108"/>
      <c r="B32" s="79"/>
      <c r="C32" s="79"/>
      <c r="D32" s="120"/>
      <c r="E32" s="120"/>
      <c r="F32" s="145">
        <f t="shared" si="13"/>
        <v>0</v>
      </c>
      <c r="L32" s="341">
        <f t="shared" si="20"/>
        <v>0</v>
      </c>
      <c r="N32" s="349"/>
    </row>
    <row r="33" spans="1:14" ht="21" customHeight="1" thickBot="1">
      <c r="A33" s="108"/>
      <c r="B33" s="79"/>
      <c r="C33" s="79"/>
      <c r="D33" s="120"/>
      <c r="E33" s="120"/>
      <c r="F33" s="145">
        <f t="shared" si="13"/>
        <v>0</v>
      </c>
      <c r="L33" s="341">
        <f t="shared" si="20"/>
        <v>0</v>
      </c>
      <c r="N33" s="349"/>
    </row>
    <row r="34" spans="1:14" ht="21" customHeight="1" thickBot="1">
      <c r="A34" s="108"/>
      <c r="B34" s="79"/>
      <c r="C34" s="79"/>
      <c r="D34" s="120"/>
      <c r="E34" s="120"/>
      <c r="F34" s="145">
        <f t="shared" si="13"/>
        <v>0</v>
      </c>
      <c r="L34" s="341">
        <f t="shared" si="20"/>
        <v>0</v>
      </c>
      <c r="N34" s="349"/>
    </row>
    <row r="35" spans="1:14" ht="21" customHeight="1" thickBot="1">
      <c r="A35" s="150"/>
      <c r="B35" s="81"/>
      <c r="C35" s="81"/>
      <c r="D35" s="148"/>
      <c r="E35" s="148"/>
      <c r="F35" s="149">
        <f t="shared" si="13"/>
        <v>0</v>
      </c>
      <c r="L35" s="341">
        <f t="shared" si="20"/>
        <v>0</v>
      </c>
      <c r="N35" s="349"/>
    </row>
    <row r="36" spans="1:14" ht="15" thickTop="1"/>
  </sheetData>
  <mergeCells count="5">
    <mergeCell ref="B21:F21"/>
    <mergeCell ref="A21:A22"/>
    <mergeCell ref="A3:A4"/>
    <mergeCell ref="B3:F3"/>
    <mergeCell ref="H1:L1"/>
  </mergeCells>
  <conditionalFormatting sqref="H5:K35">
    <cfRule type="cellIs" dxfId="120" priority="31" operator="lessThan">
      <formula>0</formula>
    </cfRule>
    <cfRule type="cellIs" dxfId="119" priority="32" operator="greaterThan">
      <formula>0</formula>
    </cfRule>
  </conditionalFormatting>
  <conditionalFormatting sqref="H5:L36">
    <cfRule type="cellIs" dxfId="118" priority="26" operator="lessThan">
      <formula>0</formula>
    </cfRule>
    <cfRule type="cellIs" dxfId="117"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116" priority="23" operator="lessThan">
      <formula>0</formula>
    </cfRule>
    <cfRule type="cellIs" dxfId="115" priority="24" operator="greaterThan">
      <formula>0</formula>
    </cfRule>
  </conditionalFormatting>
  <conditionalFormatting sqref="P5:P29">
    <cfRule type="cellIs" dxfId="114" priority="21" operator="lessThan">
      <formula>0</formula>
    </cfRule>
    <cfRule type="cellIs" dxfId="113" priority="22" operator="greaterThan">
      <formula>0</formula>
    </cfRule>
  </conditionalFormatting>
  <conditionalFormatting sqref="L5">
    <cfRule type="cellIs" dxfId="112" priority="16" operator="lessThan">
      <formula>0</formula>
    </cfRule>
    <cfRule type="cellIs" dxfId="111"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110" priority="11" operator="lessThan">
      <formula>0</formula>
    </cfRule>
    <cfRule type="cellIs" dxfId="109"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108" priority="6" operator="lessThan">
      <formula>0</formula>
    </cfRule>
    <cfRule type="cellIs" dxfId="107"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106" priority="1" operator="lessThan">
      <formula>0</formula>
    </cfRule>
    <cfRule type="cellIs" dxfId="105"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9"/>
  <sheetViews>
    <sheetView showGridLines="0" zoomScaleNormal="100" workbookViewId="0">
      <selection activeCell="A3" sqref="A3:A8"/>
    </sheetView>
  </sheetViews>
  <sheetFormatPr defaultRowHeight="14.5"/>
  <cols>
    <col min="1" max="1" width="32" customWidth="1"/>
    <col min="2" max="3" width="27.26953125" customWidth="1"/>
    <col min="4" max="4" width="14.1796875" customWidth="1"/>
    <col min="5" max="5" width="25.26953125" style="335" customWidth="1"/>
    <col min="6" max="6" width="25.26953125" style="340" customWidth="1"/>
    <col min="7" max="7" width="5.81640625" customWidth="1"/>
    <col min="8" max="8" width="29.453125" style="335" customWidth="1"/>
    <col min="9" max="9" width="30.81640625" style="340" customWidth="1"/>
  </cols>
  <sheetData>
    <row r="1" spans="1:9" ht="15" thickBot="1">
      <c r="A1" s="1" t="s">
        <v>214</v>
      </c>
      <c r="E1" s="1603" t="s">
        <v>1056</v>
      </c>
      <c r="F1" s="1605"/>
      <c r="H1" s="1603" t="s">
        <v>1058</v>
      </c>
      <c r="I1" s="1605"/>
    </row>
    <row r="2" spans="1:9" ht="26.25" customHeight="1" thickTop="1" thickBot="1">
      <c r="A2" s="84" t="s">
        <v>131</v>
      </c>
      <c r="B2" s="38" t="s">
        <v>2</v>
      </c>
      <c r="C2" s="38" t="s">
        <v>3</v>
      </c>
      <c r="E2" s="59" t="s">
        <v>2</v>
      </c>
      <c r="F2" s="177" t="s">
        <v>3</v>
      </c>
      <c r="H2" s="59" t="s">
        <v>2</v>
      </c>
      <c r="I2" s="177" t="s">
        <v>3</v>
      </c>
    </row>
    <row r="3" spans="1:9" ht="20.25" customHeight="1" thickTop="1" thickBot="1">
      <c r="A3" s="14" t="s">
        <v>215</v>
      </c>
      <c r="B3" s="151"/>
      <c r="C3" s="152"/>
    </row>
    <row r="4" spans="1:9" ht="20.25" customHeight="1" thickBot="1">
      <c r="A4" s="14" t="s">
        <v>473</v>
      </c>
      <c r="B4" s="151"/>
      <c r="C4" s="152"/>
    </row>
    <row r="5" spans="1:9" ht="20.25" customHeight="1" thickBot="1">
      <c r="A5" s="44" t="s">
        <v>216</v>
      </c>
      <c r="B5" s="79">
        <f>B3+B4</f>
        <v>0</v>
      </c>
      <c r="C5" s="80">
        <f>C3+C4</f>
        <v>0</v>
      </c>
      <c r="E5" s="338">
        <f>SUM(B3:B4)-B5</f>
        <v>0</v>
      </c>
      <c r="F5" s="341">
        <f>SUM(C3:C4)-C5</f>
        <v>0</v>
      </c>
      <c r="H5" s="338">
        <f>B5-'BS old'!$D$121</f>
        <v>0</v>
      </c>
      <c r="I5" s="341">
        <f>C5-'BS old'!$E$121</f>
        <v>0</v>
      </c>
    </row>
    <row r="6" spans="1:9" ht="20.25" customHeight="1" thickBot="1">
      <c r="A6" s="14" t="s">
        <v>217</v>
      </c>
      <c r="B6" s="79"/>
      <c r="C6" s="80"/>
    </row>
    <row r="7" spans="1:9" ht="20.25" customHeight="1" thickBot="1">
      <c r="A7" s="14" t="s">
        <v>218</v>
      </c>
      <c r="B7" s="153"/>
      <c r="C7" s="126"/>
    </row>
    <row r="8" spans="1:9" ht="20.25" customHeight="1" thickBot="1">
      <c r="A8" s="25" t="s">
        <v>219</v>
      </c>
      <c r="B8" s="146">
        <f>B6+B7</f>
        <v>0</v>
      </c>
      <c r="C8" s="127">
        <f>C6+C7</f>
        <v>0</v>
      </c>
      <c r="E8" s="338">
        <f>SUM(B6:B7)-B8</f>
        <v>0</v>
      </c>
      <c r="F8" s="341">
        <f>SUM(C6:C7)-C8</f>
        <v>0</v>
      </c>
      <c r="H8" s="338">
        <f>B8-'BS old'!$D$109</f>
        <v>0</v>
      </c>
      <c r="I8" s="341">
        <f>C8-'BS old'!$E$109</f>
        <v>0</v>
      </c>
    </row>
    <row r="9" spans="1:9" ht="15" thickTop="1"/>
  </sheetData>
  <mergeCells count="2">
    <mergeCell ref="E1:F1"/>
    <mergeCell ref="H1:I1"/>
  </mergeCells>
  <conditionalFormatting sqref="H1">
    <cfRule type="cellIs" priority="3" stopIfTrue="1" operator="greaterThan">
      <formula>0</formula>
    </cfRule>
  </conditionalFormatting>
  <conditionalFormatting sqref="E3:I12">
    <cfRule type="cellIs" dxfId="104" priority="1" operator="lessThan">
      <formula>0</formula>
    </cfRule>
    <cfRule type="cellIs" dxfId="103" priority="2"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0"/>
  <sheetViews>
    <sheetView showGridLines="0" zoomScaleNormal="100" workbookViewId="0">
      <selection activeCell="H9" sqref="H2:I9"/>
    </sheetView>
  </sheetViews>
  <sheetFormatPr defaultRowHeight="14.5"/>
  <cols>
    <col min="1" max="1" width="33" customWidth="1"/>
    <col min="2" max="3" width="26.7265625" customWidth="1"/>
    <col min="4" max="4" width="14.1796875" customWidth="1"/>
    <col min="5" max="5" width="27.81640625" style="335" customWidth="1"/>
    <col min="6" max="6" width="27.81640625" style="340" customWidth="1"/>
    <col min="7" max="7" width="10.453125" customWidth="1"/>
    <col min="8" max="8" width="23.1796875" style="335" customWidth="1"/>
    <col min="9" max="9" width="23.1796875" style="340" customWidth="1"/>
  </cols>
  <sheetData>
    <row r="1" spans="1:9" ht="15" thickBot="1">
      <c r="A1" s="1" t="s">
        <v>478</v>
      </c>
      <c r="E1" s="1603" t="s">
        <v>1056</v>
      </c>
      <c r="F1" s="1605"/>
      <c r="H1" s="1603" t="s">
        <v>1058</v>
      </c>
      <c r="I1" s="1605"/>
    </row>
    <row r="2" spans="1:9" ht="21.75" customHeight="1" thickTop="1" thickBot="1">
      <c r="A2" s="59" t="s">
        <v>131</v>
      </c>
      <c r="B2" s="38" t="s">
        <v>2</v>
      </c>
      <c r="C2" s="38" t="s">
        <v>3</v>
      </c>
      <c r="E2" s="59" t="s">
        <v>2</v>
      </c>
      <c r="F2" s="177" t="s">
        <v>3</v>
      </c>
      <c r="H2" s="59" t="s">
        <v>2</v>
      </c>
      <c r="I2" s="177" t="s">
        <v>3</v>
      </c>
    </row>
    <row r="3" spans="1:9" ht="21.75" customHeight="1" thickTop="1" thickBot="1">
      <c r="A3" s="103" t="s">
        <v>234</v>
      </c>
      <c r="B3" s="79"/>
      <c r="C3" s="80"/>
    </row>
    <row r="4" spans="1:9" ht="21.75" customHeight="1" thickBot="1">
      <c r="A4" s="71" t="s">
        <v>235</v>
      </c>
      <c r="B4" s="79"/>
      <c r="C4" s="80"/>
    </row>
    <row r="5" spans="1:9" ht="21.75" customHeight="1" thickBot="1">
      <c r="A5" s="71" t="s">
        <v>236</v>
      </c>
      <c r="B5" s="79"/>
      <c r="C5" s="80"/>
    </row>
    <row r="6" spans="1:9" ht="21.75" customHeight="1" thickBot="1">
      <c r="A6" s="71" t="s">
        <v>237</v>
      </c>
      <c r="B6" s="79"/>
      <c r="C6" s="80"/>
    </row>
    <row r="7" spans="1:9" ht="21.75" customHeight="1" thickBot="1">
      <c r="A7" s="103" t="s">
        <v>238</v>
      </c>
      <c r="B7" s="79">
        <f>SUM(B4:B6)</f>
        <v>0</v>
      </c>
      <c r="C7" s="80">
        <f>SUM(C4:C6)</f>
        <v>0</v>
      </c>
      <c r="E7" s="338">
        <f>SUM(B4:B6)-B7</f>
        <v>0</v>
      </c>
      <c r="F7" s="341">
        <f>SUM(C4:C6)-C7</f>
        <v>0</v>
      </c>
    </row>
    <row r="8" spans="1:9" ht="21.75" customHeight="1" thickBot="1">
      <c r="A8" s="103" t="s">
        <v>239</v>
      </c>
      <c r="B8" s="79"/>
      <c r="C8" s="80"/>
    </row>
    <row r="9" spans="1:9" ht="21.75" customHeight="1" thickBot="1">
      <c r="A9" s="72" t="s">
        <v>240</v>
      </c>
      <c r="B9" s="85">
        <f>B3+B7+B8</f>
        <v>0</v>
      </c>
      <c r="C9" s="78">
        <f>C3+C7+C8</f>
        <v>0</v>
      </c>
      <c r="E9" s="338">
        <f>B3+B7+B8-B9</f>
        <v>0</v>
      </c>
      <c r="F9" s="341">
        <f>C3+C7+C8-C9</f>
        <v>0</v>
      </c>
      <c r="H9" s="338">
        <f>B9-'BS old'!$D$118</f>
        <v>0</v>
      </c>
      <c r="I9" s="341">
        <f>C9-'BS old'!$E$118</f>
        <v>0</v>
      </c>
    </row>
    <row r="10" spans="1:9" ht="15" thickTop="1">
      <c r="A10" s="2"/>
    </row>
  </sheetData>
  <mergeCells count="2">
    <mergeCell ref="E1:F1"/>
    <mergeCell ref="H1:I1"/>
  </mergeCells>
  <conditionalFormatting sqref="E7:F9">
    <cfRule type="cellIs" dxfId="102" priority="4" operator="lessThan">
      <formula>0</formula>
    </cfRule>
    <cfRule type="cellIs" dxfId="101" priority="5" operator="greaterThan">
      <formula>0</formula>
    </cfRule>
  </conditionalFormatting>
  <conditionalFormatting sqref="H1">
    <cfRule type="cellIs" priority="3" stopIfTrue="1" operator="greaterThan">
      <formula>0</formula>
    </cfRule>
  </conditionalFormatting>
  <conditionalFormatting sqref="H9:I9">
    <cfRule type="cellIs" dxfId="100" priority="1" operator="lessThan">
      <formula>0</formula>
    </cfRule>
    <cfRule type="cellIs" dxfId="99"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7"/>
  <sheetViews>
    <sheetView showGridLines="0" zoomScaleNormal="100" workbookViewId="0">
      <selection activeCell="B27" sqref="B27"/>
    </sheetView>
  </sheetViews>
  <sheetFormatPr defaultRowHeight="14.5"/>
  <cols>
    <col min="1" max="6" width="14.453125" customWidth="1"/>
    <col min="7" max="7" width="23.26953125" customWidth="1"/>
  </cols>
  <sheetData>
    <row r="1" spans="1:6" ht="15" thickBot="1">
      <c r="A1" s="1" t="s">
        <v>479</v>
      </c>
    </row>
    <row r="2" spans="1:6" s="4" customFormat="1" ht="21.75" customHeight="1" thickTop="1" thickBot="1">
      <c r="A2" s="59" t="s">
        <v>241</v>
      </c>
      <c r="B2" s="38" t="s">
        <v>242</v>
      </c>
      <c r="C2" s="38" t="s">
        <v>243</v>
      </c>
      <c r="D2" s="38" t="s">
        <v>244</v>
      </c>
      <c r="E2" s="38" t="s">
        <v>245</v>
      </c>
      <c r="F2" s="38" t="s">
        <v>184</v>
      </c>
    </row>
    <row r="3" spans="1:6" ht="21.75" customHeight="1" thickTop="1" thickBot="1">
      <c r="A3" s="108"/>
      <c r="B3" s="106"/>
      <c r="C3" s="79"/>
      <c r="D3" s="79"/>
      <c r="E3" s="79"/>
      <c r="F3" s="80"/>
    </row>
    <row r="4" spans="1:6" ht="21.75" customHeight="1" thickBot="1">
      <c r="A4" s="108"/>
      <c r="B4" s="106"/>
      <c r="C4" s="79"/>
      <c r="D4" s="79"/>
      <c r="E4" s="79"/>
      <c r="F4" s="80"/>
    </row>
    <row r="5" spans="1:6" ht="21.75" customHeight="1" thickBot="1">
      <c r="A5" s="108"/>
      <c r="B5" s="106"/>
      <c r="C5" s="79"/>
      <c r="D5" s="79"/>
      <c r="E5" s="79"/>
      <c r="F5" s="80"/>
    </row>
    <row r="6" spans="1:6" ht="21.75" customHeight="1" thickBot="1">
      <c r="A6" s="109"/>
      <c r="B6" s="107"/>
      <c r="C6" s="85"/>
      <c r="D6" s="85"/>
      <c r="E6" s="85"/>
      <c r="F6" s="78"/>
    </row>
    <row r="7" spans="1:6" ht="15" thickTop="1"/>
  </sheetData>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I26"/>
  <sheetViews>
    <sheetView showGridLines="0" topLeftCell="A10" zoomScaleNormal="100" workbookViewId="0">
      <selection activeCell="H19" sqref="H19:I19"/>
    </sheetView>
  </sheetViews>
  <sheetFormatPr defaultColWidth="9.1796875" defaultRowHeight="10"/>
  <cols>
    <col min="1" max="1" width="23" style="20" customWidth="1"/>
    <col min="2" max="2" width="8.26953125" style="20" customWidth="1"/>
    <col min="3" max="6" width="13.81640625" style="20" customWidth="1"/>
    <col min="7" max="7" width="23.26953125" style="20" customWidth="1"/>
    <col min="8" max="8" width="18.26953125" style="357" customWidth="1"/>
    <col min="9" max="9" width="18.26953125" style="356" customWidth="1"/>
    <col min="10" max="16384" width="9.1796875" style="20"/>
  </cols>
  <sheetData>
    <row r="1" spans="1:9" ht="14.5">
      <c r="A1" s="99" t="s">
        <v>480</v>
      </c>
      <c r="H1" s="1597" t="s">
        <v>1058</v>
      </c>
      <c r="I1" s="1599"/>
    </row>
    <row r="2" spans="1:9" ht="10.5" thickBot="1">
      <c r="A2" s="20" t="s">
        <v>8</v>
      </c>
    </row>
    <row r="3" spans="1:9" ht="67" customHeight="1" thickTop="1" thickBot="1">
      <c r="A3" s="19" t="s">
        <v>131</v>
      </c>
      <c r="B3" s="19" t="s">
        <v>246</v>
      </c>
      <c r="C3" s="50" t="s">
        <v>477</v>
      </c>
      <c r="D3" s="19" t="s">
        <v>247</v>
      </c>
      <c r="E3" s="19" t="s">
        <v>248</v>
      </c>
      <c r="F3" s="19" t="s">
        <v>249</v>
      </c>
      <c r="H3" s="59" t="s">
        <v>248</v>
      </c>
      <c r="I3" s="59" t="s">
        <v>249</v>
      </c>
    </row>
    <row r="4" spans="1:9" ht="21.75" customHeight="1" thickTop="1" thickBot="1">
      <c r="A4" s="52" t="s">
        <v>250</v>
      </c>
      <c r="B4" s="87"/>
      <c r="C4" s="87"/>
      <c r="D4" s="87"/>
      <c r="E4" s="87"/>
      <c r="F4" s="83"/>
      <c r="H4" s="367">
        <f>SUM(E5:E7)-'BS old'!$D$134</f>
        <v>0</v>
      </c>
      <c r="I4" s="365">
        <f>SUM(F5:F7)-'BS old'!$E$134</f>
        <v>0</v>
      </c>
    </row>
    <row r="5" spans="1:9" ht="21.75" customHeight="1" thickTop="1" thickBot="1">
      <c r="A5" s="71"/>
      <c r="B5" s="110"/>
      <c r="C5" s="113"/>
      <c r="D5" s="117"/>
      <c r="E5" s="79"/>
      <c r="F5" s="80"/>
    </row>
    <row r="6" spans="1:9" ht="21.75" customHeight="1" thickBot="1">
      <c r="A6" s="71"/>
      <c r="B6" s="110"/>
      <c r="C6" s="113"/>
      <c r="D6" s="93"/>
      <c r="E6" s="79"/>
      <c r="F6" s="80"/>
    </row>
    <row r="7" spans="1:9" ht="21.75" customHeight="1" thickBot="1">
      <c r="A7" s="71"/>
      <c r="B7" s="110"/>
      <c r="C7" s="113"/>
      <c r="D7" s="93"/>
      <c r="E7" s="79"/>
      <c r="F7" s="80"/>
    </row>
    <row r="8" spans="1:9" ht="21.75" customHeight="1" thickBot="1">
      <c r="A8" s="100" t="s">
        <v>251</v>
      </c>
      <c r="B8" s="111"/>
      <c r="C8" s="114"/>
      <c r="D8" s="114"/>
      <c r="E8" s="114"/>
      <c r="F8" s="115"/>
      <c r="H8" s="367">
        <f>SUM(E9:E11)-'BS old'!$D$135</f>
        <v>0</v>
      </c>
      <c r="I8" s="365">
        <f>SUM(F9:F11)-'BS old'!$E$135</f>
        <v>0</v>
      </c>
    </row>
    <row r="9" spans="1:9" ht="21.75" customHeight="1" thickTop="1" thickBot="1">
      <c r="A9" s="71"/>
      <c r="B9" s="110"/>
      <c r="C9" s="113"/>
      <c r="D9" s="93"/>
      <c r="E9" s="79"/>
      <c r="F9" s="80"/>
    </row>
    <row r="10" spans="1:9" ht="21.75" customHeight="1" thickBot="1">
      <c r="A10" s="71"/>
      <c r="B10" s="110"/>
      <c r="C10" s="113"/>
      <c r="D10" s="93"/>
      <c r="E10" s="79"/>
      <c r="F10" s="80"/>
    </row>
    <row r="11" spans="1:9" ht="21.75" customHeight="1" thickBot="1">
      <c r="A11" s="72"/>
      <c r="B11" s="112"/>
      <c r="C11" s="116"/>
      <c r="D11" s="95"/>
      <c r="E11" s="85"/>
      <c r="F11" s="78"/>
    </row>
    <row r="12" spans="1:9" ht="11" thickTop="1">
      <c r="A12" s="99"/>
    </row>
    <row r="13" spans="1:9" ht="10.5" thickBot="1">
      <c r="A13" s="20" t="s">
        <v>15</v>
      </c>
    </row>
    <row r="14" spans="1:9" ht="67" customHeight="1" thickTop="1" thickBot="1">
      <c r="A14" s="19" t="s">
        <v>131</v>
      </c>
      <c r="B14" s="19" t="s">
        <v>246</v>
      </c>
      <c r="C14" s="50" t="s">
        <v>477</v>
      </c>
      <c r="D14" s="19" t="s">
        <v>247</v>
      </c>
      <c r="E14" s="19" t="s">
        <v>248</v>
      </c>
      <c r="F14" s="19" t="s">
        <v>249</v>
      </c>
    </row>
    <row r="15" spans="1:9" ht="21.75" customHeight="1" thickTop="1" thickBot="1">
      <c r="A15" s="52" t="s">
        <v>474</v>
      </c>
      <c r="B15" s="87"/>
      <c r="C15" s="87"/>
      <c r="D15" s="87"/>
      <c r="E15" s="87"/>
      <c r="F15" s="83"/>
      <c r="H15" s="368"/>
      <c r="I15" s="366"/>
    </row>
    <row r="16" spans="1:9" ht="21.75" customHeight="1" thickTop="1" thickBot="1">
      <c r="A16" s="71"/>
      <c r="B16" s="110"/>
      <c r="C16" s="113"/>
      <c r="D16" s="93"/>
      <c r="E16" s="79"/>
      <c r="F16" s="80"/>
    </row>
    <row r="17" spans="1:9" ht="21.75" customHeight="1" thickBot="1">
      <c r="A17" s="71"/>
      <c r="B17" s="110"/>
      <c r="C17" s="113"/>
      <c r="D17" s="93"/>
      <c r="E17" s="79"/>
      <c r="F17" s="80"/>
    </row>
    <row r="18" spans="1:9" ht="21.75" customHeight="1" thickBot="1">
      <c r="A18" s="71"/>
      <c r="B18" s="110"/>
      <c r="C18" s="113"/>
      <c r="D18" s="93"/>
      <c r="E18" s="79"/>
      <c r="F18" s="80"/>
    </row>
    <row r="19" spans="1:9" ht="21.75" customHeight="1" thickBot="1">
      <c r="A19" s="100" t="s">
        <v>475</v>
      </c>
      <c r="B19" s="111"/>
      <c r="C19" s="114"/>
      <c r="D19" s="114"/>
      <c r="E19" s="114"/>
      <c r="F19" s="115"/>
      <c r="H19" s="367">
        <f>SUM(E20:E22,E24:E25)-'BS old'!$D$132</f>
        <v>0</v>
      </c>
      <c r="I19" s="365">
        <f>SUM(F20:F22,F24:F25)-'BS old'!$E$132</f>
        <v>0</v>
      </c>
    </row>
    <row r="20" spans="1:9" ht="21.75" customHeight="1" thickTop="1" thickBot="1">
      <c r="A20" s="71"/>
      <c r="B20" s="110"/>
      <c r="C20" s="113"/>
      <c r="D20" s="93"/>
      <c r="E20" s="79"/>
      <c r="F20" s="80"/>
    </row>
    <row r="21" spans="1:9" ht="21.75" customHeight="1" thickBot="1">
      <c r="A21" s="71"/>
      <c r="B21" s="110"/>
      <c r="C21" s="113"/>
      <c r="D21" s="93"/>
      <c r="E21" s="79"/>
      <c r="F21" s="80"/>
    </row>
    <row r="22" spans="1:9" ht="21.75" customHeight="1" thickBot="1">
      <c r="A22" s="71"/>
      <c r="B22" s="110"/>
      <c r="C22" s="113"/>
      <c r="D22" s="93"/>
      <c r="E22" s="79"/>
      <c r="F22" s="80"/>
    </row>
    <row r="23" spans="1:9" ht="21.75" customHeight="1" thickBot="1">
      <c r="A23" s="100" t="s">
        <v>476</v>
      </c>
      <c r="B23" s="111"/>
      <c r="C23" s="114"/>
      <c r="D23" s="114"/>
      <c r="E23" s="114"/>
      <c r="F23" s="115"/>
    </row>
    <row r="24" spans="1:9" ht="21.75" customHeight="1" thickTop="1" thickBot="1">
      <c r="A24" s="71"/>
      <c r="B24" s="110"/>
      <c r="C24" s="113"/>
      <c r="D24" s="93"/>
      <c r="E24" s="79"/>
      <c r="F24" s="80"/>
    </row>
    <row r="25" spans="1:9" ht="21.75" customHeight="1" thickBot="1">
      <c r="A25" s="72"/>
      <c r="B25" s="112"/>
      <c r="C25" s="116"/>
      <c r="D25" s="95"/>
      <c r="E25" s="85"/>
      <c r="F25" s="78"/>
    </row>
    <row r="26" spans="1:9" ht="10.5" thickTop="1"/>
  </sheetData>
  <mergeCells count="1">
    <mergeCell ref="H1:I1"/>
  </mergeCells>
  <conditionalFormatting sqref="H1">
    <cfRule type="cellIs" priority="5" stopIfTrue="1" operator="greaterThan">
      <formula>0</formula>
    </cfRule>
  </conditionalFormatting>
  <conditionalFormatting sqref="H19:I19">
    <cfRule type="cellIs" dxfId="98" priority="3" operator="lessThan">
      <formula>0</formula>
    </cfRule>
    <cfRule type="cellIs" dxfId="97" priority="4" operator="greaterThan">
      <formula>0</formula>
    </cfRule>
  </conditionalFormatting>
  <conditionalFormatting sqref="H4:I8">
    <cfRule type="cellIs" dxfId="96" priority="1" operator="lessThan">
      <formula>0</formula>
    </cfRule>
    <cfRule type="cellIs" dxfId="95" priority="2" operator="greaterThan">
      <formula>0</formula>
    </cfRule>
  </conditionalFormatting>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20"/>
  <sheetViews>
    <sheetView showGridLines="0" zoomScaleNormal="100" workbookViewId="0">
      <selection activeCell="A3" sqref="A3:A19"/>
    </sheetView>
  </sheetViews>
  <sheetFormatPr defaultRowHeight="14.5"/>
  <cols>
    <col min="1" max="1" width="27.7265625" customWidth="1"/>
    <col min="2" max="3" width="29.26953125" customWidth="1"/>
    <col min="4" max="4" width="14.1796875" customWidth="1"/>
    <col min="5" max="5" width="14.453125" customWidth="1"/>
    <col min="6" max="7" width="23.26953125" customWidth="1"/>
  </cols>
  <sheetData>
    <row r="1" spans="1:3" ht="15" thickBot="1">
      <c r="A1" s="1" t="s">
        <v>481</v>
      </c>
    </row>
    <row r="2" spans="1:3" ht="22" thickTop="1" thickBot="1">
      <c r="A2" s="84" t="s">
        <v>131</v>
      </c>
      <c r="B2" s="38" t="s">
        <v>2</v>
      </c>
      <c r="C2" s="38" t="s">
        <v>3</v>
      </c>
    </row>
    <row r="3" spans="1:3" ht="23.25" customHeight="1" thickTop="1" thickBot="1">
      <c r="A3" s="44" t="s">
        <v>220</v>
      </c>
      <c r="B3" s="79"/>
      <c r="C3" s="80"/>
    </row>
    <row r="4" spans="1:3" ht="23.25" customHeight="1" thickBot="1">
      <c r="A4" s="14" t="s">
        <v>221</v>
      </c>
      <c r="B4" s="79"/>
      <c r="C4" s="80"/>
    </row>
    <row r="5" spans="1:3" ht="23.25" customHeight="1" thickBot="1">
      <c r="A5" s="14" t="s">
        <v>222</v>
      </c>
      <c r="B5" s="79"/>
      <c r="C5" s="80"/>
    </row>
    <row r="6" spans="1:3" ht="23.25" customHeight="1" thickBot="1">
      <c r="A6" s="44" t="s">
        <v>223</v>
      </c>
      <c r="B6" s="79"/>
      <c r="C6" s="80"/>
    </row>
    <row r="7" spans="1:3" ht="23.25" customHeight="1" thickBot="1">
      <c r="A7" s="14" t="s">
        <v>221</v>
      </c>
      <c r="B7" s="79"/>
      <c r="C7" s="80"/>
    </row>
    <row r="8" spans="1:3" ht="23.25" customHeight="1" thickBot="1">
      <c r="A8" s="14" t="s">
        <v>222</v>
      </c>
      <c r="B8" s="79"/>
      <c r="C8" s="80"/>
    </row>
    <row r="9" spans="1:3" ht="23.25" customHeight="1" thickBot="1">
      <c r="A9" s="44" t="s">
        <v>224</v>
      </c>
      <c r="B9" s="79"/>
      <c r="C9" s="80"/>
    </row>
    <row r="10" spans="1:3" ht="23.25" customHeight="1" thickBot="1">
      <c r="A10" s="44" t="s">
        <v>225</v>
      </c>
      <c r="B10" s="79"/>
      <c r="C10" s="80"/>
    </row>
    <row r="11" spans="1:3" ht="23.25" customHeight="1" thickBot="1">
      <c r="A11" s="44" t="s">
        <v>226</v>
      </c>
      <c r="B11" s="113">
        <v>0.19</v>
      </c>
      <c r="C11" s="118">
        <v>0.19</v>
      </c>
    </row>
    <row r="12" spans="1:3" ht="23.25" customHeight="1" thickBot="1">
      <c r="A12" s="44" t="s">
        <v>227</v>
      </c>
      <c r="B12" s="79"/>
      <c r="C12" s="80"/>
    </row>
    <row r="13" spans="1:3" ht="23.25" customHeight="1" thickBot="1">
      <c r="A13" s="44" t="s">
        <v>228</v>
      </c>
      <c r="B13" s="79"/>
      <c r="C13" s="80"/>
    </row>
    <row r="14" spans="1:3" ht="23.25" customHeight="1" thickBot="1">
      <c r="A14" s="14" t="s">
        <v>229</v>
      </c>
      <c r="B14" s="79"/>
      <c r="C14" s="80"/>
    </row>
    <row r="15" spans="1:3" ht="23.25" customHeight="1" thickBot="1">
      <c r="A15" s="14" t="s">
        <v>230</v>
      </c>
      <c r="B15" s="79"/>
      <c r="C15" s="80"/>
    </row>
    <row r="16" spans="1:3" ht="23.25" customHeight="1" thickBot="1">
      <c r="A16" s="104" t="s">
        <v>231</v>
      </c>
      <c r="B16" s="79"/>
      <c r="C16" s="80"/>
    </row>
    <row r="17" spans="1:3" ht="23.25" customHeight="1" thickBot="1">
      <c r="A17" s="105" t="s">
        <v>232</v>
      </c>
      <c r="B17" s="79"/>
      <c r="C17" s="80"/>
    </row>
    <row r="18" spans="1:3" ht="23.25" customHeight="1" thickBot="1">
      <c r="A18" s="14" t="s">
        <v>233</v>
      </c>
      <c r="B18" s="79"/>
      <c r="C18" s="80"/>
    </row>
    <row r="19" spans="1:3" ht="23.25" customHeight="1" thickBot="1">
      <c r="A19" s="16" t="s">
        <v>230</v>
      </c>
      <c r="B19" s="85"/>
      <c r="C19" s="78"/>
    </row>
    <row r="20" spans="1:3" ht="15" thickTop="1"/>
  </sheetData>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7"/>
  <sheetViews>
    <sheetView showGridLines="0" zoomScaleNormal="100" workbookViewId="0">
      <selection activeCell="H2" sqref="H2:I13"/>
    </sheetView>
  </sheetViews>
  <sheetFormatPr defaultRowHeight="14.5"/>
  <cols>
    <col min="1" max="1" width="32.7265625" customWidth="1"/>
    <col min="2" max="3" width="26.81640625" customWidth="1"/>
    <col min="4" max="4" width="22.26953125" customWidth="1"/>
    <col min="5" max="5" width="26" style="335" customWidth="1"/>
    <col min="6" max="6" width="26" style="340" customWidth="1"/>
    <col min="7" max="7" width="5.1796875" customWidth="1"/>
    <col min="8" max="8" width="22.54296875" style="371" customWidth="1"/>
    <col min="9" max="9" width="22.54296875" style="370" customWidth="1"/>
  </cols>
  <sheetData>
    <row r="1" spans="1:9" ht="15" thickBot="1">
      <c r="A1" s="369" t="s">
        <v>252</v>
      </c>
      <c r="E1" s="1603" t="s">
        <v>1056</v>
      </c>
      <c r="F1" s="1605"/>
      <c r="G1" s="345"/>
      <c r="H1" s="1616" t="s">
        <v>1058</v>
      </c>
      <c r="I1" s="1617"/>
    </row>
    <row r="2" spans="1:9" ht="23.25" customHeight="1" thickTop="1" thickBot="1">
      <c r="A2" s="84" t="s">
        <v>1</v>
      </c>
      <c r="B2" s="38" t="s">
        <v>2</v>
      </c>
      <c r="C2" s="38" t="s">
        <v>3</v>
      </c>
      <c r="E2" s="59" t="s">
        <v>2</v>
      </c>
      <c r="F2" s="59" t="s">
        <v>3</v>
      </c>
      <c r="H2" s="372" t="s">
        <v>2</v>
      </c>
      <c r="I2" s="372" t="s">
        <v>3</v>
      </c>
    </row>
    <row r="3" spans="1:9" ht="23.25" customHeight="1" thickTop="1" thickBot="1">
      <c r="A3" s="73" t="s">
        <v>253</v>
      </c>
      <c r="B3" s="85">
        <f>SUM(B4:B5)</f>
        <v>0</v>
      </c>
      <c r="C3" s="78">
        <f>SUM(C4:C5)</f>
        <v>0</v>
      </c>
      <c r="E3" s="338">
        <f>SUM(B4:B5)-B3</f>
        <v>0</v>
      </c>
      <c r="F3" s="341">
        <f>SUM(C4:C5)-C3</f>
        <v>0</v>
      </c>
      <c r="H3" s="646">
        <f>B3-'BS old'!$D$137</f>
        <v>0</v>
      </c>
      <c r="I3" s="647">
        <f>C3-'BS old'!$E$137</f>
        <v>0</v>
      </c>
    </row>
    <row r="4" spans="1:9" ht="23.25" customHeight="1" thickTop="1" thickBot="1">
      <c r="A4" s="14"/>
      <c r="B4" s="79"/>
      <c r="C4" s="80"/>
      <c r="H4" s="373"/>
      <c r="I4" s="374"/>
    </row>
    <row r="5" spans="1:9" ht="23.25" customHeight="1" thickBot="1">
      <c r="A5" s="16"/>
      <c r="B5" s="85"/>
      <c r="C5" s="78"/>
      <c r="H5" s="373"/>
      <c r="I5" s="374"/>
    </row>
    <row r="6" spans="1:9" ht="23.25" customHeight="1" thickTop="1" thickBot="1">
      <c r="A6" s="25" t="s">
        <v>254</v>
      </c>
      <c r="B6" s="85">
        <f>SUM(B7:B8)</f>
        <v>0</v>
      </c>
      <c r="C6" s="78">
        <f>SUM(C7:C8)</f>
        <v>0</v>
      </c>
      <c r="E6" s="338">
        <f>SUM(B7:B8)-B6</f>
        <v>0</v>
      </c>
      <c r="F6" s="341">
        <f>SUM(C7:C8)-C6</f>
        <v>0</v>
      </c>
      <c r="H6" s="646">
        <f>B6-'BS old'!$D$138</f>
        <v>0</v>
      </c>
      <c r="I6" s="647">
        <f>C6-'BS old'!$E$138</f>
        <v>0</v>
      </c>
    </row>
    <row r="7" spans="1:9" ht="23.25" customHeight="1" thickTop="1" thickBot="1">
      <c r="A7" s="14"/>
      <c r="B7" s="79"/>
      <c r="C7" s="80"/>
      <c r="H7" s="373"/>
      <c r="I7" s="374"/>
    </row>
    <row r="8" spans="1:9" ht="23.25" customHeight="1" thickBot="1">
      <c r="A8" s="16"/>
      <c r="B8" s="85"/>
      <c r="C8" s="78"/>
      <c r="H8" s="373"/>
      <c r="I8" s="374"/>
    </row>
    <row r="9" spans="1:9" ht="23.25" customHeight="1" thickTop="1" thickBot="1">
      <c r="A9" s="25" t="s">
        <v>482</v>
      </c>
      <c r="B9" s="85">
        <f>SUM(B10:B12)</f>
        <v>0</v>
      </c>
      <c r="C9" s="78">
        <f>SUM(C10:C12)</f>
        <v>0</v>
      </c>
      <c r="E9" s="338">
        <f>SUM(B10:B12)-B9</f>
        <v>0</v>
      </c>
      <c r="F9" s="341">
        <f>SUM(C10:C12)-C9</f>
        <v>0</v>
      </c>
      <c r="H9" s="646">
        <f>B9-'BS old'!$D$139</f>
        <v>0</v>
      </c>
      <c r="I9" s="647">
        <f>C9-'BS old'!$E$139</f>
        <v>0</v>
      </c>
    </row>
    <row r="10" spans="1:9" ht="23.25" customHeight="1" thickTop="1" thickBot="1">
      <c r="A10" s="14"/>
      <c r="B10" s="79"/>
      <c r="C10" s="80"/>
      <c r="H10" s="373"/>
      <c r="I10" s="374"/>
    </row>
    <row r="11" spans="1:9" ht="23.25" customHeight="1" thickBot="1">
      <c r="A11" s="14"/>
      <c r="B11" s="79"/>
      <c r="C11" s="80"/>
      <c r="H11" s="373"/>
      <c r="I11" s="374"/>
    </row>
    <row r="12" spans="1:9" ht="23.25" customHeight="1" thickBot="1">
      <c r="A12" s="16"/>
      <c r="B12" s="85"/>
      <c r="C12" s="78"/>
      <c r="H12" s="373"/>
      <c r="I12" s="374"/>
    </row>
    <row r="13" spans="1:9" ht="23.25" customHeight="1" thickTop="1" thickBot="1">
      <c r="A13" s="25" t="s">
        <v>483</v>
      </c>
      <c r="B13" s="85">
        <f>SUM(B14:B16)</f>
        <v>0</v>
      </c>
      <c r="C13" s="78">
        <f>SUM(C14:C16)</f>
        <v>0</v>
      </c>
      <c r="E13" s="338">
        <f>SUM(B14:B16)-B13</f>
        <v>0</v>
      </c>
      <c r="F13" s="341">
        <f>SUM(C14:C16)-C13</f>
        <v>0</v>
      </c>
      <c r="H13" s="646">
        <f>B13-'BS old'!$D$140</f>
        <v>0</v>
      </c>
      <c r="I13" s="647">
        <f>C13-'BS old'!$E$140</f>
        <v>0</v>
      </c>
    </row>
    <row r="14" spans="1:9" ht="23.25" customHeight="1" thickTop="1" thickBot="1">
      <c r="A14" s="14"/>
      <c r="B14" s="79"/>
      <c r="C14" s="80"/>
    </row>
    <row r="15" spans="1:9" ht="23.25" customHeight="1" thickBot="1">
      <c r="A15" s="119"/>
      <c r="B15" s="120"/>
      <c r="C15" s="121"/>
    </row>
    <row r="16" spans="1:9" ht="23.25" customHeight="1" thickBot="1">
      <c r="A16" s="16"/>
      <c r="B16" s="85"/>
      <c r="C16" s="78"/>
    </row>
    <row r="17" ht="15" thickTop="1"/>
  </sheetData>
  <mergeCells count="2">
    <mergeCell ref="E1:F1"/>
    <mergeCell ref="H1:I1"/>
  </mergeCells>
  <conditionalFormatting sqref="E3:F13">
    <cfRule type="cellIs" dxfId="94" priority="4" operator="lessThan">
      <formula>0</formula>
    </cfRule>
    <cfRule type="cellIs" dxfId="93" priority="5" operator="greaterThan">
      <formula>0</formula>
    </cfRule>
  </conditionalFormatting>
  <conditionalFormatting sqref="H3:I13">
    <cfRule type="cellIs" dxfId="92" priority="1" operator="lessThan">
      <formula>0</formula>
    </cfRule>
    <cfRule type="cellIs" dxfId="91" priority="2" operator="greaterThan">
      <formula>0</formula>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2"/>
  <sheetViews>
    <sheetView showGridLines="0" zoomScaleNormal="100" workbookViewId="0">
      <selection activeCell="A2" sqref="A1:A2"/>
    </sheetView>
  </sheetViews>
  <sheetFormatPr defaultRowHeight="14.5"/>
  <cols>
    <col min="1" max="1" width="29.1796875" customWidth="1"/>
    <col min="2" max="3" width="15.453125" customWidth="1"/>
    <col min="4" max="5" width="12.81640625" customWidth="1"/>
    <col min="6" max="6" width="12.1796875" customWidth="1"/>
  </cols>
  <sheetData>
    <row r="1" spans="1:7">
      <c r="A1" s="1" t="s">
        <v>7</v>
      </c>
    </row>
    <row r="2" spans="1:7" ht="15" thickBot="1">
      <c r="A2" s="2" t="s">
        <v>8</v>
      </c>
    </row>
    <row r="3" spans="1:7" ht="43.5" customHeight="1" thickTop="1" thickBot="1">
      <c r="A3" s="1585" t="s">
        <v>9</v>
      </c>
      <c r="B3" s="1587" t="s">
        <v>10</v>
      </c>
      <c r="C3" s="1588"/>
      <c r="D3" s="1585" t="s">
        <v>11</v>
      </c>
      <c r="E3" s="1585" t="s">
        <v>454</v>
      </c>
      <c r="F3" s="20"/>
      <c r="G3" s="20"/>
    </row>
    <row r="4" spans="1:7" ht="15" customHeight="1" thickTop="1" thickBot="1">
      <c r="A4" s="1586"/>
      <c r="B4" s="21" t="s">
        <v>13</v>
      </c>
      <c r="C4" s="21" t="s">
        <v>12</v>
      </c>
      <c r="D4" s="1586"/>
      <c r="E4" s="1586"/>
      <c r="F4" s="20"/>
      <c r="G4" s="20"/>
    </row>
    <row r="5" spans="1:7" ht="15.5" thickTop="1" thickBot="1">
      <c r="A5" s="14"/>
      <c r="B5" s="22"/>
      <c r="C5" s="23"/>
      <c r="D5" s="23"/>
      <c r="E5" s="24"/>
      <c r="F5" s="20"/>
      <c r="G5" s="20"/>
    </row>
    <row r="6" spans="1:7" ht="15" thickBot="1">
      <c r="A6" s="14"/>
      <c r="B6" s="22"/>
      <c r="C6" s="23"/>
      <c r="D6" s="23"/>
      <c r="E6" s="24"/>
      <c r="F6" s="20"/>
      <c r="G6" s="20"/>
    </row>
    <row r="7" spans="1:7" ht="15" thickBot="1">
      <c r="A7" s="14"/>
      <c r="B7" s="22"/>
      <c r="C7" s="23"/>
      <c r="D7" s="23"/>
      <c r="E7" s="24"/>
      <c r="F7" s="20"/>
      <c r="G7" s="20"/>
    </row>
    <row r="8" spans="1:7" ht="15" thickBot="1">
      <c r="A8" s="14"/>
      <c r="B8" s="22"/>
      <c r="C8" s="23"/>
      <c r="D8" s="23"/>
      <c r="E8" s="24"/>
      <c r="F8" s="20"/>
      <c r="G8" s="20"/>
    </row>
    <row r="9" spans="1:7" ht="15" thickBot="1">
      <c r="A9" s="14"/>
      <c r="B9" s="22"/>
      <c r="C9" s="23"/>
      <c r="D9" s="23"/>
      <c r="E9" s="24"/>
      <c r="F9" s="20"/>
      <c r="G9" s="20"/>
    </row>
    <row r="10" spans="1:7" ht="15" thickBot="1">
      <c r="A10" s="25" t="s">
        <v>14</v>
      </c>
      <c r="B10" s="26">
        <f>SUM(B5:B9)</f>
        <v>0</v>
      </c>
      <c r="C10" s="27">
        <f>SUM(C5:C9)</f>
        <v>0</v>
      </c>
      <c r="D10" s="28">
        <f t="shared" ref="D10:E10" si="0">SUM(D5:D9)</f>
        <v>0</v>
      </c>
      <c r="E10" s="29">
        <f t="shared" si="0"/>
        <v>0</v>
      </c>
      <c r="F10" s="20"/>
      <c r="G10" s="20"/>
    </row>
    <row r="11" spans="1:7" ht="15" thickTop="1">
      <c r="A11" s="20"/>
      <c r="B11" s="20"/>
      <c r="C11" s="20"/>
      <c r="D11" s="20"/>
      <c r="E11" s="20"/>
      <c r="F11" s="20"/>
      <c r="G11" s="20"/>
    </row>
    <row r="12" spans="1:7">
      <c r="A12" s="37">
        <v>7</v>
      </c>
      <c r="B12" s="37">
        <v>4</v>
      </c>
      <c r="C12" s="37">
        <v>4</v>
      </c>
      <c r="D12" s="37">
        <v>4</v>
      </c>
      <c r="E12" s="37">
        <v>4</v>
      </c>
      <c r="F12" s="37"/>
      <c r="G12" s="37"/>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15"/>
  <sheetViews>
    <sheetView showGridLines="0" zoomScaleNormal="100" workbookViewId="0">
      <selection activeCell="A11" sqref="A11"/>
    </sheetView>
  </sheetViews>
  <sheetFormatPr defaultRowHeight="14.5"/>
  <cols>
    <col min="1" max="1" width="27.54296875" customWidth="1"/>
    <col min="2" max="5" width="19.54296875" customWidth="1"/>
  </cols>
  <sheetData>
    <row r="1" spans="1:5">
      <c r="A1" s="1" t="s">
        <v>255</v>
      </c>
    </row>
    <row r="2" spans="1:5" ht="15" thickBot="1">
      <c r="A2" s="20" t="s">
        <v>8</v>
      </c>
      <c r="B2" s="20"/>
      <c r="C2" s="20"/>
      <c r="D2" s="20"/>
      <c r="E2" s="20"/>
    </row>
    <row r="3" spans="1:5" ht="15.5" thickTop="1" thickBot="1">
      <c r="A3" s="1608" t="s">
        <v>131</v>
      </c>
      <c r="B3" s="1587" t="s">
        <v>256</v>
      </c>
      <c r="C3" s="1593"/>
      <c r="D3" s="1585" t="s">
        <v>257</v>
      </c>
      <c r="E3" s="20"/>
    </row>
    <row r="4" spans="1:5" ht="15.5" thickTop="1" thickBot="1">
      <c r="A4" s="1610"/>
      <c r="B4" s="21" t="s">
        <v>258</v>
      </c>
      <c r="C4" s="69" t="s">
        <v>259</v>
      </c>
      <c r="D4" s="1586"/>
      <c r="E4" s="20"/>
    </row>
    <row r="5" spans="1:5" ht="18.75" customHeight="1" thickTop="1" thickBot="1">
      <c r="A5" s="25" t="s">
        <v>260</v>
      </c>
      <c r="B5" s="58"/>
      <c r="C5" s="58"/>
      <c r="D5" s="60"/>
      <c r="E5" s="20"/>
    </row>
    <row r="6" spans="1:5" ht="18.75" customHeight="1" thickTop="1" thickBot="1">
      <c r="A6" s="14"/>
      <c r="B6" s="79"/>
      <c r="C6" s="79"/>
      <c r="D6" s="80"/>
      <c r="E6" s="20"/>
    </row>
    <row r="7" spans="1:5" ht="18.75" customHeight="1" thickBot="1">
      <c r="A7" s="14"/>
      <c r="B7" s="79"/>
      <c r="C7" s="79"/>
      <c r="D7" s="80"/>
      <c r="E7" s="20"/>
    </row>
    <row r="8" spans="1:5" ht="18.75" customHeight="1" thickBot="1">
      <c r="A8" s="14"/>
      <c r="B8" s="79"/>
      <c r="C8" s="79"/>
      <c r="D8" s="80"/>
      <c r="E8" s="20"/>
    </row>
    <row r="9" spans="1:5" ht="18.75" customHeight="1" thickBot="1">
      <c r="A9" s="16"/>
      <c r="B9" s="85"/>
      <c r="C9" s="153"/>
      <c r="D9" s="78"/>
      <c r="E9" s="20"/>
    </row>
    <row r="10" spans="1:5" ht="18.75" customHeight="1" thickTop="1" thickBot="1">
      <c r="A10" s="25" t="s">
        <v>261</v>
      </c>
      <c r="B10" s="85"/>
      <c r="C10" s="154"/>
      <c r="D10" s="78"/>
      <c r="E10" s="20"/>
    </row>
    <row r="11" spans="1:5" ht="18.75" customHeight="1" thickTop="1" thickBot="1">
      <c r="A11" s="14"/>
      <c r="B11" s="79"/>
      <c r="C11" s="79"/>
      <c r="D11" s="80"/>
      <c r="E11" s="20"/>
    </row>
    <row r="12" spans="1:5" ht="18.75" customHeight="1" thickBot="1">
      <c r="A12" s="14"/>
      <c r="B12" s="79"/>
      <c r="C12" s="79"/>
      <c r="D12" s="80"/>
      <c r="E12" s="20"/>
    </row>
    <row r="13" spans="1:5" ht="18.75" customHeight="1" thickBot="1">
      <c r="A13" s="14"/>
      <c r="B13" s="79"/>
      <c r="C13" s="79"/>
      <c r="D13" s="80"/>
      <c r="E13" s="20"/>
    </row>
    <row r="14" spans="1:5" ht="18.75" customHeight="1" thickBot="1">
      <c r="A14" s="25"/>
      <c r="B14" s="85"/>
      <c r="C14" s="85"/>
      <c r="D14" s="78"/>
      <c r="E14" s="20"/>
    </row>
    <row r="15" spans="1:5" ht="15" thickTop="1">
      <c r="A15" s="20"/>
      <c r="B15" s="20"/>
      <c r="C15" s="20"/>
      <c r="D15" s="20"/>
      <c r="E15" s="20"/>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17"/>
  <sheetViews>
    <sheetView showGridLines="0" zoomScaleNormal="100" workbookViewId="0">
      <selection activeCell="A13" sqref="A13"/>
    </sheetView>
  </sheetViews>
  <sheetFormatPr defaultRowHeight="14.5"/>
  <cols>
    <col min="1" max="1" width="18.54296875" customWidth="1"/>
    <col min="2" max="5" width="17" customWidth="1"/>
  </cols>
  <sheetData>
    <row r="1" spans="1:5">
      <c r="A1" s="1" t="s">
        <v>255</v>
      </c>
    </row>
    <row r="2" spans="1:5">
      <c r="A2" s="20"/>
      <c r="B2" s="20"/>
      <c r="C2" s="20"/>
      <c r="D2" s="20"/>
      <c r="E2" s="20"/>
    </row>
    <row r="3" spans="1:5" ht="15" thickBot="1">
      <c r="A3" s="20" t="s">
        <v>15</v>
      </c>
      <c r="B3" s="20"/>
      <c r="C3" s="20"/>
      <c r="D3" s="20"/>
      <c r="E3" s="20"/>
    </row>
    <row r="4" spans="1:5" ht="28.5" customHeight="1" thickTop="1" thickBot="1">
      <c r="A4" s="1608" t="s">
        <v>131</v>
      </c>
      <c r="B4" s="1587" t="s">
        <v>2</v>
      </c>
      <c r="C4" s="1588"/>
      <c r="D4" s="1587" t="s">
        <v>3</v>
      </c>
      <c r="E4" s="1588"/>
    </row>
    <row r="5" spans="1:5" ht="17.25" customHeight="1" thickTop="1" thickBot="1">
      <c r="A5" s="1609"/>
      <c r="B5" s="1587" t="s">
        <v>262</v>
      </c>
      <c r="C5" s="1588"/>
      <c r="D5" s="1587" t="s">
        <v>262</v>
      </c>
      <c r="E5" s="1588"/>
    </row>
    <row r="6" spans="1:5" ht="22" thickTop="1" thickBot="1">
      <c r="A6" s="1610"/>
      <c r="B6" s="21" t="s">
        <v>263</v>
      </c>
      <c r="C6" s="21" t="s">
        <v>264</v>
      </c>
      <c r="D6" s="21" t="s">
        <v>263</v>
      </c>
      <c r="E6" s="21" t="s">
        <v>264</v>
      </c>
    </row>
    <row r="7" spans="1:5" ht="22" thickTop="1" thickBot="1">
      <c r="A7" s="25" t="s">
        <v>260</v>
      </c>
      <c r="B7" s="58"/>
      <c r="C7" s="58"/>
      <c r="D7" s="60"/>
      <c r="E7" s="60"/>
    </row>
    <row r="8" spans="1:5" ht="18.75" customHeight="1" thickTop="1" thickBot="1">
      <c r="A8" s="14"/>
      <c r="B8" s="79"/>
      <c r="C8" s="79"/>
      <c r="D8" s="80"/>
      <c r="E8" s="80"/>
    </row>
    <row r="9" spans="1:5" ht="18.75" customHeight="1" thickBot="1">
      <c r="A9" s="14"/>
      <c r="B9" s="79"/>
      <c r="C9" s="79"/>
      <c r="D9" s="80"/>
      <c r="E9" s="80"/>
    </row>
    <row r="10" spans="1:5" ht="18.75" customHeight="1" thickBot="1">
      <c r="A10" s="14"/>
      <c r="B10" s="79"/>
      <c r="C10" s="79"/>
      <c r="D10" s="80"/>
      <c r="E10" s="80"/>
    </row>
    <row r="11" spans="1:5" ht="18.75" customHeight="1" thickBot="1">
      <c r="A11" s="16"/>
      <c r="B11" s="85"/>
      <c r="C11" s="153"/>
      <c r="D11" s="78"/>
      <c r="E11" s="78"/>
    </row>
    <row r="12" spans="1:5" ht="22" thickTop="1" thickBot="1">
      <c r="A12" s="25" t="s">
        <v>261</v>
      </c>
      <c r="B12" s="85"/>
      <c r="C12" s="154"/>
      <c r="D12" s="78"/>
      <c r="E12" s="78"/>
    </row>
    <row r="13" spans="1:5" ht="18.75" customHeight="1" thickTop="1" thickBot="1">
      <c r="A13" s="14"/>
      <c r="B13" s="79"/>
      <c r="C13" s="79"/>
      <c r="D13" s="80"/>
      <c r="E13" s="80"/>
    </row>
    <row r="14" spans="1:5" ht="18.75" customHeight="1" thickBot="1">
      <c r="A14" s="14"/>
      <c r="B14" s="79"/>
      <c r="C14" s="79"/>
      <c r="D14" s="80"/>
      <c r="E14" s="80"/>
    </row>
    <row r="15" spans="1:5" ht="18.75" customHeight="1" thickBot="1">
      <c r="A15" s="14"/>
      <c r="B15" s="79"/>
      <c r="C15" s="79"/>
      <c r="D15" s="80"/>
      <c r="E15" s="80"/>
    </row>
    <row r="16" spans="1:5" ht="18.75" customHeight="1" thickBot="1">
      <c r="A16" s="25"/>
      <c r="B16" s="85"/>
      <c r="C16" s="85"/>
      <c r="D16" s="78"/>
      <c r="E16" s="78"/>
    </row>
    <row r="17" spans="1:5" ht="15" thickTop="1">
      <c r="A17" s="20"/>
      <c r="B17" s="20"/>
      <c r="C17" s="20"/>
      <c r="D17" s="20"/>
      <c r="E17" s="20"/>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C9"/>
  <sheetViews>
    <sheetView showGridLines="0" zoomScaleNormal="100" workbookViewId="0">
      <selection activeCell="B2" sqref="B2:C2"/>
    </sheetView>
  </sheetViews>
  <sheetFormatPr defaultRowHeight="14.5"/>
  <cols>
    <col min="1" max="1" width="31.7265625" customWidth="1"/>
    <col min="2" max="3" width="27.26953125" customWidth="1"/>
    <col min="4" max="4" width="21.81640625" customWidth="1"/>
    <col min="5" max="5" width="19.54296875" customWidth="1"/>
  </cols>
  <sheetData>
    <row r="1" spans="1:3" ht="15" thickBot="1">
      <c r="A1" s="1" t="s">
        <v>265</v>
      </c>
    </row>
    <row r="2" spans="1:3" ht="15.5" thickTop="1" thickBot="1">
      <c r="A2" s="1608" t="s">
        <v>266</v>
      </c>
      <c r="B2" s="1587" t="s">
        <v>267</v>
      </c>
      <c r="C2" s="1588"/>
    </row>
    <row r="3" spans="1:3" ht="22" thickTop="1" thickBot="1">
      <c r="A3" s="1610"/>
      <c r="B3" s="70" t="s">
        <v>2</v>
      </c>
      <c r="C3" s="70" t="s">
        <v>3</v>
      </c>
    </row>
    <row r="4" spans="1:3" ht="20.25" customHeight="1" thickTop="1" thickBot="1">
      <c r="A4" s="14" t="s">
        <v>268</v>
      </c>
      <c r="B4" s="79"/>
      <c r="C4" s="80"/>
    </row>
    <row r="5" spans="1:3" ht="20.25" customHeight="1" thickBot="1">
      <c r="A5" s="14" t="s">
        <v>269</v>
      </c>
      <c r="B5" s="79"/>
      <c r="C5" s="80"/>
    </row>
    <row r="6" spans="1:3" ht="20.25" customHeight="1" thickBot="1">
      <c r="A6" s="14" t="s">
        <v>270</v>
      </c>
      <c r="B6" s="79"/>
      <c r="C6" s="80"/>
    </row>
    <row r="7" spans="1:3" ht="20.25" customHeight="1" thickBot="1">
      <c r="A7" s="14" t="s">
        <v>271</v>
      </c>
      <c r="B7" s="79"/>
      <c r="C7" s="80"/>
    </row>
    <row r="8" spans="1:3" ht="20.25" customHeight="1" thickBot="1">
      <c r="A8" s="25" t="s">
        <v>14</v>
      </c>
      <c r="B8" s="85">
        <f>SUM(B4:B7)</f>
        <v>0</v>
      </c>
      <c r="C8" s="78">
        <f>SUM(C4:C7)</f>
        <v>0</v>
      </c>
    </row>
    <row r="9" spans="1:3" ht="15" thickTop="1">
      <c r="A9" s="1"/>
    </row>
  </sheetData>
  <mergeCells count="2">
    <mergeCell ref="B2:C2"/>
    <mergeCell ref="A2:A3"/>
  </mergeCell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O8"/>
  <sheetViews>
    <sheetView showGridLines="0" zoomScaleNormal="100" workbookViewId="0">
      <selection activeCell="H11" sqref="H11"/>
    </sheetView>
  </sheetViews>
  <sheetFormatPr defaultRowHeight="14.5"/>
  <cols>
    <col min="1" max="1" width="18.81640625" customWidth="1"/>
    <col min="2" max="7" width="11.26953125" customWidth="1"/>
    <col min="10" max="10" width="9.1796875" style="335"/>
    <col min="11" max="14" width="9.1796875" style="336"/>
    <col min="15" max="15" width="9.1796875" style="340"/>
  </cols>
  <sheetData>
    <row r="1" spans="1:15" ht="15" thickBot="1">
      <c r="A1" s="1" t="s">
        <v>272</v>
      </c>
      <c r="J1" s="1603" t="s">
        <v>1056</v>
      </c>
      <c r="K1" s="1604"/>
      <c r="L1" s="1604"/>
      <c r="M1" s="1604"/>
      <c r="N1" s="1604"/>
      <c r="O1" s="1605"/>
    </row>
    <row r="2" spans="1:15" ht="24.75" customHeight="1" thickTop="1" thickBot="1">
      <c r="A2" s="1608" t="s">
        <v>1</v>
      </c>
      <c r="B2" s="1594" t="s">
        <v>2</v>
      </c>
      <c r="C2" s="1595"/>
      <c r="D2" s="1596"/>
      <c r="E2" s="1587" t="s">
        <v>3</v>
      </c>
      <c r="F2" s="1593"/>
      <c r="G2" s="1588"/>
      <c r="J2" s="1594" t="s">
        <v>2</v>
      </c>
      <c r="K2" s="1595"/>
      <c r="L2" s="1596"/>
      <c r="M2" s="1587" t="s">
        <v>492</v>
      </c>
      <c r="N2" s="1593"/>
      <c r="O2" s="1588"/>
    </row>
    <row r="3" spans="1:15" ht="16.75" customHeight="1" thickTop="1" thickBot="1">
      <c r="A3" s="1609"/>
      <c r="B3" s="1594" t="s">
        <v>184</v>
      </c>
      <c r="C3" s="1595"/>
      <c r="D3" s="1596"/>
      <c r="E3" s="1594" t="s">
        <v>184</v>
      </c>
      <c r="F3" s="1595"/>
      <c r="G3" s="1596"/>
      <c r="J3" s="1594" t="s">
        <v>184</v>
      </c>
      <c r="K3" s="1595"/>
      <c r="L3" s="1596"/>
      <c r="M3" s="1594" t="s">
        <v>184</v>
      </c>
      <c r="N3" s="1595"/>
      <c r="O3" s="1596"/>
    </row>
    <row r="4" spans="1:15" s="4" customFormat="1" ht="45.25" customHeight="1" thickTop="1" thickBot="1">
      <c r="A4" s="1610"/>
      <c r="B4" s="21" t="s">
        <v>185</v>
      </c>
      <c r="C4" s="21" t="s">
        <v>186</v>
      </c>
      <c r="D4" s="21" t="s">
        <v>187</v>
      </c>
      <c r="E4" s="21" t="s">
        <v>185</v>
      </c>
      <c r="F4" s="21" t="s">
        <v>186</v>
      </c>
      <c r="G4" s="21" t="s">
        <v>187</v>
      </c>
      <c r="J4" s="59" t="s">
        <v>185</v>
      </c>
      <c r="K4" s="21" t="s">
        <v>186</v>
      </c>
      <c r="L4" s="21" t="s">
        <v>187</v>
      </c>
      <c r="M4" s="21" t="s">
        <v>185</v>
      </c>
      <c r="N4" s="21" t="s">
        <v>186</v>
      </c>
      <c r="O4" s="21" t="s">
        <v>187</v>
      </c>
    </row>
    <row r="5" spans="1:15" ht="18.75" customHeight="1" thickTop="1" thickBot="1">
      <c r="A5" s="74" t="s">
        <v>188</v>
      </c>
      <c r="B5" s="144"/>
      <c r="C5" s="144"/>
      <c r="D5" s="144"/>
      <c r="E5" s="144"/>
      <c r="F5" s="144"/>
      <c r="G5" s="77"/>
    </row>
    <row r="6" spans="1:15" ht="18.75" customHeight="1" thickBot="1">
      <c r="A6" s="71" t="s">
        <v>273</v>
      </c>
      <c r="B6" s="79"/>
      <c r="C6" s="79"/>
      <c r="D6" s="79"/>
      <c r="E6" s="79"/>
      <c r="F6" s="79"/>
      <c r="G6" s="80"/>
    </row>
    <row r="7" spans="1:15" ht="18.75" customHeight="1" thickBot="1">
      <c r="A7" s="72" t="s">
        <v>14</v>
      </c>
      <c r="B7" s="85">
        <f>B5+B6</f>
        <v>0</v>
      </c>
      <c r="C7" s="85">
        <f t="shared" ref="C7:G7" si="0">C5+C6</f>
        <v>0</v>
      </c>
      <c r="D7" s="85">
        <f t="shared" si="0"/>
        <v>0</v>
      </c>
      <c r="E7" s="85">
        <f t="shared" si="0"/>
        <v>0</v>
      </c>
      <c r="F7" s="85">
        <f t="shared" si="0"/>
        <v>0</v>
      </c>
      <c r="G7" s="78">
        <f t="shared" si="0"/>
        <v>0</v>
      </c>
      <c r="J7" s="338">
        <f>SUM(B5:B6)-B7</f>
        <v>0</v>
      </c>
      <c r="K7" s="337">
        <f t="shared" ref="K7:O7" si="1">SUM(C5:C6)-C7</f>
        <v>0</v>
      </c>
      <c r="L7" s="337">
        <f t="shared" si="1"/>
        <v>0</v>
      </c>
      <c r="M7" s="337">
        <f t="shared" si="1"/>
        <v>0</v>
      </c>
      <c r="N7" s="337">
        <f t="shared" si="1"/>
        <v>0</v>
      </c>
      <c r="O7" s="341">
        <f t="shared" si="1"/>
        <v>0</v>
      </c>
    </row>
    <row r="8" spans="1:15" ht="15" thickTop="1"/>
  </sheetData>
  <mergeCells count="10">
    <mergeCell ref="B2:D2"/>
    <mergeCell ref="E2:G2"/>
    <mergeCell ref="B3:D3"/>
    <mergeCell ref="E3:G3"/>
    <mergeCell ref="A2:A4"/>
    <mergeCell ref="J1:O1"/>
    <mergeCell ref="J2:L2"/>
    <mergeCell ref="M2:O2"/>
    <mergeCell ref="J3:L3"/>
    <mergeCell ref="M3:O3"/>
  </mergeCells>
  <conditionalFormatting sqref="J5:O7">
    <cfRule type="cellIs" dxfId="90" priority="3" operator="lessThan">
      <formula>0</formula>
    </cfRule>
    <cfRule type="cellIs" dxfId="89" priority="4" operator="greaterThan">
      <formula>0</formula>
    </cfRule>
  </conditionalFormatting>
  <conditionalFormatting sqref="J7:O7">
    <cfRule type="cellIs" dxfId="88" priority="1" operator="lessThan">
      <formula>0</formula>
    </cfRule>
    <cfRule type="cellIs" dxfId="87" priority="2" operator="greaterThan">
      <formula>0</formula>
    </cfRule>
  </conditionalFormatting>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2"/>
  <sheetViews>
    <sheetView showGridLines="0" zoomScaleNormal="100" workbookViewId="0">
      <selection activeCell="B14" sqref="B14"/>
    </sheetView>
  </sheetViews>
  <sheetFormatPr defaultRowHeight="14.5"/>
  <cols>
    <col min="1" max="3" width="28.81640625" customWidth="1"/>
    <col min="4" max="4" width="17.453125" customWidth="1"/>
    <col min="5" max="5" width="19.54296875" customWidth="1"/>
    <col min="6" max="6" width="19.26953125" customWidth="1"/>
    <col min="7" max="7" width="13" customWidth="1"/>
  </cols>
  <sheetData>
    <row r="1" spans="1:3" ht="15" thickBot="1">
      <c r="A1" s="1" t="s">
        <v>338</v>
      </c>
    </row>
    <row r="2" spans="1:3" ht="33" customHeight="1" thickTop="1" thickBot="1">
      <c r="A2" s="84" t="s">
        <v>131</v>
      </c>
      <c r="B2" s="70" t="s">
        <v>2</v>
      </c>
      <c r="C2" s="70" t="s">
        <v>3</v>
      </c>
    </row>
    <row r="3" spans="1:3" ht="18.75" customHeight="1" thickTop="1" thickBot="1">
      <c r="A3" s="155" t="s">
        <v>339</v>
      </c>
      <c r="B3" s="80"/>
      <c r="C3" s="80"/>
    </row>
    <row r="4" spans="1:3" ht="18.75" customHeight="1" thickBot="1">
      <c r="A4" s="156" t="s">
        <v>340</v>
      </c>
      <c r="B4" s="80"/>
      <c r="C4" s="80"/>
    </row>
    <row r="5" spans="1:3" ht="18.75" customHeight="1" thickBot="1">
      <c r="A5" s="71" t="s">
        <v>341</v>
      </c>
      <c r="B5" s="80"/>
      <c r="C5" s="80"/>
    </row>
    <row r="6" spans="1:3" ht="18.75" customHeight="1" thickBot="1">
      <c r="A6" s="155" t="s">
        <v>342</v>
      </c>
      <c r="B6" s="80"/>
      <c r="C6" s="80"/>
    </row>
    <row r="7" spans="1:3" ht="18.75" customHeight="1" thickBot="1">
      <c r="A7" s="157" t="s">
        <v>343</v>
      </c>
      <c r="B7" s="80"/>
      <c r="C7" s="80"/>
    </row>
    <row r="8" spans="1:3" ht="18.75" customHeight="1" thickBot="1">
      <c r="A8" s="129" t="s">
        <v>344</v>
      </c>
      <c r="B8" s="80"/>
      <c r="C8" s="80"/>
    </row>
    <row r="9" spans="1:3" ht="18.75" customHeight="1" thickBot="1">
      <c r="A9" s="156" t="s">
        <v>345</v>
      </c>
      <c r="B9" s="80"/>
      <c r="C9" s="80"/>
    </row>
    <row r="10" spans="1:3" ht="18.75" customHeight="1" thickBot="1">
      <c r="A10" s="155" t="s">
        <v>346</v>
      </c>
      <c r="B10" s="126"/>
      <c r="C10" s="126"/>
    </row>
    <row r="11" spans="1:3" ht="18.75" customHeight="1" thickBot="1">
      <c r="A11" s="158" t="s">
        <v>347</v>
      </c>
      <c r="B11" s="127"/>
      <c r="C11" s="127"/>
    </row>
    <row r="12" spans="1:3" ht="15" thickTop="1">
      <c r="A12" s="1"/>
    </row>
  </sheetData>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0"/>
  <sheetViews>
    <sheetView showGridLines="0" zoomScaleNormal="100" workbookViewId="0">
      <selection activeCell="A5" sqref="A5:A10"/>
    </sheetView>
  </sheetViews>
  <sheetFormatPr defaultRowHeight="14.5"/>
  <cols>
    <col min="1" max="1" width="27.26953125" customWidth="1"/>
    <col min="2" max="3" width="29.54296875" customWidth="1"/>
    <col min="4" max="4" width="17.453125" customWidth="1"/>
    <col min="5" max="5" width="19.54296875" customWidth="1"/>
    <col min="6" max="6" width="19.26953125" customWidth="1"/>
    <col min="7" max="7" width="13" customWidth="1"/>
  </cols>
  <sheetData>
    <row r="1" spans="1:4">
      <c r="A1" s="1" t="s">
        <v>348</v>
      </c>
    </row>
    <row r="2" spans="1:4" ht="15" thickBot="1">
      <c r="A2" s="49" t="s">
        <v>8</v>
      </c>
      <c r="B2" s="20"/>
      <c r="C2" s="20"/>
      <c r="D2" s="20"/>
    </row>
    <row r="3" spans="1:4" ht="15.5" thickTop="1" thickBot="1">
      <c r="A3" s="1608" t="s">
        <v>349</v>
      </c>
      <c r="B3" s="1587" t="s">
        <v>350</v>
      </c>
      <c r="C3" s="1588"/>
      <c r="D3" s="20"/>
    </row>
    <row r="4" spans="1:4" ht="15.5" thickTop="1" thickBot="1">
      <c r="A4" s="1610"/>
      <c r="B4" s="21" t="s">
        <v>351</v>
      </c>
      <c r="C4" s="159" t="s">
        <v>352</v>
      </c>
      <c r="D4" s="20"/>
    </row>
    <row r="5" spans="1:4" ht="20.25" customHeight="1" thickTop="1" thickBot="1">
      <c r="A5" s="14" t="s">
        <v>353</v>
      </c>
      <c r="B5" s="80"/>
      <c r="C5" s="80"/>
      <c r="D5" s="20"/>
    </row>
    <row r="6" spans="1:4" ht="20.25" customHeight="1" thickBot="1">
      <c r="A6" s="14" t="s">
        <v>354</v>
      </c>
      <c r="B6" s="80"/>
      <c r="C6" s="80"/>
      <c r="D6" s="20"/>
    </row>
    <row r="7" spans="1:4" ht="20.25" customHeight="1" thickBot="1">
      <c r="A7" s="14" t="s">
        <v>355</v>
      </c>
      <c r="B7" s="80"/>
      <c r="C7" s="80"/>
      <c r="D7" s="20"/>
    </row>
    <row r="8" spans="1:4" ht="20.25" customHeight="1" thickBot="1">
      <c r="A8" s="14" t="s">
        <v>356</v>
      </c>
      <c r="B8" s="80"/>
      <c r="C8" s="80"/>
      <c r="D8" s="20"/>
    </row>
    <row r="9" spans="1:4" ht="20.25" customHeight="1" thickBot="1">
      <c r="A9" s="14" t="s">
        <v>357</v>
      </c>
      <c r="B9" s="80"/>
      <c r="C9" s="80"/>
      <c r="D9" s="20"/>
    </row>
    <row r="10" spans="1:4" ht="20.25" customHeight="1" thickBot="1">
      <c r="A10" s="16" t="s">
        <v>358</v>
      </c>
      <c r="B10" s="78"/>
      <c r="C10" s="78"/>
      <c r="D10" s="20"/>
    </row>
    <row r="11" spans="1:4" ht="15.5" thickTop="1" thickBot="1">
      <c r="A11" s="160" t="s">
        <v>15</v>
      </c>
      <c r="B11" s="20"/>
      <c r="C11" s="20"/>
      <c r="D11" s="20"/>
    </row>
    <row r="12" spans="1:4" ht="15.5" thickTop="1" thickBot="1">
      <c r="A12" s="1585" t="s">
        <v>349</v>
      </c>
      <c r="B12" s="1587" t="s">
        <v>359</v>
      </c>
      <c r="C12" s="1588"/>
      <c r="D12" s="20"/>
    </row>
    <row r="13" spans="1:4" ht="15.5" thickTop="1" thickBot="1">
      <c r="A13" s="1586"/>
      <c r="B13" s="21" t="s">
        <v>351</v>
      </c>
      <c r="C13" s="159" t="s">
        <v>352</v>
      </c>
      <c r="D13" s="20"/>
    </row>
    <row r="14" spans="1:4" ht="20.25" customHeight="1" thickTop="1" thickBot="1">
      <c r="A14" s="14" t="s">
        <v>353</v>
      </c>
      <c r="B14" s="80"/>
      <c r="C14" s="80"/>
      <c r="D14" s="20"/>
    </row>
    <row r="15" spans="1:4" ht="20.25" customHeight="1" thickBot="1">
      <c r="A15" s="14" t="s">
        <v>354</v>
      </c>
      <c r="B15" s="80"/>
      <c r="C15" s="80"/>
      <c r="D15" s="20"/>
    </row>
    <row r="16" spans="1:4" ht="20.25" customHeight="1" thickBot="1">
      <c r="A16" s="14" t="s">
        <v>355</v>
      </c>
      <c r="B16" s="80"/>
      <c r="C16" s="80"/>
      <c r="D16" s="20"/>
    </row>
    <row r="17" spans="1:4" ht="20.25" customHeight="1" thickBot="1">
      <c r="A17" s="14" t="s">
        <v>356</v>
      </c>
      <c r="B17" s="80"/>
      <c r="C17" s="80"/>
      <c r="D17" s="20"/>
    </row>
    <row r="18" spans="1:4" ht="20.25" customHeight="1" thickBot="1">
      <c r="A18" s="14" t="s">
        <v>357</v>
      </c>
      <c r="B18" s="80"/>
      <c r="C18" s="80"/>
      <c r="D18" s="20"/>
    </row>
    <row r="19" spans="1:4" ht="20.25" customHeight="1" thickBot="1">
      <c r="A19" s="142" t="s">
        <v>358</v>
      </c>
      <c r="B19" s="78"/>
      <c r="C19" s="78"/>
      <c r="D19" s="20"/>
    </row>
    <row r="20" spans="1:4" ht="15" thickTop="1">
      <c r="A20" s="20"/>
      <c r="B20" s="20"/>
      <c r="C20" s="20"/>
      <c r="D20" s="20"/>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1"/>
  <sheetViews>
    <sheetView showGridLines="0" zoomScaleNormal="100" workbookViewId="0">
      <selection activeCell="A2" sqref="A2:A10"/>
    </sheetView>
  </sheetViews>
  <sheetFormatPr defaultRowHeight="14.5"/>
  <cols>
    <col min="1" max="1" width="27.26953125" customWidth="1"/>
    <col min="2" max="3" width="29.54296875" customWidth="1"/>
    <col min="4" max="4" width="17.453125" customWidth="1"/>
    <col min="5" max="5" width="19.54296875" customWidth="1"/>
    <col min="6" max="6" width="19.26953125" customWidth="1"/>
    <col min="7" max="7" width="13" customWidth="1"/>
  </cols>
  <sheetData>
    <row r="1" spans="1:3" ht="15" thickBot="1">
      <c r="A1" s="1" t="s">
        <v>360</v>
      </c>
    </row>
    <row r="2" spans="1:3" ht="22" thickTop="1" thickBot="1">
      <c r="A2" s="84" t="s">
        <v>361</v>
      </c>
      <c r="B2" s="70" t="s">
        <v>362</v>
      </c>
      <c r="C2" s="70" t="s">
        <v>363</v>
      </c>
    </row>
    <row r="3" spans="1:3" ht="20.25" customHeight="1" thickTop="1" thickBot="1">
      <c r="A3" s="122" t="s">
        <v>364</v>
      </c>
      <c r="B3" s="80"/>
      <c r="C3" s="80"/>
    </row>
    <row r="4" spans="1:3" ht="20.25" customHeight="1" thickBot="1">
      <c r="A4" s="129" t="s">
        <v>365</v>
      </c>
      <c r="B4" s="80"/>
      <c r="C4" s="80"/>
    </row>
    <row r="5" spans="1:3" ht="20.25" customHeight="1" thickBot="1">
      <c r="A5" s="129" t="s">
        <v>366</v>
      </c>
      <c r="B5" s="80"/>
      <c r="C5" s="80"/>
    </row>
    <row r="6" spans="1:3" ht="20.25" customHeight="1" thickBot="1">
      <c r="A6" s="129" t="s">
        <v>367</v>
      </c>
      <c r="B6" s="80"/>
      <c r="C6" s="80"/>
    </row>
    <row r="7" spans="1:3" ht="21" customHeight="1" thickBot="1">
      <c r="A7" s="129" t="s">
        <v>493</v>
      </c>
      <c r="B7" s="80"/>
      <c r="C7" s="80"/>
    </row>
    <row r="8" spans="1:3" ht="20.25" customHeight="1" thickBot="1">
      <c r="A8" s="119" t="s">
        <v>368</v>
      </c>
      <c r="B8" s="80"/>
      <c r="C8" s="80"/>
    </row>
    <row r="9" spans="1:3" ht="20.25" customHeight="1" thickBot="1">
      <c r="A9" s="122" t="s">
        <v>369</v>
      </c>
      <c r="B9" s="80"/>
      <c r="C9" s="126"/>
    </row>
    <row r="10" spans="1:3" ht="20.25" customHeight="1" thickBot="1">
      <c r="A10" s="130" t="s">
        <v>370</v>
      </c>
      <c r="B10" s="78"/>
      <c r="C10" s="127"/>
    </row>
    <row r="11" spans="1:3" ht="15" thickTop="1"/>
  </sheetData>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9"/>
  <sheetViews>
    <sheetView showGridLines="0" zoomScaleNormal="100" workbookViewId="0">
      <selection activeCell="D14" sqref="D14"/>
    </sheetView>
  </sheetViews>
  <sheetFormatPr defaultRowHeight="14.5"/>
  <cols>
    <col min="1" max="1" width="16.7265625" customWidth="1"/>
    <col min="2" max="7" width="11.54296875" customWidth="1"/>
  </cols>
  <sheetData>
    <row r="1" spans="1:7" ht="15" thickBot="1">
      <c r="A1" s="1" t="s">
        <v>274</v>
      </c>
    </row>
    <row r="2" spans="1:7" ht="44.25" customHeight="1" thickTop="1" thickBot="1">
      <c r="A2" s="1608" t="s">
        <v>275</v>
      </c>
      <c r="B2" s="1587" t="s">
        <v>276</v>
      </c>
      <c r="C2" s="1588"/>
      <c r="D2" s="1587" t="s">
        <v>277</v>
      </c>
      <c r="E2" s="1588"/>
      <c r="F2" s="1587" t="s">
        <v>278</v>
      </c>
      <c r="G2" s="1588"/>
    </row>
    <row r="3" spans="1:7" s="336" customFormat="1" ht="43" thickTop="1" thickBot="1">
      <c r="A3" s="1610"/>
      <c r="B3" s="59" t="s">
        <v>2</v>
      </c>
      <c r="C3" s="177" t="s">
        <v>484</v>
      </c>
      <c r="D3" s="177" t="s">
        <v>2</v>
      </c>
      <c r="E3" s="177" t="s">
        <v>484</v>
      </c>
      <c r="F3" s="177" t="s">
        <v>2</v>
      </c>
      <c r="G3" s="177" t="s">
        <v>484</v>
      </c>
    </row>
    <row r="4" spans="1:7" ht="18.75" customHeight="1" thickTop="1" thickBot="1">
      <c r="A4" s="108"/>
      <c r="B4" s="80"/>
      <c r="C4" s="80"/>
      <c r="D4" s="80"/>
      <c r="E4" s="80"/>
      <c r="F4" s="80"/>
      <c r="G4" s="80"/>
    </row>
    <row r="5" spans="1:7" ht="18.75" customHeight="1" thickBot="1">
      <c r="A5" s="108"/>
      <c r="B5" s="80"/>
      <c r="C5" s="80"/>
      <c r="D5" s="80"/>
      <c r="E5" s="80"/>
      <c r="F5" s="80"/>
      <c r="G5" s="80"/>
    </row>
    <row r="6" spans="1:7" ht="18.75" customHeight="1" thickBot="1">
      <c r="A6" s="108"/>
      <c r="B6" s="80"/>
      <c r="C6" s="80"/>
      <c r="D6" s="80"/>
      <c r="E6" s="80"/>
      <c r="F6" s="80"/>
      <c r="G6" s="80"/>
    </row>
    <row r="7" spans="1:7" ht="18.75" customHeight="1" thickBot="1">
      <c r="A7" s="108"/>
      <c r="B7" s="80"/>
      <c r="C7" s="80"/>
      <c r="D7" s="80"/>
      <c r="E7" s="80"/>
      <c r="F7" s="80"/>
      <c r="G7" s="80"/>
    </row>
    <row r="8" spans="1:7" ht="18.75" customHeight="1" thickBot="1">
      <c r="A8" s="72" t="s">
        <v>14</v>
      </c>
      <c r="B8" s="78">
        <f t="shared" ref="B8:G8" si="0">SUM(B4:B7)</f>
        <v>0</v>
      </c>
      <c r="C8" s="78">
        <f t="shared" si="0"/>
        <v>0</v>
      </c>
      <c r="D8" s="78">
        <f t="shared" si="0"/>
        <v>0</v>
      </c>
      <c r="E8" s="78">
        <f t="shared" si="0"/>
        <v>0</v>
      </c>
      <c r="F8" s="78">
        <f t="shared" si="0"/>
        <v>0</v>
      </c>
      <c r="G8" s="78">
        <f t="shared" si="0"/>
        <v>0</v>
      </c>
    </row>
    <row r="9" spans="1:7" ht="15" thickTop="1"/>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R13"/>
  <sheetViews>
    <sheetView showGridLines="0" zoomScaleNormal="100" workbookViewId="0">
      <selection activeCell="N4" sqref="N4:R12"/>
    </sheetView>
  </sheetViews>
  <sheetFormatPr defaultRowHeight="14.5"/>
  <cols>
    <col min="1" max="1" width="24.54296875" customWidth="1"/>
    <col min="2" max="6" width="12.26953125" customWidth="1"/>
    <col min="7" max="7" width="13" customWidth="1"/>
    <col min="8" max="8" width="15.7265625" style="335" customWidth="1"/>
    <col min="9" max="10" width="15.7265625" style="336" customWidth="1"/>
    <col min="11" max="11" width="14.81640625" style="336" customWidth="1"/>
    <col min="12" max="12" width="14.81640625" style="340" customWidth="1"/>
    <col min="13" max="13" width="6.54296875" customWidth="1"/>
    <col min="14" max="14" width="15.54296875" style="335" customWidth="1"/>
    <col min="15" max="17" width="15.54296875" style="336" customWidth="1"/>
    <col min="18" max="18" width="15.54296875" style="340" customWidth="1"/>
    <col min="19" max="19" width="19.81640625" customWidth="1"/>
  </cols>
  <sheetData>
    <row r="1" spans="1:18" ht="15" thickBot="1">
      <c r="A1" s="1" t="s">
        <v>279</v>
      </c>
      <c r="H1" s="1603" t="s">
        <v>1056</v>
      </c>
      <c r="I1" s="1604"/>
      <c r="J1" s="1604"/>
      <c r="K1" s="1604"/>
      <c r="L1" s="1605"/>
      <c r="N1" s="1603" t="s">
        <v>1058</v>
      </c>
      <c r="O1" s="1604"/>
      <c r="P1" s="1604"/>
      <c r="Q1" s="1604"/>
      <c r="R1" s="1605"/>
    </row>
    <row r="2" spans="1:18" ht="33" customHeight="1" thickTop="1" thickBot="1">
      <c r="A2" s="1608" t="s">
        <v>131</v>
      </c>
      <c r="B2" s="38" t="s">
        <v>2</v>
      </c>
      <c r="C2" s="1587" t="s">
        <v>3</v>
      </c>
      <c r="D2" s="1588"/>
      <c r="E2" s="1587" t="s">
        <v>280</v>
      </c>
      <c r="F2" s="1588"/>
      <c r="H2" s="59" t="s">
        <v>2</v>
      </c>
      <c r="I2" s="1587" t="s">
        <v>3</v>
      </c>
      <c r="J2" s="1588"/>
      <c r="K2" s="1587" t="s">
        <v>280</v>
      </c>
      <c r="L2" s="1588"/>
      <c r="N2" s="59" t="s">
        <v>2</v>
      </c>
      <c r="O2" s="1587" t="s">
        <v>3</v>
      </c>
      <c r="P2" s="1588"/>
      <c r="Q2" s="1587" t="s">
        <v>280</v>
      </c>
      <c r="R2" s="1588"/>
    </row>
    <row r="3" spans="1:18" ht="45.25" customHeight="1" thickTop="1" thickBot="1">
      <c r="A3" s="1610"/>
      <c r="B3" s="21" t="s">
        <v>281</v>
      </c>
      <c r="C3" s="21" t="s">
        <v>281</v>
      </c>
      <c r="D3" s="21" t="s">
        <v>282</v>
      </c>
      <c r="E3" s="21" t="s">
        <v>2</v>
      </c>
      <c r="F3" s="21" t="s">
        <v>486</v>
      </c>
      <c r="H3" s="175" t="s">
        <v>281</v>
      </c>
      <c r="I3" s="21" t="s">
        <v>281</v>
      </c>
      <c r="J3" s="21" t="s">
        <v>282</v>
      </c>
      <c r="K3" s="21" t="s">
        <v>2</v>
      </c>
      <c r="L3" s="21" t="s">
        <v>486</v>
      </c>
      <c r="N3" s="175" t="s">
        <v>281</v>
      </c>
      <c r="O3" s="21" t="s">
        <v>281</v>
      </c>
      <c r="P3" s="21" t="s">
        <v>282</v>
      </c>
      <c r="Q3" s="21" t="s">
        <v>2</v>
      </c>
      <c r="R3" s="21" t="s">
        <v>486</v>
      </c>
    </row>
    <row r="4" spans="1:18" ht="19.5" customHeight="1" thickTop="1" thickBot="1">
      <c r="A4" s="122" t="s">
        <v>485</v>
      </c>
      <c r="B4" s="161"/>
      <c r="C4" s="162"/>
      <c r="D4" s="163"/>
      <c r="E4" s="164"/>
      <c r="F4" s="164"/>
      <c r="K4" s="337">
        <f>B4-C4-E4</f>
        <v>0</v>
      </c>
      <c r="L4" s="341">
        <f>C4-D4-F4</f>
        <v>0</v>
      </c>
      <c r="N4" s="338">
        <f>B4-'BS old'!$D$42</f>
        <v>0</v>
      </c>
      <c r="O4" s="337">
        <f>C4-'BS old'!$G$42</f>
        <v>0</v>
      </c>
    </row>
    <row r="5" spans="1:18" ht="19.5" customHeight="1" thickBot="1">
      <c r="A5" s="119" t="s">
        <v>91</v>
      </c>
      <c r="B5" s="165"/>
      <c r="C5" s="165"/>
      <c r="D5" s="166"/>
      <c r="E5" s="121"/>
      <c r="F5" s="121"/>
      <c r="K5" s="337">
        <f>B5-C5-E5</f>
        <v>0</v>
      </c>
      <c r="L5" s="341">
        <f t="shared" ref="L5:L7" si="0">C5-D5-F5</f>
        <v>0</v>
      </c>
      <c r="N5" s="338">
        <f>B5-'BS old'!$D$43</f>
        <v>0</v>
      </c>
      <c r="O5" s="337">
        <f>C5-'BS old'!$G$43</f>
        <v>0</v>
      </c>
    </row>
    <row r="6" spans="1:18" ht="19.5" customHeight="1" thickBot="1">
      <c r="A6" s="14" t="s">
        <v>283</v>
      </c>
      <c r="B6" s="93"/>
      <c r="C6" s="93"/>
      <c r="D6" s="94"/>
      <c r="E6" s="80"/>
      <c r="F6" s="80"/>
      <c r="K6" s="337">
        <f>B6-C6-E6</f>
        <v>0</v>
      </c>
      <c r="L6" s="341">
        <f t="shared" si="0"/>
        <v>0</v>
      </c>
      <c r="N6" s="338">
        <f>B6-'BS old'!$D$44</f>
        <v>0</v>
      </c>
      <c r="O6" s="337">
        <f>C6-'BS old'!$G$44</f>
        <v>0</v>
      </c>
    </row>
    <row r="7" spans="1:18" ht="19.5" customHeight="1" thickBot="1">
      <c r="A7" s="14" t="s">
        <v>14</v>
      </c>
      <c r="B7" s="79">
        <f>SUM(B4:B6)</f>
        <v>0</v>
      </c>
      <c r="C7" s="93">
        <f t="shared" ref="C7:F7" si="1">SUM(C4:C6)</f>
        <v>0</v>
      </c>
      <c r="D7" s="94">
        <f t="shared" si="1"/>
        <v>0</v>
      </c>
      <c r="E7" s="80">
        <f t="shared" si="1"/>
        <v>0</v>
      </c>
      <c r="F7" s="80">
        <f t="shared" si="1"/>
        <v>0</v>
      </c>
      <c r="H7" s="338">
        <f>SUM(B4:B6)-B7</f>
        <v>0</v>
      </c>
      <c r="I7" s="337">
        <f t="shared" ref="I7:J7" si="2">SUM(C4:C6)-C7</f>
        <v>0</v>
      </c>
      <c r="J7" s="337">
        <f t="shared" si="2"/>
        <v>0</v>
      </c>
      <c r="K7" s="337">
        <f>B7-C7-E7</f>
        <v>0</v>
      </c>
      <c r="L7" s="341">
        <f t="shared" si="0"/>
        <v>0</v>
      </c>
    </row>
    <row r="8" spans="1:18" ht="19.5" customHeight="1" thickBot="1">
      <c r="A8" s="14" t="s">
        <v>284</v>
      </c>
      <c r="B8" s="110" t="s">
        <v>18</v>
      </c>
      <c r="C8" s="110" t="s">
        <v>18</v>
      </c>
      <c r="D8" s="123" t="s">
        <v>18</v>
      </c>
      <c r="E8" s="80"/>
      <c r="F8" s="80"/>
    </row>
    <row r="9" spans="1:18" ht="19.5" customHeight="1" thickBot="1">
      <c r="A9" s="14" t="s">
        <v>285</v>
      </c>
      <c r="B9" s="110" t="s">
        <v>18</v>
      </c>
      <c r="C9" s="110" t="s">
        <v>18</v>
      </c>
      <c r="D9" s="123" t="s">
        <v>18</v>
      </c>
      <c r="E9" s="80"/>
      <c r="F9" s="80"/>
    </row>
    <row r="10" spans="1:18" ht="19.5" customHeight="1" thickBot="1">
      <c r="A10" s="14" t="s">
        <v>286</v>
      </c>
      <c r="B10" s="110" t="s">
        <v>18</v>
      </c>
      <c r="C10" s="110" t="s">
        <v>18</v>
      </c>
      <c r="D10" s="123" t="s">
        <v>18</v>
      </c>
      <c r="E10" s="80"/>
      <c r="F10" s="80"/>
    </row>
    <row r="11" spans="1:18" ht="19.5" customHeight="1" thickBot="1">
      <c r="A11" s="16" t="s">
        <v>287</v>
      </c>
      <c r="B11" s="112" t="s">
        <v>18</v>
      </c>
      <c r="C11" s="112" t="s">
        <v>18</v>
      </c>
      <c r="D11" s="124" t="s">
        <v>18</v>
      </c>
      <c r="E11" s="78"/>
      <c r="F11" s="78"/>
    </row>
    <row r="12" spans="1:18" ht="19.5" customHeight="1" thickTop="1" thickBot="1">
      <c r="A12" s="25" t="s">
        <v>288</v>
      </c>
      <c r="B12" s="112" t="s">
        <v>18</v>
      </c>
      <c r="C12" s="112" t="s">
        <v>18</v>
      </c>
      <c r="D12" s="124" t="s">
        <v>18</v>
      </c>
      <c r="E12" s="78"/>
      <c r="F12" s="78"/>
      <c r="K12" s="337">
        <f>SUM(E7:E11)-E12</f>
        <v>0</v>
      </c>
      <c r="L12" s="341">
        <f>SUM(F7:F11)-F12</f>
        <v>0</v>
      </c>
      <c r="Q12" s="337">
        <f>E12-'P&amp;L old'!$D$14</f>
        <v>0</v>
      </c>
      <c r="R12" s="341">
        <f>F12-'P&amp;L old'!$E$14</f>
        <v>0</v>
      </c>
    </row>
    <row r="13" spans="1:18" ht="15" thickTop="1"/>
  </sheetData>
  <mergeCells count="9">
    <mergeCell ref="A2:A3"/>
    <mergeCell ref="C2:D2"/>
    <mergeCell ref="E2:F2"/>
    <mergeCell ref="Q2:R2"/>
    <mergeCell ref="N1:R1"/>
    <mergeCell ref="K2:L2"/>
    <mergeCell ref="I2:J2"/>
    <mergeCell ref="H1:L1"/>
    <mergeCell ref="O2:P2"/>
  </mergeCells>
  <conditionalFormatting sqref="H4:L12">
    <cfRule type="cellIs" dxfId="86" priority="4" operator="lessThan">
      <formula>0</formula>
    </cfRule>
    <cfRule type="cellIs" dxfId="85" priority="5" operator="greaterThan">
      <formula>0</formula>
    </cfRule>
  </conditionalFormatting>
  <conditionalFormatting sqref="N1">
    <cfRule type="cellIs" priority="3" stopIfTrue="1" operator="greaterThan">
      <formula>0</formula>
    </cfRule>
  </conditionalFormatting>
  <conditionalFormatting sqref="N4:R12">
    <cfRule type="cellIs" dxfId="84" priority="1" operator="lessThan">
      <formula>0</formula>
    </cfRule>
    <cfRule type="cellIs" dxfId="83"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20"/>
  <sheetViews>
    <sheetView showGridLines="0" topLeftCell="A2" zoomScaleNormal="100" workbookViewId="0">
      <selection activeCell="E2" sqref="E2:F19"/>
    </sheetView>
  </sheetViews>
  <sheetFormatPr defaultRowHeight="14.5"/>
  <cols>
    <col min="1" max="1" width="27.81640625" customWidth="1"/>
    <col min="2" max="3" width="29.453125" customWidth="1"/>
    <col min="4" max="4" width="17.453125" customWidth="1"/>
    <col min="5" max="5" width="26.54296875" style="335" customWidth="1"/>
    <col min="6" max="6" width="30.26953125" style="340" customWidth="1"/>
  </cols>
  <sheetData>
    <row r="1" spans="1:6" ht="85" thickBot="1">
      <c r="A1" s="377" t="s">
        <v>289</v>
      </c>
      <c r="E1" s="1603" t="s">
        <v>1058</v>
      </c>
      <c r="F1" s="1605"/>
    </row>
    <row r="2" spans="1:6" ht="21" customHeight="1" thickTop="1" thickBot="1">
      <c r="A2" s="59" t="s">
        <v>131</v>
      </c>
      <c r="B2" s="655" t="s">
        <v>2</v>
      </c>
      <c r="C2" s="655" t="s">
        <v>3</v>
      </c>
      <c r="E2" s="346" t="s">
        <v>2</v>
      </c>
      <c r="F2" s="347" t="s">
        <v>3</v>
      </c>
    </row>
    <row r="3" spans="1:6" ht="18.75" customHeight="1" thickTop="1" thickBot="1">
      <c r="A3" s="44" t="s">
        <v>487</v>
      </c>
      <c r="B3" s="80"/>
      <c r="C3" s="80"/>
      <c r="E3" s="378"/>
      <c r="F3" s="379"/>
    </row>
    <row r="4" spans="1:6" ht="18.75" customHeight="1" thickBot="1">
      <c r="A4" s="14"/>
      <c r="B4" s="80"/>
      <c r="C4" s="80"/>
      <c r="E4" s="378"/>
      <c r="F4" s="379"/>
    </row>
    <row r="5" spans="1:6" ht="18.75" customHeight="1" thickBot="1">
      <c r="A5" s="14"/>
      <c r="B5" s="80"/>
      <c r="C5" s="80"/>
      <c r="E5" s="378"/>
      <c r="F5" s="379"/>
    </row>
    <row r="6" spans="1:6" ht="18.75" customHeight="1" thickBot="1">
      <c r="A6" s="44" t="s">
        <v>290</v>
      </c>
      <c r="B6" s="80"/>
      <c r="C6" s="80"/>
      <c r="E6" s="378"/>
      <c r="F6" s="379"/>
    </row>
    <row r="7" spans="1:6" ht="18.75" customHeight="1" thickBot="1">
      <c r="A7" s="14"/>
      <c r="B7" s="80"/>
      <c r="C7" s="80"/>
      <c r="E7" s="378"/>
      <c r="F7" s="379"/>
    </row>
    <row r="8" spans="1:6" ht="18.75" customHeight="1" thickBot="1">
      <c r="A8" s="14"/>
      <c r="B8" s="80"/>
      <c r="C8" s="80"/>
      <c r="E8" s="378"/>
      <c r="F8" s="379"/>
    </row>
    <row r="9" spans="1:6" ht="18.75" customHeight="1" thickBot="1">
      <c r="A9" s="14"/>
      <c r="B9" s="80"/>
      <c r="C9" s="80"/>
      <c r="E9" s="378"/>
      <c r="F9" s="379"/>
    </row>
    <row r="10" spans="1:6" ht="18.75" customHeight="1" thickBot="1">
      <c r="A10" s="44" t="s">
        <v>291</v>
      </c>
      <c r="B10" s="80"/>
      <c r="C10" s="80"/>
      <c r="E10" s="338">
        <f>B10-SUM('P&amp;L old'!$D$35,'P&amp;L old'!$D$37,'P&amp;L old'!$D$41,'P&amp;L old'!$D$43,'P&amp;L old'!$D$46,'P&amp;L old'!$D$48,'P&amp;L old'!$D$50,'P&amp;L old'!$D$52)</f>
        <v>0</v>
      </c>
      <c r="F10" s="341">
        <f>C10-SUM('P&amp;L old'!$E$35,'P&amp;L old'!$E$37,'P&amp;L old'!$E$41,'P&amp;L old'!$E$43,'P&amp;L old'!$E$46,'P&amp;L old'!$E$48,'P&amp;L old'!$E$50,'P&amp;L old'!$E$52)</f>
        <v>0</v>
      </c>
    </row>
    <row r="11" spans="1:6" ht="18.75" customHeight="1" thickBot="1">
      <c r="A11" s="128" t="s">
        <v>292</v>
      </c>
      <c r="B11" s="125"/>
      <c r="C11" s="125"/>
      <c r="E11" s="338">
        <f>B11-'P&amp;L old'!$D$48</f>
        <v>0</v>
      </c>
      <c r="F11" s="341">
        <f>C11-'P&amp;L old'!$E$48</f>
        <v>0</v>
      </c>
    </row>
    <row r="12" spans="1:6" ht="18.75" customHeight="1" thickBot="1">
      <c r="A12" s="14" t="s">
        <v>293</v>
      </c>
      <c r="B12" s="80"/>
      <c r="C12" s="80"/>
    </row>
    <row r="13" spans="1:6" ht="18.75" customHeight="1" thickBot="1">
      <c r="A13" s="128" t="s">
        <v>294</v>
      </c>
      <c r="B13" s="125"/>
      <c r="C13" s="125"/>
    </row>
    <row r="14" spans="1:6" ht="18.75" customHeight="1" thickBot="1">
      <c r="A14" s="14"/>
      <c r="B14" s="80"/>
      <c r="C14" s="80"/>
    </row>
    <row r="15" spans="1:6" ht="18.75" customHeight="1" thickBot="1">
      <c r="A15" s="14"/>
      <c r="B15" s="80"/>
      <c r="C15" s="80"/>
    </row>
    <row r="16" spans="1:6" ht="18.75" customHeight="1" thickBot="1">
      <c r="A16" s="14"/>
      <c r="B16" s="80"/>
      <c r="C16" s="80"/>
    </row>
    <row r="17" spans="1:6" ht="18.75" customHeight="1" thickBot="1">
      <c r="A17" s="44" t="s">
        <v>295</v>
      </c>
      <c r="B17" s="80"/>
      <c r="C17" s="80"/>
      <c r="E17" s="338">
        <f>B17-'P&amp;L old'!$D$60</f>
        <v>0</v>
      </c>
      <c r="F17" s="341">
        <f>C17-'P&amp;L old'!$E$60</f>
        <v>0</v>
      </c>
    </row>
    <row r="18" spans="1:6" ht="18.75" customHeight="1" thickBot="1">
      <c r="A18" s="122"/>
      <c r="B18" s="126"/>
      <c r="C18" s="126"/>
    </row>
    <row r="19" spans="1:6" ht="18.75" customHeight="1" thickBot="1">
      <c r="A19" s="101"/>
      <c r="B19" s="127"/>
      <c r="C19" s="127"/>
    </row>
    <row r="20" spans="1:6" ht="15" thickTop="1">
      <c r="A20" s="99"/>
      <c r="B20" s="20"/>
      <c r="C20" s="20"/>
    </row>
  </sheetData>
  <mergeCells count="1">
    <mergeCell ref="E1:F1"/>
  </mergeCells>
  <conditionalFormatting sqref="E1">
    <cfRule type="cellIs" priority="3" stopIfTrue="1" operator="greaterThan">
      <formula>0</formula>
    </cfRule>
  </conditionalFormatting>
  <conditionalFormatting sqref="E10:F17">
    <cfRule type="cellIs" dxfId="82" priority="1" operator="lessThan">
      <formula>0</formula>
    </cfRule>
    <cfRule type="cellIs" dxfId="81" priority="2" operator="greaterThan">
      <formula>0</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0"/>
  <sheetViews>
    <sheetView showGridLines="0" zoomScaleNormal="100" workbookViewId="0">
      <selection activeCell="B15" sqref="B15"/>
    </sheetView>
  </sheetViews>
  <sheetFormatPr defaultRowHeight="14.5"/>
  <cols>
    <col min="1" max="1" width="24.81640625" customWidth="1"/>
    <col min="2" max="2" width="10.453125" customWidth="1"/>
    <col min="3" max="4" width="13.453125" customWidth="1"/>
    <col min="5" max="6" width="11.81640625" customWidth="1"/>
  </cols>
  <sheetData>
    <row r="1" spans="1:7" s="39" customFormat="1">
      <c r="A1" s="1" t="s">
        <v>7</v>
      </c>
    </row>
    <row r="2" spans="1:7">
      <c r="A2" s="20"/>
      <c r="B2" s="20"/>
      <c r="C2" s="20"/>
      <c r="D2" s="20"/>
      <c r="E2" s="20"/>
      <c r="F2" s="20"/>
      <c r="G2" s="20"/>
    </row>
    <row r="3" spans="1:7" ht="15" thickBot="1">
      <c r="A3" s="20" t="s">
        <v>15</v>
      </c>
      <c r="B3" s="20"/>
      <c r="C3" s="20"/>
      <c r="D3" s="20"/>
      <c r="E3" s="20"/>
      <c r="F3" s="20"/>
      <c r="G3" s="20"/>
    </row>
    <row r="4" spans="1:7" ht="44.25" customHeight="1" thickTop="1" thickBot="1">
      <c r="A4" s="1587" t="s">
        <v>16</v>
      </c>
      <c r="B4" s="1588"/>
      <c r="C4" s="1587" t="s">
        <v>10</v>
      </c>
      <c r="D4" s="1588"/>
      <c r="E4" s="1585" t="s">
        <v>11</v>
      </c>
      <c r="F4" s="1585" t="s">
        <v>454</v>
      </c>
      <c r="G4" s="20"/>
    </row>
    <row r="5" spans="1:7" ht="27.25" customHeight="1" thickTop="1" thickBot="1">
      <c r="A5" s="389" t="s">
        <v>9</v>
      </c>
      <c r="B5" s="21" t="s">
        <v>17</v>
      </c>
      <c r="C5" s="21" t="s">
        <v>13</v>
      </c>
      <c r="D5" s="21" t="s">
        <v>12</v>
      </c>
      <c r="E5" s="1586"/>
      <c r="F5" s="1586"/>
      <c r="G5" s="20"/>
    </row>
    <row r="6" spans="1:7" ht="15.5" thickTop="1" thickBot="1">
      <c r="A6" s="14"/>
      <c r="B6" s="31"/>
      <c r="C6" s="22"/>
      <c r="D6" s="32"/>
      <c r="E6" s="32"/>
      <c r="F6" s="33"/>
      <c r="G6" s="20"/>
    </row>
    <row r="7" spans="1:7" ht="15" thickBot="1">
      <c r="A7" s="14"/>
      <c r="B7" s="31"/>
      <c r="C7" s="22"/>
      <c r="D7" s="32"/>
      <c r="E7" s="32"/>
      <c r="F7" s="33"/>
      <c r="G7" s="20"/>
    </row>
    <row r="8" spans="1:7" ht="15" thickBot="1">
      <c r="A8" s="14"/>
      <c r="B8" s="31"/>
      <c r="C8" s="22"/>
      <c r="D8" s="32"/>
      <c r="E8" s="32"/>
      <c r="F8" s="33"/>
      <c r="G8" s="20"/>
    </row>
    <row r="9" spans="1:7" ht="15" thickBot="1">
      <c r="A9" s="25" t="s">
        <v>14</v>
      </c>
      <c r="B9" s="34" t="s">
        <v>18</v>
      </c>
      <c r="C9" s="26">
        <f>SUM(C6:C8)</f>
        <v>0</v>
      </c>
      <c r="D9" s="35">
        <f>SUM(D6:D8)</f>
        <v>0</v>
      </c>
      <c r="E9" s="35">
        <f t="shared" ref="E9:F9" si="0">SUM(E6:E8)</f>
        <v>0</v>
      </c>
      <c r="F9" s="36">
        <f t="shared" si="0"/>
        <v>0</v>
      </c>
      <c r="G9" s="20"/>
    </row>
    <row r="10" spans="1:7" ht="15" thickTop="1">
      <c r="A10" s="37"/>
      <c r="B10" s="37"/>
      <c r="C10" s="37"/>
      <c r="D10" s="37"/>
      <c r="E10" s="37"/>
      <c r="F10" s="37"/>
      <c r="G10" s="37"/>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10"/>
  <sheetViews>
    <sheetView showGridLines="0" topLeftCell="B1" zoomScaleNormal="100" workbookViewId="0">
      <selection activeCell="H2" sqref="H2:I9"/>
    </sheetView>
  </sheetViews>
  <sheetFormatPr defaultRowHeight="14.5"/>
  <cols>
    <col min="1" max="1" width="27.81640625" customWidth="1"/>
    <col min="2" max="3" width="29.453125" customWidth="1"/>
    <col min="4" max="4" width="17.453125" customWidth="1"/>
    <col min="5" max="5" width="29.7265625" style="335" customWidth="1"/>
    <col min="6" max="6" width="29.7265625" style="340" customWidth="1"/>
    <col min="7" max="7" width="4.7265625" customWidth="1"/>
    <col min="8" max="8" width="26.54296875" style="335" customWidth="1"/>
    <col min="9" max="9" width="30.26953125" style="340" customWidth="1"/>
    <col min="10" max="10" width="13" customWidth="1"/>
  </cols>
  <sheetData>
    <row r="1" spans="1:9" ht="15" thickBot="1">
      <c r="A1" s="1" t="s">
        <v>296</v>
      </c>
      <c r="E1" s="1618" t="s">
        <v>1056</v>
      </c>
      <c r="F1" s="1619"/>
      <c r="G1" s="339"/>
      <c r="H1" s="1603" t="s">
        <v>1058</v>
      </c>
      <c r="I1" s="1605"/>
    </row>
    <row r="2" spans="1:9" ht="26.25" customHeight="1" thickTop="1" thickBot="1">
      <c r="A2" s="59" t="s">
        <v>131</v>
      </c>
      <c r="B2" s="38" t="s">
        <v>2</v>
      </c>
      <c r="C2" s="38" t="s">
        <v>3</v>
      </c>
      <c r="E2" s="59" t="s">
        <v>2</v>
      </c>
      <c r="F2" s="177" t="s">
        <v>3</v>
      </c>
      <c r="H2" s="59" t="s">
        <v>2</v>
      </c>
      <c r="I2" s="177" t="s">
        <v>3</v>
      </c>
    </row>
    <row r="3" spans="1:9" ht="18.75" customHeight="1" thickTop="1" thickBot="1">
      <c r="A3" s="71" t="s">
        <v>297</v>
      </c>
      <c r="B3" s="80"/>
      <c r="C3" s="80"/>
      <c r="H3" s="338">
        <f>B3+B4-'P&amp;L old'!$D$13</f>
        <v>0</v>
      </c>
      <c r="I3" s="355">
        <f>C3+C4-'P&amp;L old'!$E$13</f>
        <v>0</v>
      </c>
    </row>
    <row r="4" spans="1:9" ht="18.75" customHeight="1" thickBot="1">
      <c r="A4" s="71" t="s">
        <v>298</v>
      </c>
      <c r="B4" s="80"/>
      <c r="C4" s="80"/>
      <c r="H4" s="338">
        <f>H3</f>
        <v>0</v>
      </c>
      <c r="I4" s="341">
        <f>I3</f>
        <v>0</v>
      </c>
    </row>
    <row r="5" spans="1:9" ht="18.75" customHeight="1" thickBot="1">
      <c r="A5" s="71" t="s">
        <v>299</v>
      </c>
      <c r="B5" s="80"/>
      <c r="C5" s="80"/>
      <c r="H5" s="338">
        <f>B5-'P&amp;L old'!$D$9</f>
        <v>0</v>
      </c>
      <c r="I5" s="341">
        <f>C5-'P&amp;L old'!$E$9</f>
        <v>0</v>
      </c>
    </row>
    <row r="6" spans="1:9" ht="18.75" customHeight="1" thickBot="1">
      <c r="A6" s="71" t="s">
        <v>300</v>
      </c>
      <c r="B6" s="80"/>
      <c r="C6" s="80"/>
      <c r="H6" s="378"/>
      <c r="I6" s="379"/>
    </row>
    <row r="7" spans="1:9" ht="18.75" customHeight="1" thickBot="1">
      <c r="A7" s="71" t="s">
        <v>301</v>
      </c>
      <c r="B7" s="80"/>
      <c r="C7" s="80"/>
      <c r="H7" s="338">
        <f>B7-'P&amp;L old'!$D$27</f>
        <v>0</v>
      </c>
      <c r="I7" s="341">
        <f>C7-'P&amp;L old'!$E$27</f>
        <v>0</v>
      </c>
    </row>
    <row r="8" spans="1:9" ht="18.75" customHeight="1" thickBot="1">
      <c r="A8" s="14" t="s">
        <v>302</v>
      </c>
      <c r="B8" s="80"/>
      <c r="C8" s="80"/>
      <c r="H8" s="378"/>
      <c r="I8" s="379"/>
    </row>
    <row r="9" spans="1:9" ht="18.75" customHeight="1" thickBot="1">
      <c r="A9" s="72" t="s">
        <v>303</v>
      </c>
      <c r="B9" s="78">
        <f>SUM(B3:B8)</f>
        <v>0</v>
      </c>
      <c r="C9" s="78">
        <f>SUM(C3:C8)</f>
        <v>0</v>
      </c>
      <c r="E9" s="338">
        <f>SUM(B3:B8)-B9</f>
        <v>0</v>
      </c>
      <c r="F9" s="340">
        <f>SUM(C3:C8)-C9</f>
        <v>0</v>
      </c>
      <c r="H9" s="378"/>
      <c r="I9" s="379"/>
    </row>
    <row r="10" spans="1:9" ht="15" thickTop="1">
      <c r="H10" s="338"/>
      <c r="I10" s="341"/>
    </row>
  </sheetData>
  <mergeCells count="2">
    <mergeCell ref="H1:I1"/>
    <mergeCell ref="E1:F1"/>
  </mergeCells>
  <conditionalFormatting sqref="H1">
    <cfRule type="cellIs" priority="5" stopIfTrue="1" operator="greaterThan">
      <formula>0</formula>
    </cfRule>
  </conditionalFormatting>
  <conditionalFormatting sqref="H3:I10">
    <cfRule type="cellIs" dxfId="80" priority="3" operator="lessThan">
      <formula>0</formula>
    </cfRule>
    <cfRule type="cellIs" dxfId="79" priority="4" operator="greaterThan">
      <formula>0</formula>
    </cfRule>
  </conditionalFormatting>
  <conditionalFormatting sqref="E9:F9">
    <cfRule type="cellIs" dxfId="78" priority="1" operator="lessThan">
      <formula>0</formula>
    </cfRule>
    <cfRule type="cellIs" dxfId="77" priority="2" operator="greaterThan">
      <formula>0</formula>
    </cfRule>
  </conditionalFormatting>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28"/>
  <sheetViews>
    <sheetView showGridLines="0" topLeftCell="B1" zoomScaleNormal="100" workbookViewId="0">
      <selection activeCell="E2" sqref="E2:F27"/>
    </sheetView>
  </sheetViews>
  <sheetFormatPr defaultRowHeight="14.5"/>
  <cols>
    <col min="1" max="1" width="27.81640625" customWidth="1"/>
    <col min="2" max="3" width="29.453125" customWidth="1"/>
    <col min="4" max="4" width="17.453125" customWidth="1"/>
    <col min="5" max="5" width="29.7265625" style="335" customWidth="1"/>
    <col min="6" max="6" width="29.7265625" style="340" customWidth="1"/>
    <col min="7" max="7" width="4.7265625" customWidth="1"/>
    <col min="8" max="8" width="26.54296875" style="335" customWidth="1"/>
    <col min="9" max="9" width="30.26953125" style="340" customWidth="1"/>
  </cols>
  <sheetData>
    <row r="1" spans="1:9" ht="15" thickBot="1">
      <c r="A1" s="1" t="s">
        <v>304</v>
      </c>
      <c r="E1" s="1618" t="s">
        <v>1056</v>
      </c>
      <c r="F1" s="1619"/>
      <c r="G1" s="339"/>
      <c r="H1" s="1603" t="s">
        <v>1058</v>
      </c>
      <c r="I1" s="1605"/>
    </row>
    <row r="2" spans="1:9" ht="26.25" customHeight="1" thickTop="1" thickBot="1">
      <c r="A2" s="59" t="s">
        <v>131</v>
      </c>
      <c r="B2" s="38" t="s">
        <v>2</v>
      </c>
      <c r="C2" s="38" t="s">
        <v>3</v>
      </c>
      <c r="E2" s="59" t="s">
        <v>2</v>
      </c>
      <c r="F2" s="177" t="s">
        <v>3</v>
      </c>
      <c r="H2" s="59" t="s">
        <v>2</v>
      </c>
      <c r="I2" s="177" t="s">
        <v>3</v>
      </c>
    </row>
    <row r="3" spans="1:9" ht="20.25" customHeight="1" thickTop="1" thickBot="1">
      <c r="A3" s="44" t="s">
        <v>305</v>
      </c>
      <c r="B3" s="80"/>
      <c r="C3" s="80"/>
      <c r="E3" s="338">
        <f>SUM(B4,B10)-B3</f>
        <v>0</v>
      </c>
      <c r="F3" s="341">
        <f>SUM(C4,C10)-C3</f>
        <v>0</v>
      </c>
      <c r="H3" s="338">
        <f>B3-'P&amp;L old'!$D$18</f>
        <v>0</v>
      </c>
      <c r="I3" s="341">
        <f>C3-'P&amp;L old'!$E$18</f>
        <v>0</v>
      </c>
    </row>
    <row r="4" spans="1:9" ht="20.25" customHeight="1" thickBot="1">
      <c r="A4" s="128" t="s">
        <v>306</v>
      </c>
      <c r="B4" s="125"/>
      <c r="C4" s="125"/>
      <c r="E4" s="338">
        <f>SUM(B5:B9)-B4</f>
        <v>0</v>
      </c>
      <c r="F4" s="341">
        <f>SUM(C5:C9)-C4</f>
        <v>0</v>
      </c>
      <c r="H4" s="338"/>
      <c r="I4" s="341"/>
    </row>
    <row r="5" spans="1:9" ht="20.25" customHeight="1" thickBot="1">
      <c r="A5" s="14" t="s">
        <v>307</v>
      </c>
      <c r="B5" s="80"/>
      <c r="C5" s="80"/>
      <c r="F5" s="341"/>
      <c r="H5" s="380"/>
      <c r="I5" s="381"/>
    </row>
    <row r="6" spans="1:9" ht="20.25" customHeight="1" thickBot="1">
      <c r="A6" s="14" t="s">
        <v>308</v>
      </c>
      <c r="B6" s="80"/>
      <c r="C6" s="80"/>
      <c r="F6" s="341"/>
      <c r="H6" s="382"/>
      <c r="I6" s="383"/>
    </row>
    <row r="7" spans="1:9" ht="20.25" customHeight="1" thickBot="1">
      <c r="A7" s="14" t="s">
        <v>309</v>
      </c>
      <c r="B7" s="80"/>
      <c r="C7" s="80"/>
      <c r="F7" s="341"/>
      <c r="H7" s="380"/>
      <c r="I7" s="381"/>
    </row>
    <row r="8" spans="1:9" ht="20.25" customHeight="1" thickBot="1">
      <c r="A8" s="14" t="s">
        <v>310</v>
      </c>
      <c r="B8" s="80"/>
      <c r="C8" s="80"/>
      <c r="F8" s="341"/>
      <c r="H8" s="382"/>
      <c r="I8" s="383"/>
    </row>
    <row r="9" spans="1:9" ht="20.25" customHeight="1" thickBot="1">
      <c r="A9" s="14" t="s">
        <v>311</v>
      </c>
      <c r="B9" s="80"/>
      <c r="C9" s="80"/>
      <c r="E9" s="338"/>
      <c r="F9" s="341"/>
      <c r="H9" s="382"/>
      <c r="I9" s="383"/>
    </row>
    <row r="10" spans="1:9" ht="20.25" customHeight="1" thickBot="1">
      <c r="A10" s="128" t="s">
        <v>312</v>
      </c>
      <c r="B10" s="125"/>
      <c r="C10" s="125"/>
      <c r="E10" s="338">
        <f>SUM(B11:B13)-B10</f>
        <v>0</v>
      </c>
      <c r="F10" s="341">
        <f>SUM(C11:C13)-C10</f>
        <v>0</v>
      </c>
      <c r="H10" s="380"/>
      <c r="I10" s="381"/>
    </row>
    <row r="11" spans="1:9" ht="20.25" customHeight="1" thickBot="1">
      <c r="A11" s="14"/>
      <c r="B11" s="80"/>
      <c r="C11" s="80"/>
      <c r="F11" s="341"/>
    </row>
    <row r="12" spans="1:9" ht="20.25" customHeight="1" thickBot="1">
      <c r="A12" s="14"/>
      <c r="B12" s="80"/>
      <c r="C12" s="80"/>
      <c r="F12" s="341"/>
    </row>
    <row r="13" spans="1:9" ht="20.25" customHeight="1" thickBot="1">
      <c r="A13" s="14"/>
      <c r="B13" s="80"/>
      <c r="C13" s="80"/>
      <c r="F13" s="341"/>
    </row>
    <row r="14" spans="1:9" ht="20.25" customHeight="1" thickBot="1">
      <c r="A14" s="44" t="s">
        <v>313</v>
      </c>
      <c r="B14" s="80"/>
      <c r="C14" s="80"/>
      <c r="E14" s="338">
        <f>SUM(B15:B18)-B14</f>
        <v>0</v>
      </c>
      <c r="F14" s="341">
        <f>SUM(C15:C18)-C14</f>
        <v>0</v>
      </c>
    </row>
    <row r="15" spans="1:9" ht="20.25" customHeight="1" thickBot="1">
      <c r="A15" s="14"/>
      <c r="B15" s="80"/>
      <c r="C15" s="80"/>
      <c r="F15" s="341"/>
    </row>
    <row r="16" spans="1:9" ht="20.25" customHeight="1" thickBot="1">
      <c r="A16" s="14"/>
      <c r="B16" s="80"/>
      <c r="C16" s="80"/>
      <c r="F16" s="341"/>
    </row>
    <row r="17" spans="1:9" ht="20.25" customHeight="1" thickBot="1">
      <c r="A17" s="14"/>
      <c r="B17" s="80"/>
      <c r="C17" s="80"/>
      <c r="F17" s="341"/>
    </row>
    <row r="18" spans="1:9" ht="20.25" customHeight="1" thickBot="1">
      <c r="A18" s="14"/>
      <c r="B18" s="80"/>
      <c r="C18" s="80"/>
      <c r="F18" s="341"/>
    </row>
    <row r="19" spans="1:9" ht="20.25" customHeight="1" thickBot="1">
      <c r="A19" s="44" t="s">
        <v>314</v>
      </c>
      <c r="B19" s="80"/>
      <c r="C19" s="80"/>
      <c r="E19" s="338">
        <f>SUM(B20,B22)-B19</f>
        <v>0</v>
      </c>
      <c r="F19" s="341">
        <f>SUM(C20,C22)-C19</f>
        <v>0</v>
      </c>
      <c r="H19" s="338">
        <f>B19-SUM('P&amp;L old'!$D$36,'P&amp;L old'!$D$42,'P&amp;L old'!$D$44,'P&amp;L old'!$D$45,'P&amp;L old'!$D$47,'P&amp;L old'!$D$49,'P&amp;L old'!$D$51,'P&amp;L old'!$D$53)</f>
        <v>0</v>
      </c>
      <c r="I19" s="341">
        <f>C19-SUM('P&amp;L old'!$E$36,'P&amp;L old'!$E$42,'P&amp;L old'!$E$44,'P&amp;L old'!$E$45,'P&amp;L old'!$E$47,'P&amp;L old'!$E$49,'P&amp;L old'!$E$51,'P&amp;L old'!$E$53)</f>
        <v>0</v>
      </c>
    </row>
    <row r="20" spans="1:9" ht="20.25" customHeight="1" thickBot="1">
      <c r="A20" s="128" t="s">
        <v>315</v>
      </c>
      <c r="B20" s="125"/>
      <c r="C20" s="125"/>
      <c r="E20" s="338"/>
      <c r="F20" s="341"/>
      <c r="H20" s="338">
        <f>B20-'P&amp;L old'!$D$49</f>
        <v>0</v>
      </c>
      <c r="I20" s="341">
        <f>C20-'P&amp;L old'!$E$49</f>
        <v>0</v>
      </c>
    </row>
    <row r="21" spans="1:9" ht="20.25" customHeight="1" thickBot="1">
      <c r="A21" s="14" t="s">
        <v>316</v>
      </c>
      <c r="B21" s="80"/>
      <c r="C21" s="80"/>
      <c r="F21" s="341"/>
    </row>
    <row r="22" spans="1:9" ht="20.25" customHeight="1" thickBot="1">
      <c r="A22" s="128" t="s">
        <v>317</v>
      </c>
      <c r="B22" s="125"/>
      <c r="C22" s="125"/>
      <c r="E22" s="338">
        <f>SUM(B23:B24)-B22</f>
        <v>0</v>
      </c>
      <c r="F22" s="341">
        <f>SUM(C23:C24)-C22</f>
        <v>0</v>
      </c>
    </row>
    <row r="23" spans="1:9" ht="20.25" customHeight="1" thickBot="1">
      <c r="A23" s="14"/>
      <c r="B23" s="80"/>
      <c r="C23" s="80"/>
      <c r="F23" s="341"/>
    </row>
    <row r="24" spans="1:9" ht="20.25" customHeight="1" thickBot="1">
      <c r="A24" s="14"/>
      <c r="B24" s="80"/>
      <c r="C24" s="80"/>
      <c r="F24" s="341"/>
    </row>
    <row r="25" spans="1:9" ht="20.25" customHeight="1" thickBot="1">
      <c r="A25" s="104" t="s">
        <v>318</v>
      </c>
      <c r="B25" s="126"/>
      <c r="C25" s="126"/>
      <c r="E25" s="338">
        <f>SUM(B26:B27)-B25</f>
        <v>0</v>
      </c>
      <c r="F25" s="341">
        <f>SUM(C26:C27)-C25</f>
        <v>0</v>
      </c>
      <c r="H25" s="338">
        <f>B25-'P&amp;L old'!$D$61</f>
        <v>0</v>
      </c>
      <c r="I25" s="341">
        <f>C25-'P&amp;L old'!$E$61</f>
        <v>0</v>
      </c>
    </row>
    <row r="26" spans="1:9" ht="20.25" customHeight="1" thickBot="1">
      <c r="A26" s="105"/>
      <c r="B26" s="121"/>
      <c r="C26" s="121"/>
      <c r="F26" s="341"/>
    </row>
    <row r="27" spans="1:9" ht="20.25" customHeight="1" thickBot="1">
      <c r="A27" s="25"/>
      <c r="B27" s="78"/>
      <c r="C27" s="78"/>
      <c r="F27" s="341"/>
    </row>
    <row r="28" spans="1:9" ht="15" thickTop="1">
      <c r="A28" s="1"/>
      <c r="F28" s="341"/>
    </row>
  </sheetData>
  <mergeCells count="2">
    <mergeCell ref="E1:F1"/>
    <mergeCell ref="H1:I1"/>
  </mergeCells>
  <conditionalFormatting sqref="H1">
    <cfRule type="cellIs" priority="17" stopIfTrue="1" operator="greaterThan">
      <formula>0</formula>
    </cfRule>
  </conditionalFormatting>
  <conditionalFormatting sqref="H3:I10">
    <cfRule type="cellIs" dxfId="76" priority="15" operator="lessThan">
      <formula>0</formula>
    </cfRule>
    <cfRule type="cellIs" dxfId="75" priority="16" operator="greaterThan">
      <formula>0</formula>
    </cfRule>
  </conditionalFormatting>
  <conditionalFormatting sqref="E9:F9">
    <cfRule type="cellIs" dxfId="74" priority="13" operator="lessThan">
      <formula>0</formula>
    </cfRule>
    <cfRule type="cellIs" dxfId="73" priority="14" operator="greaterThan">
      <formula>0</formula>
    </cfRule>
  </conditionalFormatting>
  <conditionalFormatting sqref="F3">
    <cfRule type="cellIs" dxfId="72" priority="11" operator="lessThan">
      <formula>0</formula>
    </cfRule>
    <cfRule type="cellIs" dxfId="71" priority="12" operator="greaterThan">
      <formula>0</formula>
    </cfRule>
  </conditionalFormatting>
  <conditionalFormatting sqref="F4:F28">
    <cfRule type="cellIs" dxfId="70" priority="9" operator="lessThan">
      <formula>0</formula>
    </cfRule>
    <cfRule type="cellIs" dxfId="69" priority="10" operator="greaterThan">
      <formula>0</formula>
    </cfRule>
  </conditionalFormatting>
  <conditionalFormatting sqref="E3:F26">
    <cfRule type="cellIs" priority="8" stopIfTrue="1" operator="greaterThan">
      <formula>0</formula>
    </cfRule>
  </conditionalFormatting>
  <conditionalFormatting sqref="E3:F29">
    <cfRule type="cellIs" dxfId="68" priority="6" operator="lessThan">
      <formula>0</formula>
    </cfRule>
    <cfRule type="cellIs" dxfId="67" priority="7" operator="greaterThan">
      <formula>0</formula>
    </cfRule>
  </conditionalFormatting>
  <conditionalFormatting sqref="F3">
    <cfRule type="cellIs" dxfId="66" priority="4" operator="lessThan">
      <formula>0</formula>
    </cfRule>
    <cfRule type="cellIs" dxfId="65" priority="5" operator="greaterThan">
      <formula>0</formula>
    </cfRule>
  </conditionalFormatting>
  <conditionalFormatting sqref="H3:I29">
    <cfRule type="cellIs" dxfId="64" priority="1" operator="lessThan">
      <formula>0</formula>
    </cfRule>
    <cfRule type="cellIs" dxfId="63"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9"/>
  <sheetViews>
    <sheetView showGridLines="0" zoomScaleNormal="100" workbookViewId="0">
      <selection activeCell="A3" sqref="A3:A8"/>
    </sheetView>
  </sheetViews>
  <sheetFormatPr defaultRowHeight="14.5"/>
  <cols>
    <col min="1" max="1" width="36.7265625" customWidth="1"/>
    <col min="2" max="2" width="26.453125" customWidth="1"/>
    <col min="3" max="3" width="23.26953125" customWidth="1"/>
    <col min="4" max="4" width="17.453125" customWidth="1"/>
    <col min="5" max="5" width="19.54296875" customWidth="1"/>
    <col min="6" max="6" width="19.26953125" customWidth="1"/>
    <col min="7" max="7" width="13" customWidth="1"/>
  </cols>
  <sheetData>
    <row r="1" spans="1:3" ht="15" thickBot="1">
      <c r="A1" s="1" t="s">
        <v>319</v>
      </c>
    </row>
    <row r="2" spans="1:3" ht="22" thickTop="1" thickBot="1">
      <c r="A2" s="59" t="s">
        <v>131</v>
      </c>
      <c r="B2" s="38" t="s">
        <v>2</v>
      </c>
      <c r="C2" s="38" t="s">
        <v>3</v>
      </c>
    </row>
    <row r="3" spans="1:3" ht="29.25" customHeight="1" thickTop="1" thickBot="1">
      <c r="A3" s="122" t="s">
        <v>320</v>
      </c>
      <c r="B3" s="15"/>
      <c r="C3" s="15"/>
    </row>
    <row r="4" spans="1:3" ht="29.25" customHeight="1" thickBot="1">
      <c r="A4" s="129" t="s">
        <v>321</v>
      </c>
      <c r="B4" s="15"/>
      <c r="C4" s="15"/>
    </row>
    <row r="5" spans="1:3" ht="52.75" customHeight="1" thickBot="1">
      <c r="A5" s="119" t="s">
        <v>322</v>
      </c>
      <c r="B5" s="15"/>
      <c r="C5" s="15"/>
    </row>
    <row r="6" spans="1:3" ht="52.75" customHeight="1" thickBot="1">
      <c r="A6" s="14" t="s">
        <v>323</v>
      </c>
      <c r="B6" s="15"/>
      <c r="C6" s="15"/>
    </row>
    <row r="7" spans="1:3" ht="51" customHeight="1" thickBot="1">
      <c r="A7" s="122" t="s">
        <v>324</v>
      </c>
      <c r="B7" s="15"/>
      <c r="C7" s="15"/>
    </row>
    <row r="8" spans="1:3" ht="31" customHeight="1" thickBot="1">
      <c r="A8" s="130" t="s">
        <v>325</v>
      </c>
      <c r="B8" s="17"/>
      <c r="C8" s="17"/>
    </row>
    <row r="9" spans="1:3" ht="15" thickTop="1">
      <c r="A9" s="1"/>
    </row>
  </sheetData>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13"/>
  <sheetViews>
    <sheetView showGridLines="0" zoomScaleNormal="100" workbookViewId="0">
      <selection activeCell="J13" sqref="J13"/>
    </sheetView>
  </sheetViews>
  <sheetFormatPr defaultRowHeight="14.5"/>
  <cols>
    <col min="1" max="1" width="22.26953125" customWidth="1"/>
    <col min="2" max="7" width="10.7265625" customWidth="1"/>
    <col min="10" max="10" width="24.26953125" style="335" customWidth="1"/>
    <col min="11" max="11" width="31.1796875" style="340" customWidth="1"/>
  </cols>
  <sheetData>
    <row r="1" spans="1:11" ht="15" thickBot="1">
      <c r="A1" s="1" t="s">
        <v>326</v>
      </c>
      <c r="J1" s="1603" t="s">
        <v>1058</v>
      </c>
      <c r="K1" s="1605"/>
    </row>
    <row r="2" spans="1:11" ht="35.25" customHeight="1" thickTop="1" thickBot="1">
      <c r="A2" s="1585" t="s">
        <v>131</v>
      </c>
      <c r="B2" s="1587" t="s">
        <v>2</v>
      </c>
      <c r="C2" s="1593"/>
      <c r="D2" s="1588"/>
      <c r="E2" s="1587" t="s">
        <v>3</v>
      </c>
      <c r="F2" s="1593"/>
      <c r="G2" s="1588"/>
      <c r="J2" s="176" t="s">
        <v>2</v>
      </c>
      <c r="K2" s="59" t="s">
        <v>3</v>
      </c>
    </row>
    <row r="3" spans="1:11" s="131" customFormat="1" ht="15.5" thickTop="1" thickBot="1">
      <c r="A3" s="1586"/>
      <c r="B3" s="21" t="s">
        <v>327</v>
      </c>
      <c r="C3" s="21" t="s">
        <v>328</v>
      </c>
      <c r="D3" s="21" t="s">
        <v>329</v>
      </c>
      <c r="E3" s="21" t="s">
        <v>327</v>
      </c>
      <c r="F3" s="21" t="s">
        <v>328</v>
      </c>
      <c r="G3" s="21" t="s">
        <v>329</v>
      </c>
      <c r="J3" s="384"/>
      <c r="K3" s="364"/>
    </row>
    <row r="4" spans="1:11" ht="20.25" customHeight="1" thickTop="1" thickBot="1">
      <c r="A4" s="14" t="s">
        <v>330</v>
      </c>
      <c r="B4" s="79"/>
      <c r="C4" s="106" t="s">
        <v>18</v>
      </c>
      <c r="D4" s="168" t="s">
        <v>18</v>
      </c>
      <c r="E4" s="79"/>
      <c r="F4" s="106" t="s">
        <v>18</v>
      </c>
      <c r="G4" s="168" t="s">
        <v>18</v>
      </c>
      <c r="J4" s="338">
        <f>B4-'P&amp;L old'!$D$55</f>
        <v>0</v>
      </c>
      <c r="K4" s="341">
        <f>E4-'P&amp;L old'!$E$55</f>
        <v>0</v>
      </c>
    </row>
    <row r="5" spans="1:11" ht="20.25" customHeight="1" thickBot="1">
      <c r="A5" s="14" t="s">
        <v>331</v>
      </c>
      <c r="B5" s="106" t="s">
        <v>18</v>
      </c>
      <c r="C5" s="79"/>
      <c r="D5" s="118"/>
      <c r="E5" s="106" t="s">
        <v>18</v>
      </c>
      <c r="F5" s="79"/>
      <c r="G5" s="118"/>
    </row>
    <row r="6" spans="1:11" ht="20.25" customHeight="1" thickBot="1">
      <c r="A6" s="14" t="s">
        <v>332</v>
      </c>
      <c r="B6" s="79"/>
      <c r="C6" s="79"/>
      <c r="D6" s="118"/>
      <c r="E6" s="79"/>
      <c r="F6" s="79"/>
      <c r="G6" s="118"/>
    </row>
    <row r="7" spans="1:11" ht="20.25" customHeight="1" thickBot="1">
      <c r="A7" s="14" t="s">
        <v>333</v>
      </c>
      <c r="B7" s="79"/>
      <c r="C7" s="79"/>
      <c r="D7" s="118"/>
      <c r="E7" s="79"/>
      <c r="F7" s="79"/>
      <c r="G7" s="118"/>
    </row>
    <row r="8" spans="1:11" ht="20.25" customHeight="1" thickBot="1">
      <c r="A8" s="14" t="s">
        <v>334</v>
      </c>
      <c r="B8" s="79"/>
      <c r="C8" s="79"/>
      <c r="D8" s="118"/>
      <c r="E8" s="79"/>
      <c r="F8" s="79"/>
      <c r="G8" s="118"/>
    </row>
    <row r="9" spans="1:11" ht="20.25" customHeight="1" thickBot="1">
      <c r="A9" s="14" t="s">
        <v>14</v>
      </c>
      <c r="B9" s="79"/>
      <c r="C9" s="79"/>
      <c r="D9" s="118"/>
      <c r="E9" s="79"/>
      <c r="F9" s="79"/>
      <c r="G9" s="118"/>
    </row>
    <row r="10" spans="1:11" ht="20.25" customHeight="1" thickBot="1">
      <c r="A10" s="14" t="s">
        <v>335</v>
      </c>
      <c r="B10" s="106" t="s">
        <v>18</v>
      </c>
      <c r="C10" s="79"/>
      <c r="D10" s="118"/>
      <c r="E10" s="106" t="s">
        <v>18</v>
      </c>
      <c r="F10" s="79"/>
      <c r="G10" s="118"/>
      <c r="J10" s="338">
        <f>C10-'P&amp;L old'!$D$57-'P&amp;L old'!$D$64</f>
        <v>0</v>
      </c>
      <c r="K10" s="341">
        <f>F10-'P&amp;L old'!$E$57-'P&amp;L old'!$E$64</f>
        <v>0</v>
      </c>
    </row>
    <row r="11" spans="1:11" ht="20.25" customHeight="1" thickBot="1">
      <c r="A11" s="14" t="s">
        <v>336</v>
      </c>
      <c r="B11" s="106" t="s">
        <v>18</v>
      </c>
      <c r="C11" s="79"/>
      <c r="D11" s="118"/>
      <c r="E11" s="106" t="s">
        <v>18</v>
      </c>
      <c r="F11" s="79"/>
      <c r="G11" s="118"/>
      <c r="J11" s="338">
        <f>C11-'P&amp;L old'!$D$58-'P&amp;L old'!$D$65</f>
        <v>0</v>
      </c>
      <c r="K11" s="341">
        <f>F11-'P&amp;L old'!$E$58-'P&amp;L old'!$E$65</f>
        <v>0</v>
      </c>
    </row>
    <row r="12" spans="1:11" ht="20.25" customHeight="1" thickBot="1">
      <c r="A12" s="16" t="s">
        <v>337</v>
      </c>
      <c r="B12" s="107" t="s">
        <v>18</v>
      </c>
      <c r="C12" s="85">
        <f>C10+C11</f>
        <v>0</v>
      </c>
      <c r="D12" s="167"/>
      <c r="E12" s="107" t="s">
        <v>18</v>
      </c>
      <c r="F12" s="85">
        <f>F10+F11</f>
        <v>0</v>
      </c>
      <c r="G12" s="167"/>
      <c r="J12" s="338">
        <f>C12-'P&amp;L old'!$D$56-'P&amp;L old'!$D$63</f>
        <v>0</v>
      </c>
      <c r="K12" s="341">
        <f>F12-'P&amp;L old'!$E$56-'P&amp;L old'!$E$63</f>
        <v>0</v>
      </c>
    </row>
    <row r="13" spans="1:11" ht="15" thickTop="1"/>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62" priority="1" operator="lessThan">
      <formula>0</formula>
    </cfRule>
    <cfRule type="cellIs" dxfId="61" priority="2" operator="greaterThan">
      <formula>0</formula>
    </cfRule>
  </conditionalFormatting>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21"/>
  <sheetViews>
    <sheetView showGridLines="0" zoomScaleNormal="100" workbookViewId="0">
      <selection activeCell="A6" sqref="A6:A19"/>
    </sheetView>
  </sheetViews>
  <sheetFormatPr defaultRowHeight="14.5"/>
  <cols>
    <col min="1" max="1" width="17.7265625" customWidth="1"/>
    <col min="2" max="7" width="11.453125" customWidth="1"/>
  </cols>
  <sheetData>
    <row r="1" spans="1:9" ht="15" thickBot="1">
      <c r="A1" s="1" t="s">
        <v>371</v>
      </c>
    </row>
    <row r="2" spans="1:9" ht="25.5" customHeight="1" thickTop="1" thickBot="1">
      <c r="A2" s="1608" t="s">
        <v>372</v>
      </c>
      <c r="B2" s="1606" t="s">
        <v>373</v>
      </c>
      <c r="C2" s="1620"/>
      <c r="D2" s="1620"/>
      <c r="E2" s="1606" t="s">
        <v>374</v>
      </c>
      <c r="F2" s="1620"/>
      <c r="G2" s="1607"/>
      <c r="H2" s="20"/>
      <c r="I2" s="20"/>
    </row>
    <row r="3" spans="1:9" ht="20.25" customHeight="1" thickTop="1" thickBot="1">
      <c r="A3" s="1609"/>
      <c r="B3" s="59" t="s">
        <v>375</v>
      </c>
      <c r="C3" s="59" t="s">
        <v>376</v>
      </c>
      <c r="D3" s="659" t="s">
        <v>377</v>
      </c>
      <c r="E3" s="59" t="s">
        <v>375</v>
      </c>
      <c r="F3" s="59" t="s">
        <v>376</v>
      </c>
      <c r="G3" s="59" t="s">
        <v>377</v>
      </c>
      <c r="H3" s="20"/>
      <c r="I3" s="20"/>
    </row>
    <row r="4" spans="1:9" ht="20.25" customHeight="1" thickTop="1" thickBot="1">
      <c r="A4" s="1609"/>
      <c r="B4" s="1621" t="s">
        <v>378</v>
      </c>
      <c r="C4" s="1622"/>
      <c r="D4" s="1622"/>
      <c r="E4" s="1621" t="s">
        <v>378</v>
      </c>
      <c r="F4" s="1622"/>
      <c r="G4" s="1625"/>
      <c r="H4" s="20"/>
      <c r="I4" s="20"/>
    </row>
    <row r="5" spans="1:9" ht="24.75" customHeight="1" thickBot="1">
      <c r="A5" s="1610"/>
      <c r="B5" s="1626" t="s">
        <v>379</v>
      </c>
      <c r="C5" s="1627"/>
      <c r="D5" s="1627"/>
      <c r="E5" s="1626" t="s">
        <v>379</v>
      </c>
      <c r="F5" s="1627"/>
      <c r="G5" s="1628"/>
      <c r="H5" s="20"/>
      <c r="I5" s="20"/>
    </row>
    <row r="6" spans="1:9" ht="20.25" customHeight="1" thickTop="1" thickBot="1">
      <c r="A6" s="1629" t="s">
        <v>380</v>
      </c>
      <c r="B6" s="79"/>
      <c r="C6" s="169"/>
      <c r="D6" s="144"/>
      <c r="E6" s="79"/>
      <c r="F6" s="144"/>
      <c r="G6" s="77"/>
      <c r="H6" s="20"/>
      <c r="I6" s="20"/>
    </row>
    <row r="7" spans="1:9" ht="20.25" customHeight="1" thickBot="1">
      <c r="A7" s="1630"/>
      <c r="B7" s="79"/>
      <c r="C7" s="170"/>
      <c r="D7" s="120"/>
      <c r="E7" s="79"/>
      <c r="F7" s="120"/>
      <c r="G7" s="121"/>
      <c r="H7" s="20"/>
      <c r="I7" s="20"/>
    </row>
    <row r="8" spans="1:9" ht="20.25" customHeight="1" thickBot="1">
      <c r="A8" s="1623" t="s">
        <v>381</v>
      </c>
      <c r="B8" s="79"/>
      <c r="C8" s="170"/>
      <c r="D8" s="120"/>
      <c r="E8" s="79"/>
      <c r="F8" s="120"/>
      <c r="G8" s="121"/>
      <c r="H8" s="20"/>
      <c r="I8" s="20"/>
    </row>
    <row r="9" spans="1:9" ht="20.25" customHeight="1" thickBot="1">
      <c r="A9" s="1624"/>
      <c r="B9" s="79"/>
      <c r="C9" s="170"/>
      <c r="D9" s="120"/>
      <c r="E9" s="79"/>
      <c r="F9" s="120"/>
      <c r="G9" s="121"/>
      <c r="H9" s="20"/>
      <c r="I9" s="20"/>
    </row>
    <row r="10" spans="1:9" ht="20.25" customHeight="1" thickTop="1" thickBot="1">
      <c r="A10" s="1629" t="s">
        <v>382</v>
      </c>
      <c r="B10" s="79"/>
      <c r="C10" s="170"/>
      <c r="D10" s="120"/>
      <c r="E10" s="79"/>
      <c r="F10" s="120"/>
      <c r="G10" s="121"/>
      <c r="H10" s="20"/>
      <c r="I10" s="20"/>
    </row>
    <row r="11" spans="1:9" ht="20.25" customHeight="1" thickBot="1">
      <c r="A11" s="1630"/>
      <c r="B11" s="79"/>
      <c r="C11" s="170"/>
      <c r="D11" s="120"/>
      <c r="E11" s="79"/>
      <c r="F11" s="120"/>
      <c r="G11" s="121"/>
      <c r="H11" s="20"/>
      <c r="I11" s="20"/>
    </row>
    <row r="12" spans="1:9" ht="20.25" customHeight="1" thickBot="1">
      <c r="A12" s="1623" t="s">
        <v>383</v>
      </c>
      <c r="B12" s="79"/>
      <c r="C12" s="170"/>
      <c r="D12" s="120"/>
      <c r="E12" s="79"/>
      <c r="F12" s="120"/>
      <c r="G12" s="121"/>
      <c r="H12" s="20"/>
      <c r="I12" s="20"/>
    </row>
    <row r="13" spans="1:9" ht="20.25" customHeight="1" thickBot="1">
      <c r="A13" s="1630"/>
      <c r="B13" s="79"/>
      <c r="C13" s="170"/>
      <c r="D13" s="120"/>
      <c r="E13" s="79"/>
      <c r="F13" s="120"/>
      <c r="G13" s="121"/>
      <c r="H13" s="20"/>
      <c r="I13" s="20"/>
    </row>
    <row r="14" spans="1:9" ht="20.25" customHeight="1" thickBot="1">
      <c r="A14" s="1623" t="s">
        <v>384</v>
      </c>
      <c r="B14" s="79"/>
      <c r="C14" s="170"/>
      <c r="D14" s="120"/>
      <c r="E14" s="79"/>
      <c r="F14" s="120"/>
      <c r="G14" s="121"/>
      <c r="H14" s="20"/>
      <c r="I14" s="20"/>
    </row>
    <row r="15" spans="1:9" ht="20.25" customHeight="1" thickBot="1">
      <c r="A15" s="1624"/>
      <c r="B15" s="79"/>
      <c r="C15" s="170"/>
      <c r="D15" s="120"/>
      <c r="E15" s="79"/>
      <c r="F15" s="120"/>
      <c r="G15" s="121"/>
      <c r="H15" s="20"/>
      <c r="I15" s="20"/>
    </row>
    <row r="16" spans="1:9" ht="20.25" customHeight="1" thickTop="1" thickBot="1">
      <c r="A16" s="1629" t="s">
        <v>385</v>
      </c>
      <c r="B16" s="79"/>
      <c r="C16" s="170"/>
      <c r="D16" s="120"/>
      <c r="E16" s="79"/>
      <c r="F16" s="120"/>
      <c r="G16" s="121"/>
      <c r="H16" s="20"/>
      <c r="I16" s="20"/>
    </row>
    <row r="17" spans="1:9" ht="20.25" customHeight="1" thickBot="1">
      <c r="A17" s="1624"/>
      <c r="B17" s="79"/>
      <c r="C17" s="170"/>
      <c r="D17" s="120"/>
      <c r="E17" s="79"/>
      <c r="F17" s="120"/>
      <c r="G17" s="121"/>
      <c r="H17" s="20"/>
      <c r="I17" s="20"/>
    </row>
    <row r="18" spans="1:9" ht="20.25" customHeight="1" thickTop="1" thickBot="1">
      <c r="A18" s="1629" t="s">
        <v>287</v>
      </c>
      <c r="B18" s="79"/>
      <c r="C18" s="170"/>
      <c r="D18" s="120"/>
      <c r="E18" s="79"/>
      <c r="F18" s="120"/>
      <c r="G18" s="121"/>
      <c r="H18" s="20"/>
      <c r="I18" s="20"/>
    </row>
    <row r="19" spans="1:9" ht="20.25" customHeight="1" thickBot="1">
      <c r="A19" s="1624"/>
      <c r="B19" s="85"/>
      <c r="C19" s="171"/>
      <c r="D19" s="146"/>
      <c r="E19" s="85"/>
      <c r="F19" s="146"/>
      <c r="G19" s="127"/>
      <c r="H19" s="20"/>
      <c r="I19" s="20"/>
    </row>
    <row r="20" spans="1:9" ht="15" thickTop="1">
      <c r="A20" s="48"/>
      <c r="B20" s="48"/>
      <c r="C20" s="48"/>
      <c r="D20" s="48"/>
      <c r="E20" s="48"/>
      <c r="F20" s="48"/>
      <c r="G20" s="48"/>
      <c r="H20" s="20"/>
      <c r="I20" s="20"/>
    </row>
    <row r="21" spans="1:9">
      <c r="A21" s="172"/>
      <c r="B21" s="20"/>
      <c r="C21" s="20"/>
      <c r="D21" s="20"/>
      <c r="E21" s="20"/>
      <c r="F21" s="20"/>
      <c r="G21" s="20"/>
      <c r="H21" s="20"/>
      <c r="I21" s="20"/>
    </row>
  </sheetData>
  <mergeCells count="14">
    <mergeCell ref="A18:A19"/>
    <mergeCell ref="A16:A17"/>
    <mergeCell ref="A14:A15"/>
    <mergeCell ref="A12:A13"/>
    <mergeCell ref="A10:A11"/>
    <mergeCell ref="B2:D2"/>
    <mergeCell ref="E2:G2"/>
    <mergeCell ref="B4:D4"/>
    <mergeCell ref="A2:A5"/>
    <mergeCell ref="A8:A9"/>
    <mergeCell ref="E4:G4"/>
    <mergeCell ref="B5:D5"/>
    <mergeCell ref="E5:G5"/>
    <mergeCell ref="A6:A7"/>
  </mergeCells>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9"/>
  <sheetViews>
    <sheetView showGridLines="0" zoomScaleNormal="100" workbookViewId="0">
      <selection activeCell="A19" sqref="A19"/>
    </sheetView>
  </sheetViews>
  <sheetFormatPr defaultRowHeight="14.5"/>
  <cols>
    <col min="1" max="1" width="25.7265625" customWidth="1"/>
    <col min="2" max="2" width="13.453125" customWidth="1"/>
    <col min="3" max="4" width="23.54296875" customWidth="1"/>
    <col min="5" max="5" width="18.54296875" customWidth="1"/>
    <col min="6" max="6" width="18.453125" customWidth="1"/>
    <col min="7" max="7" width="21.1796875" customWidth="1"/>
  </cols>
  <sheetData>
    <row r="1" spans="1:4">
      <c r="A1" s="1" t="s">
        <v>386</v>
      </c>
    </row>
    <row r="2" spans="1:4" ht="15" thickBot="1">
      <c r="A2" s="5" t="s">
        <v>8</v>
      </c>
    </row>
    <row r="3" spans="1:4" ht="19.5" customHeight="1" thickTop="1" thickBot="1">
      <c r="A3" s="1585" t="s">
        <v>387</v>
      </c>
      <c r="B3" s="1585" t="s">
        <v>388</v>
      </c>
      <c r="C3" s="1587" t="s">
        <v>389</v>
      </c>
      <c r="D3" s="1588"/>
    </row>
    <row r="4" spans="1:4" ht="33" customHeight="1" thickTop="1" thickBot="1">
      <c r="A4" s="1586"/>
      <c r="B4" s="1586"/>
      <c r="C4" s="38" t="s">
        <v>2</v>
      </c>
      <c r="D4" s="38" t="s">
        <v>390</v>
      </c>
    </row>
    <row r="5" spans="1:4" ht="18.75" customHeight="1" thickTop="1" thickBot="1">
      <c r="A5" s="132"/>
      <c r="B5" s="135"/>
      <c r="C5" s="80"/>
      <c r="D5" s="80"/>
    </row>
    <row r="6" spans="1:4" ht="18.75" customHeight="1" thickBot="1">
      <c r="A6" s="132"/>
      <c r="B6" s="135"/>
      <c r="C6" s="80"/>
      <c r="D6" s="80"/>
    </row>
    <row r="7" spans="1:4" ht="18.75" customHeight="1" thickBot="1">
      <c r="A7" s="133"/>
      <c r="B7" s="123"/>
      <c r="C7" s="80"/>
      <c r="D7" s="80"/>
    </row>
    <row r="8" spans="1:4" ht="18.75" customHeight="1" thickBot="1">
      <c r="A8" s="133"/>
      <c r="B8" s="123"/>
      <c r="C8" s="80"/>
      <c r="D8" s="80"/>
    </row>
    <row r="9" spans="1:4" ht="18.75" customHeight="1" thickBot="1">
      <c r="A9" s="133"/>
      <c r="B9" s="123"/>
      <c r="C9" s="80"/>
      <c r="D9" s="80"/>
    </row>
    <row r="10" spans="1:4" ht="18.75" customHeight="1" thickBot="1">
      <c r="A10" s="133"/>
      <c r="B10" s="123"/>
      <c r="C10" s="80"/>
      <c r="D10" s="80"/>
    </row>
    <row r="11" spans="1:4" ht="18.75" customHeight="1" thickBot="1">
      <c r="A11" s="133"/>
      <c r="B11" s="123"/>
      <c r="C11" s="80"/>
      <c r="D11" s="80"/>
    </row>
    <row r="12" spans="1:4" ht="18.75" customHeight="1" thickBot="1">
      <c r="A12" s="133"/>
      <c r="B12" s="123"/>
      <c r="C12" s="80"/>
      <c r="D12" s="80"/>
    </row>
    <row r="13" spans="1:4" ht="18.75" customHeight="1" thickBot="1">
      <c r="A13" s="132"/>
      <c r="B13" s="135"/>
      <c r="C13" s="80"/>
      <c r="D13" s="80"/>
    </row>
    <row r="14" spans="1:4" ht="18.75" customHeight="1" thickBot="1">
      <c r="A14" s="134"/>
      <c r="B14" s="124"/>
      <c r="C14" s="78"/>
      <c r="D14" s="78"/>
    </row>
    <row r="15" spans="1:4" ht="15" thickTop="1">
      <c r="A15" s="20"/>
      <c r="B15" s="20"/>
      <c r="C15" s="20"/>
      <c r="D15" s="20"/>
    </row>
    <row r="16" spans="1:4" ht="15" thickBot="1">
      <c r="A16" s="20" t="s">
        <v>391</v>
      </c>
      <c r="B16" s="20"/>
      <c r="C16" s="20"/>
      <c r="D16" s="20"/>
    </row>
    <row r="17" spans="1:4" ht="19.5" customHeight="1" thickTop="1" thickBot="1">
      <c r="A17" s="1585" t="s">
        <v>488</v>
      </c>
      <c r="B17" s="1585" t="s">
        <v>388</v>
      </c>
      <c r="C17" s="1587" t="s">
        <v>389</v>
      </c>
      <c r="D17" s="1588"/>
    </row>
    <row r="18" spans="1:4" ht="33" customHeight="1" thickTop="1" thickBot="1">
      <c r="A18" s="1586"/>
      <c r="B18" s="1586"/>
      <c r="C18" s="38" t="s">
        <v>2</v>
      </c>
      <c r="D18" s="38" t="s">
        <v>390</v>
      </c>
    </row>
    <row r="19" spans="1:4" ht="18.75" customHeight="1" thickTop="1" thickBot="1">
      <c r="A19" s="108"/>
      <c r="B19" s="123"/>
      <c r="C19" s="80"/>
      <c r="D19" s="80"/>
    </row>
    <row r="20" spans="1:4" ht="18.75" customHeight="1" thickBot="1">
      <c r="A20" s="108"/>
      <c r="B20" s="123"/>
      <c r="C20" s="80"/>
      <c r="D20" s="80"/>
    </row>
    <row r="21" spans="1:4" ht="18.75" customHeight="1" thickBot="1">
      <c r="A21" s="108"/>
      <c r="B21" s="123"/>
      <c r="C21" s="80"/>
      <c r="D21" s="80"/>
    </row>
    <row r="22" spans="1:4" ht="18.75" customHeight="1" thickBot="1">
      <c r="A22" s="108"/>
      <c r="B22" s="123"/>
      <c r="C22" s="80"/>
      <c r="D22" s="80"/>
    </row>
    <row r="23" spans="1:4" ht="18.75" customHeight="1" thickBot="1">
      <c r="A23" s="108"/>
      <c r="B23" s="123"/>
      <c r="C23" s="80"/>
      <c r="D23" s="80"/>
    </row>
    <row r="24" spans="1:4" ht="18.75" customHeight="1" thickBot="1">
      <c r="A24" s="108"/>
      <c r="B24" s="123"/>
      <c r="C24" s="80"/>
      <c r="D24" s="80"/>
    </row>
    <row r="25" spans="1:4" ht="18.75" customHeight="1" thickBot="1">
      <c r="A25" s="108"/>
      <c r="B25" s="123"/>
      <c r="C25" s="80"/>
      <c r="D25" s="80"/>
    </row>
    <row r="26" spans="1:4" ht="18.75" customHeight="1" thickBot="1">
      <c r="A26" s="108"/>
      <c r="B26" s="123"/>
      <c r="C26" s="80"/>
      <c r="D26" s="80"/>
    </row>
    <row r="27" spans="1:4" ht="18.75" customHeight="1" thickBot="1">
      <c r="A27" s="109"/>
      <c r="B27" s="124"/>
      <c r="C27" s="78"/>
      <c r="D27" s="78"/>
    </row>
    <row r="28" spans="1:4" ht="15" thickTop="1">
      <c r="A28" s="2"/>
    </row>
    <row r="29" spans="1:4">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FFFF99"/>
  </sheetPr>
  <dimension ref="A1:Y174"/>
  <sheetViews>
    <sheetView showGridLines="0" showZeros="0" zoomScaleNormal="100" workbookViewId="0">
      <selection activeCell="D1" sqref="D1"/>
    </sheetView>
  </sheetViews>
  <sheetFormatPr defaultColWidth="9.1796875" defaultRowHeight="10"/>
  <cols>
    <col min="1" max="1" width="6.81640625" style="178" customWidth="1"/>
    <col min="2" max="2" width="53.54296875" style="230" customWidth="1"/>
    <col min="3" max="3" width="5.81640625" style="178" customWidth="1"/>
    <col min="4" max="4" width="13.453125" style="178" bestFit="1" customWidth="1"/>
    <col min="5" max="5" width="14.26953125" style="178" bestFit="1" customWidth="1"/>
    <col min="6" max="6" width="13.453125" style="178" customWidth="1"/>
    <col min="7" max="7" width="15.1796875" style="178" customWidth="1"/>
    <col min="8" max="8" width="9.1796875" style="178"/>
    <col min="9" max="9" width="15.453125" style="178" customWidth="1"/>
    <col min="10" max="10" width="1.7265625" style="178" customWidth="1"/>
    <col min="11" max="11" width="26.26953125" style="178" customWidth="1"/>
    <col min="12" max="12" width="9.54296875" style="178" bestFit="1" customWidth="1"/>
    <col min="13" max="13" width="10" style="178" bestFit="1" customWidth="1"/>
    <col min="14" max="15" width="9.1796875" style="178"/>
    <col min="16" max="16" width="11" style="178" hidden="1" customWidth="1"/>
    <col min="17" max="17" width="15.1796875" style="178" hidden="1" customWidth="1"/>
    <col min="18" max="18" width="5" style="178" hidden="1" customWidth="1"/>
    <col min="19" max="19" width="7.54296875" style="178" hidden="1" customWidth="1"/>
    <col min="20" max="20" width="12.1796875" style="178" hidden="1" customWidth="1"/>
    <col min="21" max="21" width="12.54296875" style="178" hidden="1" customWidth="1"/>
    <col min="22" max="22" width="6" style="178" hidden="1" customWidth="1"/>
    <col min="23" max="23" width="6.26953125" style="178" hidden="1" customWidth="1"/>
    <col min="24" max="24" width="11.1796875" style="178" hidden="1" customWidth="1"/>
    <col min="25" max="25" width="9.1796875" style="178" hidden="1" customWidth="1"/>
    <col min="26" max="16384" width="9.1796875" style="178"/>
  </cols>
  <sheetData>
    <row r="1" spans="1:25" ht="23.25" customHeight="1">
      <c r="A1" s="1060" t="s">
        <v>497</v>
      </c>
      <c r="B1" s="936">
        <v>0</v>
      </c>
      <c r="I1" s="1102"/>
      <c r="J1" s="1103"/>
      <c r="K1" s="1104"/>
      <c r="L1" s="1105"/>
      <c r="Q1" s="1061" t="s">
        <v>496</v>
      </c>
      <c r="R1" s="1061"/>
      <c r="S1" s="1061"/>
      <c r="T1" s="1061"/>
      <c r="Y1" s="1062"/>
    </row>
    <row r="2" spans="1:25" s="185" customFormat="1" ht="12" customHeight="1">
      <c r="A2" s="180" t="s">
        <v>500</v>
      </c>
      <c r="B2" s="936" t="s">
        <v>501</v>
      </c>
      <c r="C2" s="181"/>
      <c r="D2" s="182"/>
      <c r="E2" s="183"/>
      <c r="F2" s="183"/>
      <c r="G2" s="184"/>
      <c r="I2" s="1101"/>
      <c r="J2" s="1101"/>
      <c r="K2" s="1106"/>
      <c r="L2" s="1105"/>
      <c r="P2" s="1061"/>
      <c r="Q2" s="1061" t="s">
        <v>499</v>
      </c>
      <c r="R2" s="1061"/>
      <c r="S2" s="1061"/>
      <c r="T2" s="1061"/>
      <c r="U2" s="1061"/>
      <c r="V2" s="1061"/>
      <c r="W2" s="1061"/>
      <c r="X2" s="1061"/>
      <c r="Y2" s="1063"/>
    </row>
    <row r="3" spans="1:25" ht="12" customHeight="1">
      <c r="D3" s="182"/>
      <c r="E3" s="183"/>
      <c r="F3" s="183"/>
      <c r="H3" s="1064"/>
      <c r="I3" s="1101"/>
      <c r="J3" s="1101"/>
      <c r="K3" s="1107"/>
      <c r="L3" s="1105"/>
      <c r="P3" s="1065" t="s">
        <v>502</v>
      </c>
      <c r="Q3" s="1066" t="str">
        <f>IF($K$1=$Y$4,$Y$4,"Pre-tax income")</f>
        <v>Pre-tax income</v>
      </c>
      <c r="R3" s="1067" t="str">
        <f>IF($K$1=$Y$4,$Y$4,"EBIT")</f>
        <v>EBIT</v>
      </c>
      <c r="S3" s="1067" t="str">
        <f>IF($K$1=$Y$4,$Y$4,"EBITDA")</f>
        <v>EBITDA</v>
      </c>
      <c r="T3" s="1067" t="str">
        <f>IF($K$1=$Y$4,$Y$4,"Gross Margin")</f>
        <v>Gross Margin</v>
      </c>
      <c r="U3" s="1066" t="str">
        <f>IF($K$1=$Y$4,$Y$4,"Sales revenue")</f>
        <v>Sales revenue</v>
      </c>
      <c r="V3" s="1067" t="str">
        <f>IF($K$1=$Y$4,$Y$4,"OPEX")</f>
        <v>OPEX</v>
      </c>
      <c r="W3" s="1066" t="str">
        <f>IF($K$1=$Y$4,$Y$4,"Equity")</f>
        <v>Equity</v>
      </c>
      <c r="X3" s="1066" t="str">
        <f>IF($K$1=$Y$4,$Y$4,"Total assets")</f>
        <v>Total assets</v>
      </c>
      <c r="Y3" s="1063" t="s">
        <v>506</v>
      </c>
    </row>
    <row r="4" spans="1:25" ht="12" customHeight="1">
      <c r="D4" s="182"/>
      <c r="E4" s="183"/>
      <c r="F4" s="183"/>
      <c r="H4" s="1064"/>
      <c r="I4" s="1101"/>
      <c r="J4" s="1101"/>
      <c r="K4" s="1106"/>
      <c r="L4" s="1105"/>
      <c r="P4" s="1065"/>
      <c r="Q4" s="1067" t="s">
        <v>2248</v>
      </c>
      <c r="R4" s="1066"/>
      <c r="S4" s="1066"/>
      <c r="T4" s="1066"/>
      <c r="U4" s="1066"/>
      <c r="V4" s="1066"/>
      <c r="W4" s="1066"/>
      <c r="X4" s="1066"/>
      <c r="Y4" s="1068" t="s">
        <v>502</v>
      </c>
    </row>
    <row r="5" spans="1:25" ht="13.5" customHeight="1">
      <c r="A5" s="188"/>
      <c r="B5" s="937"/>
      <c r="C5" s="189"/>
      <c r="D5" s="189"/>
      <c r="E5" s="189"/>
      <c r="F5" s="189"/>
      <c r="G5" s="189"/>
      <c r="H5" s="1064"/>
      <c r="I5" s="1101"/>
      <c r="J5" s="1101"/>
      <c r="K5" s="1108"/>
      <c r="L5" s="1105"/>
      <c r="P5" s="1061"/>
      <c r="Q5" s="1069">
        <v>0.1</v>
      </c>
      <c r="R5" s="1069">
        <v>0.1</v>
      </c>
      <c r="S5" s="1069">
        <v>0.05</v>
      </c>
      <c r="T5" s="1069">
        <v>0.04</v>
      </c>
      <c r="U5" s="1070">
        <v>0.02</v>
      </c>
      <c r="V5" s="1070">
        <v>0.02</v>
      </c>
      <c r="W5" s="1069">
        <v>0.05</v>
      </c>
      <c r="X5" s="1070">
        <v>0.02</v>
      </c>
      <c r="Y5" s="1071" t="str">
        <f t="shared" ref="Y5:Y17" si="0">IF($K$1=$Y$4,$Y$4,IF($K$1=$Q$32,Y22,IF($K$2=$Q$3,Q5,IF($K$2=$U$3,U5,IF($K$2=$W$3,W5,IF($K$2=$X$3,X5,IF($K$2=$R$3,R5,IF($K$2=$S$3,S5,IF($K$2=$T$3,T5,IF($K$2=$V$3,V5,""))))))))))</f>
        <v/>
      </c>
    </row>
    <row r="6" spans="1:25" ht="12" customHeight="1">
      <c r="C6" s="194" t="s">
        <v>507</v>
      </c>
      <c r="D6" s="195"/>
      <c r="E6" s="181"/>
      <c r="H6" s="1072"/>
      <c r="I6" s="1101"/>
      <c r="J6" s="1101"/>
      <c r="K6" s="1109"/>
      <c r="L6" s="1105"/>
      <c r="P6" s="1061"/>
      <c r="Q6" s="1069">
        <v>0.09</v>
      </c>
      <c r="R6" s="1069">
        <v>0.09</v>
      </c>
      <c r="S6" s="1069">
        <v>0.04</v>
      </c>
      <c r="T6" s="1069">
        <v>0.03</v>
      </c>
      <c r="U6" s="1070">
        <v>1.9E-2</v>
      </c>
      <c r="V6" s="1070">
        <v>1.9E-2</v>
      </c>
      <c r="W6" s="1069">
        <v>0.04</v>
      </c>
      <c r="X6" s="1070">
        <v>1.9E-2</v>
      </c>
      <c r="Y6" s="1071" t="str">
        <f t="shared" si="0"/>
        <v/>
      </c>
    </row>
    <row r="7" spans="1:25" s="199" customFormat="1" ht="12" customHeight="1">
      <c r="A7" s="196" t="s">
        <v>508</v>
      </c>
      <c r="B7" s="938" t="s">
        <v>509</v>
      </c>
      <c r="C7" s="196" t="s">
        <v>510</v>
      </c>
      <c r="D7" s="197" t="s">
        <v>511</v>
      </c>
      <c r="E7" s="197"/>
      <c r="F7" s="197"/>
      <c r="G7" s="198" t="s">
        <v>512</v>
      </c>
      <c r="I7" s="1101"/>
      <c r="J7" s="1101"/>
      <c r="K7" s="1109"/>
      <c r="L7" s="1105"/>
      <c r="P7" s="1061"/>
      <c r="Q7" s="1069">
        <v>0.08</v>
      </c>
      <c r="R7" s="1069">
        <v>0.08</v>
      </c>
      <c r="S7" s="1069">
        <v>0.03</v>
      </c>
      <c r="T7" s="1069">
        <v>0.02</v>
      </c>
      <c r="U7" s="1070">
        <v>1.7999999999999999E-2</v>
      </c>
      <c r="V7" s="1070">
        <v>1.7999999999999999E-2</v>
      </c>
      <c r="W7" s="1069">
        <v>0.03</v>
      </c>
      <c r="X7" s="1070">
        <v>1.7999999999999999E-2</v>
      </c>
      <c r="Y7" s="1071" t="str">
        <f t="shared" si="0"/>
        <v/>
      </c>
    </row>
    <row r="8" spans="1:25" s="202" customFormat="1" ht="12" customHeight="1">
      <c r="A8" s="200" t="s">
        <v>513</v>
      </c>
      <c r="B8" s="201"/>
      <c r="C8" s="200" t="s">
        <v>514</v>
      </c>
      <c r="D8" s="196" t="s">
        <v>515</v>
      </c>
      <c r="E8" s="196" t="s">
        <v>516</v>
      </c>
      <c r="F8" s="196" t="s">
        <v>517</v>
      </c>
      <c r="G8" s="196" t="s">
        <v>517</v>
      </c>
      <c r="H8" s="1073"/>
      <c r="I8" s="1105"/>
      <c r="J8" s="1110"/>
      <c r="K8" s="1110"/>
      <c r="L8" s="1110"/>
      <c r="P8" s="1061"/>
      <c r="Q8" s="1069">
        <v>7.0000000000000007E-2</v>
      </c>
      <c r="R8" s="1069">
        <v>7.0000000000000007E-2</v>
      </c>
      <c r="S8" s="1069">
        <v>0.02</v>
      </c>
      <c r="T8" s="1069">
        <v>0.01</v>
      </c>
      <c r="U8" s="1070">
        <v>1.7000000000000001E-2</v>
      </c>
      <c r="V8" s="1070">
        <v>1.7000000000000001E-2</v>
      </c>
      <c r="W8" s="1069">
        <v>0.02</v>
      </c>
      <c r="X8" s="1070">
        <v>1.7000000000000001E-2</v>
      </c>
      <c r="Y8" s="1071" t="str">
        <f t="shared" si="0"/>
        <v/>
      </c>
    </row>
    <row r="9" spans="1:25" s="199" customFormat="1" ht="12" customHeight="1">
      <c r="A9" s="203" t="s">
        <v>518</v>
      </c>
      <c r="B9" s="939" t="s">
        <v>519</v>
      </c>
      <c r="C9" s="203" t="s">
        <v>520</v>
      </c>
      <c r="D9" s="203">
        <v>1</v>
      </c>
      <c r="E9" s="203">
        <v>2</v>
      </c>
      <c r="F9" s="203">
        <v>3</v>
      </c>
      <c r="G9" s="203">
        <v>4</v>
      </c>
      <c r="H9" s="1074"/>
      <c r="P9" s="1061"/>
      <c r="Q9" s="1069">
        <v>0.06</v>
      </c>
      <c r="R9" s="1069">
        <v>0.06</v>
      </c>
      <c r="S9" s="1069"/>
      <c r="T9" s="1069"/>
      <c r="U9" s="1070">
        <v>1.6E-2</v>
      </c>
      <c r="V9" s="1070">
        <v>1.6E-2</v>
      </c>
      <c r="W9" s="1069">
        <v>0.01</v>
      </c>
      <c r="X9" s="1070">
        <v>1.6E-2</v>
      </c>
      <c r="Y9" s="1071" t="str">
        <f t="shared" si="0"/>
        <v/>
      </c>
    </row>
    <row r="10" spans="1:25" s="207" customFormat="1" ht="12" customHeight="1">
      <c r="A10" s="204"/>
      <c r="B10" s="940" t="s">
        <v>521</v>
      </c>
      <c r="C10" s="205" t="s">
        <v>522</v>
      </c>
      <c r="D10" s="1475">
        <f>D11+D42+D83</f>
        <v>5884865</v>
      </c>
      <c r="E10" s="1475">
        <f>E11+E42+E83</f>
        <v>1527933</v>
      </c>
      <c r="F10" s="1475">
        <f>F11+F42+F83</f>
        <v>4356932</v>
      </c>
      <c r="G10" s="1475">
        <v>4805868</v>
      </c>
      <c r="H10" s="206"/>
      <c r="I10" s="206"/>
      <c r="K10" s="206"/>
      <c r="L10" s="206"/>
      <c r="P10" s="1061"/>
      <c r="Q10" s="1069">
        <v>0.05</v>
      </c>
      <c r="R10" s="1069">
        <v>0.05</v>
      </c>
      <c r="S10" s="1069"/>
      <c r="T10" s="1069"/>
      <c r="U10" s="1070">
        <v>1.4999999999999999E-2</v>
      </c>
      <c r="V10" s="1070">
        <v>1.4999999999999999E-2</v>
      </c>
      <c r="W10" s="1066"/>
      <c r="X10" s="1070">
        <v>1.4999999999999999E-2</v>
      </c>
      <c r="Y10" s="1071" t="str">
        <f t="shared" si="0"/>
        <v/>
      </c>
    </row>
    <row r="11" spans="1:25" s="207" customFormat="1" ht="12" customHeight="1">
      <c r="A11" s="208" t="s">
        <v>523</v>
      </c>
      <c r="B11" s="941" t="s">
        <v>524</v>
      </c>
      <c r="C11" s="205" t="s">
        <v>525</v>
      </c>
      <c r="D11" s="877">
        <f>D12+D20+D30</f>
        <v>3150896</v>
      </c>
      <c r="E11" s="877">
        <f>E12+E20+E30</f>
        <v>1495952</v>
      </c>
      <c r="F11" s="877">
        <f>F12+F20+F30</f>
        <v>1654944</v>
      </c>
      <c r="G11" s="877">
        <v>2030208</v>
      </c>
      <c r="I11" s="206"/>
      <c r="U11" s="1070">
        <v>1.4E-2</v>
      </c>
      <c r="V11" s="1070">
        <v>1.4E-2</v>
      </c>
      <c r="X11" s="1070">
        <v>1.4E-2</v>
      </c>
      <c r="Y11" s="1071" t="str">
        <f t="shared" si="0"/>
        <v/>
      </c>
    </row>
    <row r="12" spans="1:25" s="207" customFormat="1" ht="12" customHeight="1">
      <c r="A12" s="209" t="s">
        <v>526</v>
      </c>
      <c r="B12" s="942" t="s">
        <v>527</v>
      </c>
      <c r="C12" s="205" t="s">
        <v>528</v>
      </c>
      <c r="D12" s="1475">
        <f>SUM(D13:D19)</f>
        <v>2251280</v>
      </c>
      <c r="E12" s="1475">
        <f>SUM(E13:E19)</f>
        <v>1050892</v>
      </c>
      <c r="F12" s="1475">
        <f>SUM(F13:F19)</f>
        <v>1200388</v>
      </c>
      <c r="G12" s="1475">
        <v>1524352</v>
      </c>
      <c r="H12" s="1087"/>
      <c r="I12" s="1632"/>
      <c r="J12" s="1632"/>
      <c r="K12" s="1091"/>
      <c r="L12" s="185"/>
      <c r="U12" s="1070">
        <v>1.2999999999999999E-2</v>
      </c>
      <c r="V12" s="1070">
        <v>1.2999999999999999E-2</v>
      </c>
      <c r="X12" s="1070">
        <v>1.2999999999999999E-2</v>
      </c>
      <c r="Y12" s="1071" t="str">
        <f t="shared" si="0"/>
        <v/>
      </c>
    </row>
    <row r="13" spans="1:25" s="185" customFormat="1" ht="12" customHeight="1">
      <c r="A13" s="210" t="s">
        <v>529</v>
      </c>
      <c r="B13" s="943" t="s">
        <v>530</v>
      </c>
      <c r="C13" s="211" t="s">
        <v>531</v>
      </c>
      <c r="D13" s="1470">
        <v>39396</v>
      </c>
      <c r="E13" s="1470">
        <v>23652</v>
      </c>
      <c r="F13" s="878">
        <f t="shared" ref="F13" si="1">D13-E13</f>
        <v>15744</v>
      </c>
      <c r="G13" s="1470">
        <v>23628</v>
      </c>
      <c r="H13" s="1089"/>
      <c r="I13" s="1089"/>
      <c r="J13" s="1089"/>
      <c r="K13" s="1089"/>
      <c r="M13" s="212"/>
      <c r="U13" s="1070">
        <v>1.2E-2</v>
      </c>
      <c r="V13" s="1070">
        <v>1.2E-2</v>
      </c>
      <c r="X13" s="1070">
        <v>1.2E-2</v>
      </c>
      <c r="Y13" s="1071" t="str">
        <f t="shared" si="0"/>
        <v/>
      </c>
    </row>
    <row r="14" spans="1:25" s="185" customFormat="1" ht="12" customHeight="1">
      <c r="A14" s="210" t="s">
        <v>532</v>
      </c>
      <c r="B14" s="943" t="s">
        <v>533</v>
      </c>
      <c r="C14" s="211" t="s">
        <v>534</v>
      </c>
      <c r="D14" s="1470">
        <v>0</v>
      </c>
      <c r="E14" s="1470">
        <v>0</v>
      </c>
      <c r="F14" s="1470">
        <v>0</v>
      </c>
      <c r="G14" s="1474">
        <v>0</v>
      </c>
      <c r="H14" s="1089"/>
      <c r="I14" s="1111"/>
      <c r="J14" s="1112"/>
      <c r="K14" s="1089"/>
      <c r="U14" s="1070">
        <v>1.0999999999999999E-2</v>
      </c>
      <c r="V14" s="1070">
        <v>1.0999999999999999E-2</v>
      </c>
      <c r="X14" s="1070">
        <v>1.0999999999999999E-2</v>
      </c>
      <c r="Y14" s="1071" t="str">
        <f t="shared" si="0"/>
        <v/>
      </c>
    </row>
    <row r="15" spans="1:25" s="185" customFormat="1" ht="12" customHeight="1">
      <c r="A15" s="210" t="s">
        <v>535</v>
      </c>
      <c r="B15" s="943" t="s">
        <v>536</v>
      </c>
      <c r="C15" s="211" t="s">
        <v>537</v>
      </c>
      <c r="D15" s="1470">
        <v>0</v>
      </c>
      <c r="E15" s="1470">
        <v>0</v>
      </c>
      <c r="F15" s="1470">
        <v>0</v>
      </c>
      <c r="G15" s="1470">
        <v>0</v>
      </c>
      <c r="H15" s="1089"/>
      <c r="I15" s="1113"/>
      <c r="J15" s="1114"/>
      <c r="K15" s="1089"/>
      <c r="U15" s="1070">
        <v>0.01</v>
      </c>
      <c r="V15" s="1070">
        <v>0.01</v>
      </c>
      <c r="X15" s="1070">
        <v>0.01</v>
      </c>
      <c r="Y15" s="1071" t="str">
        <f t="shared" si="0"/>
        <v/>
      </c>
    </row>
    <row r="16" spans="1:25" s="185" customFormat="1" ht="12" customHeight="1">
      <c r="A16" s="210" t="s">
        <v>538</v>
      </c>
      <c r="B16" s="943" t="s">
        <v>539</v>
      </c>
      <c r="C16" s="211" t="s">
        <v>540</v>
      </c>
      <c r="D16" s="1470">
        <v>2211884</v>
      </c>
      <c r="E16" s="1470">
        <v>1027240</v>
      </c>
      <c r="F16" s="878">
        <f t="shared" ref="F16" si="2">D16-E16</f>
        <v>1184644</v>
      </c>
      <c r="G16" s="1470">
        <v>1500724</v>
      </c>
      <c r="H16" s="1089"/>
      <c r="I16" s="206"/>
      <c r="J16" s="1114"/>
      <c r="K16" s="1089"/>
      <c r="U16" s="1070">
        <v>8.9999999999999993E-3</v>
      </c>
      <c r="V16" s="1070">
        <v>8.9999999999999993E-3</v>
      </c>
      <c r="X16" s="1070">
        <v>8.9999999999999993E-3</v>
      </c>
      <c r="Y16" s="1071" t="str">
        <f t="shared" si="0"/>
        <v/>
      </c>
    </row>
    <row r="17" spans="1:25" s="185" customFormat="1" ht="12" customHeight="1">
      <c r="A17" s="210" t="s">
        <v>541</v>
      </c>
      <c r="B17" s="944" t="s">
        <v>2249</v>
      </c>
      <c r="C17" s="211" t="s">
        <v>543</v>
      </c>
      <c r="D17" s="1470">
        <v>0</v>
      </c>
      <c r="E17" s="1470">
        <v>0</v>
      </c>
      <c r="F17" s="1470">
        <v>0</v>
      </c>
      <c r="G17" s="1470">
        <v>0</v>
      </c>
      <c r="H17" s="1089"/>
      <c r="I17" s="1113"/>
      <c r="J17" s="1114"/>
      <c r="K17" s="1089"/>
      <c r="U17" s="1070">
        <v>8.0000000000000002E-3</v>
      </c>
      <c r="V17" s="1070">
        <v>8.0000000000000002E-3</v>
      </c>
      <c r="X17" s="1070">
        <v>8.0000000000000002E-3</v>
      </c>
      <c r="Y17" s="1071" t="str">
        <f t="shared" si="0"/>
        <v/>
      </c>
    </row>
    <row r="18" spans="1:25" s="185" customFormat="1" ht="12" customHeight="1">
      <c r="A18" s="210" t="s">
        <v>544</v>
      </c>
      <c r="B18" s="943" t="s">
        <v>545</v>
      </c>
      <c r="C18" s="211" t="s">
        <v>546</v>
      </c>
      <c r="D18" s="1470">
        <v>0</v>
      </c>
      <c r="E18" s="1470">
        <v>0</v>
      </c>
      <c r="F18" s="1470">
        <v>0</v>
      </c>
      <c r="G18" s="1470">
        <v>0</v>
      </c>
      <c r="H18" s="1089"/>
      <c r="I18" s="1113"/>
      <c r="J18" s="1114"/>
      <c r="K18" s="1089"/>
      <c r="U18" s="1070">
        <v>7.0000000000000001E-3</v>
      </c>
      <c r="V18" s="1070">
        <v>7.0000000000000001E-3</v>
      </c>
      <c r="X18" s="1070">
        <v>7.0000000000000001E-3</v>
      </c>
      <c r="Y18" s="1071" t="str">
        <f>IF($K$1=$Y$4,$Y$4,IF($K$1=$Q$32,Y37,IF($K$2=$Q$3,Q18,IF($K$2=$U$3,U18,IF($K$2=$W$3,W18,IF($K$2=$X$3,X18,IF($K$2=$R$3,R18,IF($K$2=$S$3,S18,IF($K$2=$T$3,T18,IF($K$2=$V$3,V18,""))))))))))</f>
        <v/>
      </c>
    </row>
    <row r="19" spans="1:25" s="185" customFormat="1" ht="12" customHeight="1">
      <c r="A19" s="210" t="s">
        <v>547</v>
      </c>
      <c r="B19" s="943" t="s">
        <v>548</v>
      </c>
      <c r="C19" s="211" t="s">
        <v>549</v>
      </c>
      <c r="D19" s="1470">
        <v>0</v>
      </c>
      <c r="E19" s="1470">
        <v>0</v>
      </c>
      <c r="F19" s="1470">
        <v>0</v>
      </c>
      <c r="G19" s="1470">
        <v>0</v>
      </c>
      <c r="H19" s="1089"/>
      <c r="I19" s="1113"/>
      <c r="J19" s="1114"/>
      <c r="K19" s="1089"/>
      <c r="U19" s="1070">
        <v>6.0000000000000001E-3</v>
      </c>
      <c r="V19" s="1070">
        <v>6.0000000000000001E-3</v>
      </c>
      <c r="X19" s="1070">
        <v>6.0000000000000001E-3</v>
      </c>
      <c r="Y19" s="1071" t="str">
        <f>IF($K$1=$Y$4,$Y$4,IF($K$1=$Q$32,Y38,IF($K$2=$Q$3,Q19,IF($K$2=$U$3,U19,IF($K$2=$W$3,W19,IF($K$2=$X$3,X19,IF($K$2=$R$3,R19,IF($K$2=$S$3,S19,IF($K$2=$T$3,T19,IF($K$2=$V$3,V19,""))))))))))</f>
        <v/>
      </c>
    </row>
    <row r="20" spans="1:25" s="207" customFormat="1" ht="12" customHeight="1">
      <c r="A20" s="1075" t="s">
        <v>550</v>
      </c>
      <c r="B20" s="942" t="s">
        <v>551</v>
      </c>
      <c r="C20" s="205" t="s">
        <v>552</v>
      </c>
      <c r="D20" s="1475">
        <f>SUM(D21:D29)</f>
        <v>899616</v>
      </c>
      <c r="E20" s="1475">
        <f t="shared" ref="E20:G20" si="3">SUM(E21:E29)</f>
        <v>445060</v>
      </c>
      <c r="F20" s="1475">
        <f t="shared" si="3"/>
        <v>454556</v>
      </c>
      <c r="G20" s="1475">
        <f t="shared" si="3"/>
        <v>505856</v>
      </c>
      <c r="H20" s="1087"/>
      <c r="I20" s="1635"/>
      <c r="J20" s="1635"/>
      <c r="K20" s="1635"/>
      <c r="U20" s="1070">
        <v>5.0000000000000001E-3</v>
      </c>
      <c r="V20" s="1070">
        <v>5.0000000000000001E-3</v>
      </c>
      <c r="X20" s="1070">
        <v>5.0000000000000001E-3</v>
      </c>
      <c r="Y20" s="1071" t="str">
        <f>IF($K$1=$Y$4,$Y$4,IF($K$1=$Q$32,Y40,IF($K$2=$Q$3,Q20,IF($K$2=$U$3,U20,IF($K$2=$W$3,W20,IF($K$2=$X$3,X20,IF($K$2=$R$3,R20,IF($K$2=$S$3,S20,IF($K$2=$T$3,T20,IF($K$2=$V$3,V20,""))))))))))</f>
        <v/>
      </c>
    </row>
    <row r="21" spans="1:25" s="185" customFormat="1" ht="12" customHeight="1">
      <c r="A21" s="1076" t="s">
        <v>553</v>
      </c>
      <c r="B21" s="943" t="s">
        <v>554</v>
      </c>
      <c r="C21" s="211" t="s">
        <v>555</v>
      </c>
      <c r="D21" s="1470">
        <v>0</v>
      </c>
      <c r="E21" s="1470">
        <v>0</v>
      </c>
      <c r="F21" s="1470">
        <v>0</v>
      </c>
      <c r="G21" s="1470">
        <v>0</v>
      </c>
      <c r="H21" s="1089"/>
      <c r="I21" s="1115"/>
      <c r="J21" s="1115"/>
      <c r="K21" s="1089"/>
      <c r="Q21" s="1067" t="s">
        <v>2250</v>
      </c>
      <c r="R21" s="207"/>
      <c r="S21" s="207"/>
      <c r="T21" s="207"/>
      <c r="V21" s="207"/>
      <c r="W21" s="207"/>
      <c r="X21" s="207"/>
      <c r="Y21" s="1077"/>
    </row>
    <row r="22" spans="1:25" s="185" customFormat="1" ht="12" customHeight="1">
      <c r="A22" s="210" t="s">
        <v>532</v>
      </c>
      <c r="B22" s="943" t="s">
        <v>556</v>
      </c>
      <c r="C22" s="211" t="s">
        <v>557</v>
      </c>
      <c r="D22" s="1470">
        <v>374726</v>
      </c>
      <c r="E22" s="1470">
        <v>43087</v>
      </c>
      <c r="F22" s="878">
        <f t="shared" ref="F22:F23" si="4">D22-E22</f>
        <v>331639</v>
      </c>
      <c r="G22" s="1470">
        <v>358240</v>
      </c>
      <c r="H22" s="1089"/>
      <c r="I22" s="1115"/>
      <c r="J22" s="1115"/>
      <c r="K22" s="1089"/>
      <c r="Q22" s="1069">
        <v>0.08</v>
      </c>
      <c r="R22" s="1069">
        <v>0.08</v>
      </c>
      <c r="S22" s="1078">
        <v>0.03</v>
      </c>
      <c r="T22" s="1078">
        <v>0.02</v>
      </c>
      <c r="U22" s="1070">
        <v>0.01</v>
      </c>
      <c r="V22" s="1070">
        <v>0.01</v>
      </c>
      <c r="W22" s="1078">
        <v>0.02</v>
      </c>
      <c r="X22" s="1070">
        <v>0.01</v>
      </c>
      <c r="Y22" s="1071" t="str">
        <f t="shared" ref="Y22:Y28" si="5">IF($K$2=$Q$3,Q22,IF($K$2=$U$3,U22,IF($K$2=$W$3,W22,IF($K$2=$X$3,X22,IF($K$2=$R$3,R22,IF($K$2=$S$3,S22,IF($K$2=$T$3,T22,IF($K$2=$V$3,V22,""))))))))</f>
        <v/>
      </c>
    </row>
    <row r="23" spans="1:25" s="185" customFormat="1" ht="12" customHeight="1">
      <c r="A23" s="210" t="s">
        <v>535</v>
      </c>
      <c r="B23" s="943" t="s">
        <v>558</v>
      </c>
      <c r="C23" s="211" t="s">
        <v>559</v>
      </c>
      <c r="D23" s="1470">
        <v>521446</v>
      </c>
      <c r="E23" s="1473">
        <v>401973</v>
      </c>
      <c r="F23" s="878">
        <f t="shared" si="4"/>
        <v>119473</v>
      </c>
      <c r="G23" s="1470">
        <v>147616</v>
      </c>
      <c r="H23" s="1089"/>
      <c r="I23" s="206"/>
      <c r="J23" s="1089"/>
      <c r="K23" s="1089"/>
      <c r="Q23" s="1069">
        <v>7.0000000000000007E-2</v>
      </c>
      <c r="R23" s="1069">
        <v>7.0000000000000007E-2</v>
      </c>
      <c r="S23" s="1078">
        <v>2.75E-2</v>
      </c>
      <c r="T23" s="1078">
        <v>1.7500000000000002E-2</v>
      </c>
      <c r="U23" s="1070">
        <v>8.9999999999999993E-3</v>
      </c>
      <c r="V23" s="1070">
        <v>8.9999999999999993E-3</v>
      </c>
      <c r="W23" s="1078">
        <v>1.7500000000000002E-2</v>
      </c>
      <c r="X23" s="1070">
        <v>8.9999999999999993E-3</v>
      </c>
      <c r="Y23" s="1071" t="str">
        <f t="shared" si="5"/>
        <v/>
      </c>
    </row>
    <row r="24" spans="1:25" s="185" customFormat="1" ht="12" customHeight="1">
      <c r="A24" s="210" t="s">
        <v>538</v>
      </c>
      <c r="B24" s="943" t="s">
        <v>560</v>
      </c>
      <c r="C24" s="211" t="s">
        <v>561</v>
      </c>
      <c r="D24" s="1470">
        <v>0</v>
      </c>
      <c r="E24" s="1470">
        <v>0</v>
      </c>
      <c r="F24" s="1470">
        <v>0</v>
      </c>
      <c r="G24" s="1473">
        <v>0</v>
      </c>
      <c r="H24" s="1089"/>
      <c r="I24" s="1113"/>
      <c r="J24" s="1089"/>
      <c r="K24" s="1089"/>
      <c r="Q24" s="1069">
        <v>0.06</v>
      </c>
      <c r="R24" s="1069">
        <v>0.06</v>
      </c>
      <c r="S24" s="1078">
        <v>2.5000000000000001E-2</v>
      </c>
      <c r="T24" s="1078">
        <v>1.4999999999999999E-2</v>
      </c>
      <c r="U24" s="1070">
        <v>8.0000000000000002E-3</v>
      </c>
      <c r="V24" s="1070">
        <v>8.0000000000000002E-3</v>
      </c>
      <c r="W24" s="1078">
        <v>1.4999999999999999E-2</v>
      </c>
      <c r="X24" s="1070">
        <v>8.0000000000000002E-3</v>
      </c>
      <c r="Y24" s="1071" t="str">
        <f t="shared" si="5"/>
        <v/>
      </c>
    </row>
    <row r="25" spans="1:25" s="185" customFormat="1" ht="12" customHeight="1">
      <c r="A25" s="210" t="s">
        <v>541</v>
      </c>
      <c r="B25" s="943" t="s">
        <v>562</v>
      </c>
      <c r="C25" s="211" t="s">
        <v>563</v>
      </c>
      <c r="D25" s="1470">
        <v>0</v>
      </c>
      <c r="E25" s="1470">
        <v>0</v>
      </c>
      <c r="F25" s="1470">
        <v>0</v>
      </c>
      <c r="G25" s="1473">
        <v>0</v>
      </c>
      <c r="H25" s="1089"/>
      <c r="I25" s="1113"/>
      <c r="J25" s="1089"/>
      <c r="K25" s="1089"/>
      <c r="Q25" s="1069">
        <v>0.05</v>
      </c>
      <c r="R25" s="1069">
        <v>0.05</v>
      </c>
      <c r="S25" s="1078">
        <v>2.2499999999999999E-2</v>
      </c>
      <c r="T25" s="1078">
        <v>1.2500000000000001E-2</v>
      </c>
      <c r="U25" s="1070">
        <v>7.0000000000000001E-3</v>
      </c>
      <c r="V25" s="1070">
        <v>7.0000000000000001E-3</v>
      </c>
      <c r="W25" s="1078">
        <v>1.2500000000000001E-2</v>
      </c>
      <c r="X25" s="1070">
        <v>7.0000000000000001E-3</v>
      </c>
      <c r="Y25" s="1071" t="str">
        <f t="shared" si="5"/>
        <v/>
      </c>
    </row>
    <row r="26" spans="1:25" s="185" customFormat="1" ht="12" customHeight="1">
      <c r="A26" s="210" t="s">
        <v>544</v>
      </c>
      <c r="B26" s="944" t="s">
        <v>2636</v>
      </c>
      <c r="C26" s="211" t="s">
        <v>565</v>
      </c>
      <c r="D26" s="1473">
        <v>0</v>
      </c>
      <c r="E26" s="1473">
        <v>0</v>
      </c>
      <c r="F26" s="1470">
        <v>0</v>
      </c>
      <c r="G26" s="1473">
        <v>0</v>
      </c>
      <c r="H26" s="1089"/>
      <c r="I26" s="1113"/>
      <c r="J26" s="1089"/>
      <c r="K26" s="1089"/>
      <c r="Q26" s="1069"/>
      <c r="R26" s="1069"/>
      <c r="S26" s="1078">
        <v>0.02</v>
      </c>
      <c r="T26" s="1078">
        <v>0.01</v>
      </c>
      <c r="U26" s="1070">
        <v>6.0000000000000001E-3</v>
      </c>
      <c r="V26" s="1070">
        <v>6.0000000000000001E-3</v>
      </c>
      <c r="W26" s="1078">
        <v>0.01</v>
      </c>
      <c r="X26" s="1070">
        <v>6.0000000000000001E-3</v>
      </c>
      <c r="Y26" s="1071" t="str">
        <f t="shared" si="5"/>
        <v/>
      </c>
    </row>
    <row r="27" spans="1:25" s="185" customFormat="1" ht="12" customHeight="1">
      <c r="A27" s="210" t="s">
        <v>547</v>
      </c>
      <c r="B27" s="943" t="s">
        <v>566</v>
      </c>
      <c r="C27" s="211" t="s">
        <v>567</v>
      </c>
      <c r="D27" s="1470">
        <v>3444</v>
      </c>
      <c r="E27" s="1470">
        <v>0</v>
      </c>
      <c r="F27" s="1470">
        <v>3444</v>
      </c>
      <c r="G27" s="1470"/>
      <c r="H27" s="1089"/>
      <c r="I27" s="206"/>
      <c r="J27" s="1089"/>
      <c r="K27" s="1089"/>
      <c r="Q27" s="1069"/>
      <c r="R27" s="1069"/>
      <c r="S27" s="1078"/>
      <c r="T27" s="1069"/>
      <c r="U27" s="1070">
        <v>5.0000000000000001E-3</v>
      </c>
      <c r="V27" s="1070">
        <v>5.0000000000000001E-3</v>
      </c>
      <c r="W27" s="1066"/>
      <c r="X27" s="1070">
        <v>5.0000000000000001E-3</v>
      </c>
      <c r="Y27" s="1071" t="str">
        <f t="shared" si="5"/>
        <v/>
      </c>
    </row>
    <row r="28" spans="1:25" s="185" customFormat="1" ht="12" customHeight="1">
      <c r="A28" s="210" t="s">
        <v>568</v>
      </c>
      <c r="B28" s="943" t="s">
        <v>569</v>
      </c>
      <c r="C28" s="211" t="s">
        <v>570</v>
      </c>
      <c r="D28" s="1470">
        <v>0</v>
      </c>
      <c r="E28" s="1470">
        <v>0</v>
      </c>
      <c r="F28" s="1470">
        <v>0</v>
      </c>
      <c r="G28" s="1470">
        <v>0</v>
      </c>
      <c r="H28" s="1089"/>
      <c r="I28" s="1113"/>
      <c r="J28" s="1089"/>
      <c r="K28" s="1089"/>
      <c r="Y28" s="1071" t="str">
        <f t="shared" si="5"/>
        <v/>
      </c>
    </row>
    <row r="29" spans="1:25" s="185" customFormat="1" ht="12" customHeight="1">
      <c r="A29" s="210" t="s">
        <v>571</v>
      </c>
      <c r="B29" s="943" t="s">
        <v>572</v>
      </c>
      <c r="C29" s="211" t="s">
        <v>573</v>
      </c>
      <c r="D29" s="1470">
        <v>0</v>
      </c>
      <c r="E29" s="1470">
        <v>0</v>
      </c>
      <c r="F29" s="1470">
        <v>0</v>
      </c>
      <c r="G29" s="1470">
        <v>0</v>
      </c>
      <c r="H29" s="1089"/>
      <c r="I29" s="1113"/>
      <c r="J29" s="1089"/>
      <c r="K29" s="1089"/>
      <c r="Y29" s="1079"/>
    </row>
    <row r="30" spans="1:25" s="207" customFormat="1" ht="12" customHeight="1">
      <c r="A30" s="1075" t="s">
        <v>574</v>
      </c>
      <c r="B30" s="942" t="s">
        <v>2252</v>
      </c>
      <c r="C30" s="205" t="s">
        <v>576</v>
      </c>
      <c r="D30" s="1475">
        <v>0</v>
      </c>
      <c r="E30" s="1475">
        <v>0</v>
      </c>
      <c r="F30" s="1475">
        <v>0</v>
      </c>
      <c r="G30" s="1475">
        <v>0</v>
      </c>
      <c r="H30" s="1087"/>
      <c r="I30" s="1631"/>
      <c r="J30" s="1631"/>
      <c r="K30" s="1091"/>
      <c r="Q30" s="185" t="s">
        <v>2253</v>
      </c>
      <c r="R30" s="185"/>
      <c r="S30" s="185"/>
      <c r="Y30" s="1077"/>
    </row>
    <row r="31" spans="1:25" s="185" customFormat="1" ht="12" customHeight="1">
      <c r="A31" s="1076" t="s">
        <v>577</v>
      </c>
      <c r="B31" s="943" t="s">
        <v>2652</v>
      </c>
      <c r="C31" s="211" t="s">
        <v>579</v>
      </c>
      <c r="D31" s="1470">
        <v>0</v>
      </c>
      <c r="E31" s="1470">
        <v>0</v>
      </c>
      <c r="F31" s="1470">
        <v>0</v>
      </c>
      <c r="G31" s="1470">
        <v>0</v>
      </c>
      <c r="H31" s="1089"/>
      <c r="I31" s="1115"/>
      <c r="J31" s="1116"/>
      <c r="K31" s="1117"/>
      <c r="L31" s="1080"/>
      <c r="M31" s="1080"/>
      <c r="N31" s="1080"/>
      <c r="Q31" s="1065" t="s">
        <v>502</v>
      </c>
      <c r="Y31" s="1079"/>
    </row>
    <row r="32" spans="1:25" s="185" customFormat="1" ht="12" customHeight="1">
      <c r="A32" s="210" t="s">
        <v>532</v>
      </c>
      <c r="B32" s="943" t="s">
        <v>2653</v>
      </c>
      <c r="C32" s="211" t="s">
        <v>581</v>
      </c>
      <c r="D32" s="1470">
        <v>0</v>
      </c>
      <c r="E32" s="1470">
        <v>0</v>
      </c>
      <c r="F32" s="1470">
        <v>0</v>
      </c>
      <c r="G32" s="1470">
        <v>0</v>
      </c>
      <c r="H32" s="1089"/>
      <c r="I32" s="1115"/>
      <c r="J32" s="1118"/>
      <c r="K32" s="1117"/>
      <c r="L32" s="1080"/>
      <c r="M32" s="1080"/>
      <c r="N32" s="1080"/>
      <c r="Q32" s="185" t="s">
        <v>2254</v>
      </c>
      <c r="Y32" s="1079"/>
    </row>
    <row r="33" spans="1:25" s="185" customFormat="1" ht="12" customHeight="1">
      <c r="A33" s="210" t="s">
        <v>535</v>
      </c>
      <c r="B33" s="943" t="s">
        <v>2255</v>
      </c>
      <c r="C33" s="211" t="s">
        <v>583</v>
      </c>
      <c r="D33" s="1470">
        <v>0</v>
      </c>
      <c r="E33" s="1470">
        <v>0</v>
      </c>
      <c r="F33" s="1470">
        <v>0</v>
      </c>
      <c r="G33" s="1470">
        <v>0</v>
      </c>
      <c r="H33" s="1089"/>
      <c r="I33" s="1089"/>
      <c r="J33" s="1119"/>
      <c r="K33" s="1117"/>
      <c r="L33" s="1081"/>
      <c r="M33" s="1081"/>
      <c r="N33" s="1080"/>
      <c r="Q33" s="185" t="s">
        <v>2256</v>
      </c>
      <c r="Y33" s="1079"/>
    </row>
    <row r="34" spans="1:25" s="185" customFormat="1" ht="12" customHeight="1">
      <c r="A34" s="210" t="s">
        <v>538</v>
      </c>
      <c r="B34" s="1082" t="s">
        <v>2654</v>
      </c>
      <c r="C34" s="211" t="s">
        <v>585</v>
      </c>
      <c r="D34" s="1470">
        <v>0</v>
      </c>
      <c r="E34" s="1470">
        <v>0</v>
      </c>
      <c r="F34" s="1470">
        <v>0</v>
      </c>
      <c r="G34" s="1470">
        <v>0</v>
      </c>
      <c r="H34" s="1089"/>
      <c r="I34" s="1089"/>
      <c r="J34" s="1119"/>
      <c r="K34" s="1117"/>
      <c r="L34" s="1080"/>
      <c r="M34" s="1080"/>
      <c r="N34" s="1080"/>
    </row>
    <row r="35" spans="1:25" s="185" customFormat="1" ht="12" customHeight="1">
      <c r="A35" s="210" t="s">
        <v>541</v>
      </c>
      <c r="B35" s="1082" t="s">
        <v>2655</v>
      </c>
      <c r="C35" s="211" t="s">
        <v>587</v>
      </c>
      <c r="D35" s="1470">
        <v>0</v>
      </c>
      <c r="E35" s="1470">
        <v>0</v>
      </c>
      <c r="F35" s="1470">
        <v>0</v>
      </c>
      <c r="G35" s="1470">
        <v>0</v>
      </c>
      <c r="H35" s="1089"/>
      <c r="I35" s="1089"/>
      <c r="J35" s="1119"/>
      <c r="K35" s="1117"/>
      <c r="L35" s="1080"/>
      <c r="M35" s="1080"/>
      <c r="N35" s="1080"/>
    </row>
    <row r="36" spans="1:25" s="185" customFormat="1" ht="12" customHeight="1">
      <c r="A36" s="210">
        <v>6</v>
      </c>
      <c r="B36" s="1082" t="s">
        <v>2257</v>
      </c>
      <c r="C36" s="211" t="s">
        <v>589</v>
      </c>
      <c r="D36" s="1470">
        <v>0</v>
      </c>
      <c r="E36" s="1470">
        <v>0</v>
      </c>
      <c r="F36" s="1470">
        <v>0</v>
      </c>
      <c r="G36" s="1470">
        <v>0</v>
      </c>
      <c r="H36" s="1089"/>
      <c r="I36" s="1089"/>
      <c r="J36" s="1120"/>
      <c r="K36" s="1117"/>
      <c r="L36" s="1083"/>
      <c r="M36" s="1083"/>
      <c r="N36" s="1080"/>
    </row>
    <row r="37" spans="1:25" s="185" customFormat="1" ht="12" customHeight="1">
      <c r="A37" s="210" t="s">
        <v>547</v>
      </c>
      <c r="B37" s="1084" t="s">
        <v>2258</v>
      </c>
      <c r="C37" s="211" t="s">
        <v>591</v>
      </c>
      <c r="D37" s="1470">
        <v>0</v>
      </c>
      <c r="E37" s="1470">
        <v>0</v>
      </c>
      <c r="F37" s="1470">
        <v>0</v>
      </c>
      <c r="G37" s="1470">
        <v>0</v>
      </c>
      <c r="H37" s="1089"/>
      <c r="I37" s="1113"/>
      <c r="J37" s="1089"/>
      <c r="K37" s="1089"/>
    </row>
    <row r="38" spans="1:25" s="185" customFormat="1" ht="12" customHeight="1">
      <c r="A38" s="210" t="s">
        <v>568</v>
      </c>
      <c r="B38" s="1084" t="s">
        <v>2259</v>
      </c>
      <c r="C38" s="211" t="s">
        <v>593</v>
      </c>
      <c r="D38" s="1470">
        <v>0</v>
      </c>
      <c r="E38" s="1470">
        <v>0</v>
      </c>
      <c r="F38" s="1470">
        <v>0</v>
      </c>
      <c r="G38" s="1470">
        <v>0</v>
      </c>
      <c r="H38" s="1121"/>
      <c r="I38" s="1113"/>
      <c r="J38" s="1089"/>
      <c r="K38" s="1089"/>
    </row>
    <row r="39" spans="1:25" s="185" customFormat="1" ht="12" customHeight="1">
      <c r="A39" s="210" t="s">
        <v>571</v>
      </c>
      <c r="B39" s="1084" t="s">
        <v>657</v>
      </c>
      <c r="C39" s="211" t="s">
        <v>596</v>
      </c>
      <c r="D39" s="1470"/>
      <c r="E39" s="1470">
        <v>0</v>
      </c>
      <c r="F39" s="1470">
        <v>0</v>
      </c>
      <c r="G39" s="1470">
        <v>0</v>
      </c>
      <c r="H39" s="1121"/>
      <c r="I39" s="1113"/>
      <c r="J39" s="1089"/>
      <c r="K39" s="1089"/>
    </row>
    <row r="40" spans="1:25" s="185" customFormat="1" ht="12" customHeight="1">
      <c r="A40" s="210" t="s">
        <v>758</v>
      </c>
      <c r="B40" s="943" t="s">
        <v>590</v>
      </c>
      <c r="C40" s="211" t="s">
        <v>599</v>
      </c>
      <c r="D40" s="1470">
        <v>0</v>
      </c>
      <c r="E40" s="1470">
        <v>0</v>
      </c>
      <c r="F40" s="1470">
        <v>0</v>
      </c>
      <c r="G40" s="1470">
        <v>0</v>
      </c>
      <c r="H40" s="1089"/>
      <c r="I40" s="1113"/>
      <c r="J40" s="1089"/>
      <c r="K40" s="1089"/>
    </row>
    <row r="41" spans="1:25" s="185" customFormat="1" ht="12" customHeight="1">
      <c r="A41" s="210" t="s">
        <v>761</v>
      </c>
      <c r="B41" s="943" t="s">
        <v>592</v>
      </c>
      <c r="C41" s="211" t="s">
        <v>602</v>
      </c>
      <c r="D41" s="1470">
        <v>0</v>
      </c>
      <c r="E41" s="1470">
        <v>0</v>
      </c>
      <c r="F41" s="1470">
        <v>0</v>
      </c>
      <c r="G41" s="1470">
        <v>0</v>
      </c>
      <c r="H41" s="1089"/>
      <c r="I41" s="1113"/>
      <c r="J41" s="1089"/>
      <c r="K41" s="1089"/>
    </row>
    <row r="42" spans="1:25" s="207" customFormat="1" ht="12" customHeight="1">
      <c r="A42" s="1075" t="s">
        <v>594</v>
      </c>
      <c r="B42" s="941" t="s">
        <v>2260</v>
      </c>
      <c r="C42" s="205" t="s">
        <v>604</v>
      </c>
      <c r="D42" s="1475">
        <f>D43+D62+D80</f>
        <v>2725791</v>
      </c>
      <c r="E42" s="1475">
        <f t="shared" ref="E42:G42" si="6">E43+E62+E80</f>
        <v>31981</v>
      </c>
      <c r="F42" s="1475">
        <f t="shared" si="6"/>
        <v>2693810</v>
      </c>
      <c r="G42" s="1475">
        <f t="shared" si="6"/>
        <v>2769602</v>
      </c>
      <c r="H42" s="1091"/>
      <c r="I42" s="206"/>
      <c r="J42" s="1091"/>
      <c r="K42" s="1091"/>
    </row>
    <row r="43" spans="1:25" s="207" customFormat="1" ht="12" customHeight="1">
      <c r="A43" s="209" t="s">
        <v>597</v>
      </c>
      <c r="B43" s="942" t="s">
        <v>2261</v>
      </c>
      <c r="C43" s="205" t="s">
        <v>606</v>
      </c>
      <c r="D43" s="1475">
        <f>SUM(D44:D49)</f>
        <v>983058</v>
      </c>
      <c r="E43" s="1475">
        <f t="shared" ref="E43:G43" si="7">SUM(E44:E49)</f>
        <v>22786</v>
      </c>
      <c r="F43" s="1475">
        <f t="shared" si="7"/>
        <v>960272</v>
      </c>
      <c r="G43" s="1475">
        <f t="shared" si="7"/>
        <v>1028966</v>
      </c>
      <c r="H43" s="1087"/>
      <c r="I43" s="1632"/>
      <c r="J43" s="1632"/>
      <c r="K43" s="1091"/>
    </row>
    <row r="44" spans="1:25" s="185" customFormat="1" ht="12" customHeight="1">
      <c r="A44" s="1076" t="s">
        <v>600</v>
      </c>
      <c r="B44" s="943" t="s">
        <v>601</v>
      </c>
      <c r="C44" s="211" t="s">
        <v>608</v>
      </c>
      <c r="D44" s="1470">
        <v>548015</v>
      </c>
      <c r="E44" s="1470">
        <v>22786</v>
      </c>
      <c r="F44" s="1470">
        <f>D44-E44</f>
        <v>525229</v>
      </c>
      <c r="G44" s="1470">
        <v>487487</v>
      </c>
      <c r="H44" s="1089"/>
      <c r="I44" s="206"/>
      <c r="J44" s="1115"/>
      <c r="K44" s="1089"/>
    </row>
    <row r="45" spans="1:25" s="185" customFormat="1" ht="12" customHeight="1">
      <c r="A45" s="210" t="s">
        <v>532</v>
      </c>
      <c r="B45" s="944" t="s">
        <v>603</v>
      </c>
      <c r="C45" s="211" t="s">
        <v>610</v>
      </c>
      <c r="D45" s="1470">
        <v>0</v>
      </c>
      <c r="E45" s="1470">
        <v>0</v>
      </c>
      <c r="F45" s="1470">
        <f t="shared" ref="F45:F48" si="8">D45-E45</f>
        <v>0</v>
      </c>
      <c r="G45" s="1470">
        <v>3950</v>
      </c>
      <c r="H45" s="1089"/>
      <c r="I45" s="1113"/>
      <c r="J45" s="1089"/>
      <c r="K45" s="1089"/>
    </row>
    <row r="46" spans="1:25" s="185" customFormat="1" ht="12" customHeight="1">
      <c r="A46" s="210" t="s">
        <v>535</v>
      </c>
      <c r="B46" s="943" t="s">
        <v>605</v>
      </c>
      <c r="C46" s="211" t="s">
        <v>612</v>
      </c>
      <c r="D46" s="1470">
        <v>5542</v>
      </c>
      <c r="E46" s="1470">
        <v>0</v>
      </c>
      <c r="F46" s="1470">
        <f t="shared" si="8"/>
        <v>5542</v>
      </c>
      <c r="G46" s="1470">
        <v>2326</v>
      </c>
      <c r="H46" s="1089"/>
      <c r="I46" s="206"/>
      <c r="J46" s="1089"/>
      <c r="K46" s="1089"/>
    </row>
    <row r="47" spans="1:25" s="185" customFormat="1" ht="12" customHeight="1">
      <c r="A47" s="210" t="s">
        <v>538</v>
      </c>
      <c r="B47" s="943" t="s">
        <v>607</v>
      </c>
      <c r="C47" s="211" t="s">
        <v>615</v>
      </c>
      <c r="D47" s="1470">
        <v>0</v>
      </c>
      <c r="E47" s="1470">
        <v>0</v>
      </c>
      <c r="F47" s="1470">
        <v>0</v>
      </c>
      <c r="G47" s="1470">
        <v>0</v>
      </c>
      <c r="H47" s="1089"/>
      <c r="I47" s="1113"/>
      <c r="J47" s="1089"/>
      <c r="K47" s="1089"/>
    </row>
    <row r="48" spans="1:25" s="185" customFormat="1" ht="12" customHeight="1">
      <c r="A48" s="210" t="s">
        <v>541</v>
      </c>
      <c r="B48" s="944" t="s">
        <v>2262</v>
      </c>
      <c r="C48" s="211" t="s">
        <v>618</v>
      </c>
      <c r="D48" s="1470">
        <v>429501</v>
      </c>
      <c r="E48" s="1470">
        <v>0</v>
      </c>
      <c r="F48" s="1470">
        <f t="shared" si="8"/>
        <v>429501</v>
      </c>
      <c r="G48" s="1470">
        <v>535203</v>
      </c>
      <c r="H48" s="1089"/>
      <c r="I48" s="206"/>
      <c r="J48" s="1089"/>
      <c r="K48" s="1089"/>
    </row>
    <row r="49" spans="1:15" s="185" customFormat="1" ht="12" customHeight="1">
      <c r="A49" s="210" t="s">
        <v>544</v>
      </c>
      <c r="B49" s="943" t="s">
        <v>611</v>
      </c>
      <c r="C49" s="211" t="s">
        <v>620</v>
      </c>
      <c r="D49" s="1471">
        <v>0</v>
      </c>
      <c r="E49" s="1471">
        <v>0</v>
      </c>
      <c r="F49" s="1471">
        <v>0</v>
      </c>
      <c r="G49" s="1470">
        <v>0</v>
      </c>
      <c r="H49" s="1089"/>
      <c r="I49" s="1113"/>
      <c r="J49" s="1089"/>
      <c r="K49" s="1089"/>
    </row>
    <row r="50" spans="1:15" s="207" customFormat="1" ht="12" customHeight="1">
      <c r="A50" s="1075" t="s">
        <v>613</v>
      </c>
      <c r="B50" s="942" t="s">
        <v>2263</v>
      </c>
      <c r="C50" s="205" t="s">
        <v>622</v>
      </c>
      <c r="D50" s="1475">
        <v>0</v>
      </c>
      <c r="E50" s="1475">
        <v>0</v>
      </c>
      <c r="F50" s="1475">
        <v>0</v>
      </c>
      <c r="G50" s="1475"/>
      <c r="H50" s="1087"/>
      <c r="I50" s="1634"/>
      <c r="J50" s="1634"/>
      <c r="K50" s="1634"/>
    </row>
    <row r="51" spans="1:15" s="185" customFormat="1" ht="12" customHeight="1">
      <c r="A51" s="1076" t="s">
        <v>616</v>
      </c>
      <c r="B51" s="1084" t="s">
        <v>2264</v>
      </c>
      <c r="C51" s="211" t="s">
        <v>624</v>
      </c>
      <c r="D51" s="1476">
        <v>0</v>
      </c>
      <c r="E51" s="1476">
        <v>0</v>
      </c>
      <c r="F51" s="1476">
        <v>0</v>
      </c>
      <c r="G51" s="1476"/>
      <c r="H51" s="1088"/>
      <c r="I51" s="1113"/>
      <c r="J51" s="1089"/>
      <c r="K51" s="1122"/>
      <c r="L51" s="1633"/>
      <c r="M51" s="1633"/>
      <c r="N51" s="1633"/>
      <c r="O51" s="1633"/>
    </row>
    <row r="52" spans="1:15" s="185" customFormat="1" ht="12" customHeight="1">
      <c r="A52" s="1076" t="s">
        <v>2265</v>
      </c>
      <c r="B52" s="1417" t="s">
        <v>2641</v>
      </c>
      <c r="C52" s="211" t="s">
        <v>626</v>
      </c>
      <c r="D52" s="1476">
        <v>0</v>
      </c>
      <c r="E52" s="1476">
        <v>0</v>
      </c>
      <c r="F52" s="1476">
        <v>0</v>
      </c>
      <c r="G52" s="1476"/>
      <c r="H52" s="1088"/>
      <c r="I52" s="1113"/>
      <c r="J52" s="1089"/>
      <c r="K52" s="1123"/>
      <c r="L52" s="1081"/>
      <c r="M52" s="1081"/>
      <c r="N52" s="1081"/>
      <c r="O52" s="1081"/>
    </row>
    <row r="53" spans="1:15" s="185" customFormat="1" ht="12" customHeight="1">
      <c r="A53" s="1076" t="s">
        <v>2266</v>
      </c>
      <c r="B53" s="1417" t="s">
        <v>2642</v>
      </c>
      <c r="C53" s="211" t="s">
        <v>628</v>
      </c>
      <c r="D53" s="1476">
        <v>0</v>
      </c>
      <c r="E53" s="1476">
        <v>0</v>
      </c>
      <c r="F53" s="1476">
        <v>0</v>
      </c>
      <c r="G53" s="1476"/>
      <c r="H53" s="1088"/>
      <c r="I53" s="1113"/>
      <c r="J53" s="1089"/>
      <c r="K53" s="1123"/>
      <c r="L53" s="1080"/>
      <c r="M53" s="1080"/>
      <c r="N53" s="1080"/>
      <c r="O53" s="1080"/>
    </row>
    <row r="54" spans="1:15" s="185" customFormat="1" ht="12" customHeight="1">
      <c r="A54" s="1076" t="s">
        <v>2267</v>
      </c>
      <c r="B54" s="1417" t="s">
        <v>2268</v>
      </c>
      <c r="C54" s="211" t="s">
        <v>630</v>
      </c>
      <c r="D54" s="1476">
        <v>0</v>
      </c>
      <c r="E54" s="1476">
        <v>0</v>
      </c>
      <c r="F54" s="1476">
        <v>0</v>
      </c>
      <c r="G54" s="1476"/>
      <c r="H54" s="1088"/>
      <c r="I54" s="1113"/>
      <c r="J54" s="1089"/>
      <c r="K54" s="1123"/>
      <c r="L54" s="1080"/>
      <c r="M54" s="1080"/>
      <c r="N54" s="1080"/>
      <c r="O54" s="1080"/>
    </row>
    <row r="55" spans="1:15" s="185" customFormat="1" ht="12" customHeight="1">
      <c r="A55" s="217" t="s">
        <v>532</v>
      </c>
      <c r="B55" s="945" t="s">
        <v>619</v>
      </c>
      <c r="C55" s="218" t="s">
        <v>633</v>
      </c>
      <c r="D55" s="1476">
        <v>0</v>
      </c>
      <c r="E55" s="1476">
        <v>0</v>
      </c>
      <c r="F55" s="1476">
        <v>0</v>
      </c>
      <c r="G55" s="1476"/>
      <c r="H55" s="1088"/>
      <c r="I55" s="1113"/>
      <c r="J55" s="1089"/>
      <c r="K55" s="1123"/>
      <c r="L55" s="1080"/>
      <c r="M55" s="1080"/>
      <c r="N55" s="1080"/>
      <c r="O55" s="1080"/>
    </row>
    <row r="56" spans="1:15" s="185" customFormat="1" ht="12" customHeight="1">
      <c r="A56" s="210" t="s">
        <v>535</v>
      </c>
      <c r="B56" s="1082" t="s">
        <v>2656</v>
      </c>
      <c r="C56" s="211" t="s">
        <v>636</v>
      </c>
      <c r="D56" s="1476">
        <v>0</v>
      </c>
      <c r="E56" s="1476">
        <v>0</v>
      </c>
      <c r="F56" s="1476">
        <v>0</v>
      </c>
      <c r="G56" s="1476"/>
      <c r="H56" s="1121"/>
      <c r="I56" s="1113"/>
      <c r="J56" s="1089"/>
      <c r="K56" s="1124"/>
      <c r="L56" s="1086"/>
      <c r="M56" s="1086"/>
      <c r="N56" s="1086"/>
      <c r="O56" s="1086"/>
    </row>
    <row r="57" spans="1:15" s="185" customFormat="1" ht="12" customHeight="1">
      <c r="A57" s="210" t="s">
        <v>538</v>
      </c>
      <c r="B57" s="1082" t="s">
        <v>2657</v>
      </c>
      <c r="C57" s="211" t="s">
        <v>637</v>
      </c>
      <c r="D57" s="1476">
        <v>0</v>
      </c>
      <c r="E57" s="1476">
        <v>0</v>
      </c>
      <c r="F57" s="1476">
        <v>0</v>
      </c>
      <c r="G57" s="1476"/>
      <c r="H57" s="1121"/>
      <c r="I57" s="1113"/>
      <c r="J57" s="1089"/>
      <c r="K57" s="1117"/>
      <c r="L57" s="1080"/>
      <c r="M57" s="1080"/>
      <c r="N57" s="1080"/>
      <c r="O57" s="1080"/>
    </row>
    <row r="58" spans="1:15" s="185" customFormat="1" ht="12" customHeight="1">
      <c r="A58" s="210" t="s">
        <v>541</v>
      </c>
      <c r="B58" s="944" t="s">
        <v>625</v>
      </c>
      <c r="C58" s="211" t="s">
        <v>639</v>
      </c>
      <c r="D58" s="1476">
        <v>0</v>
      </c>
      <c r="E58" s="1476">
        <v>0</v>
      </c>
      <c r="F58" s="1476">
        <v>0</v>
      </c>
      <c r="G58" s="1476"/>
      <c r="H58" s="1088"/>
      <c r="I58" s="1113"/>
      <c r="J58" s="1089"/>
      <c r="K58" s="1117"/>
      <c r="L58" s="1080"/>
      <c r="M58" s="1080"/>
      <c r="N58" s="1080"/>
      <c r="O58" s="1080"/>
    </row>
    <row r="59" spans="1:15" s="185" customFormat="1" ht="12" customHeight="1">
      <c r="A59" s="210" t="s">
        <v>544</v>
      </c>
      <c r="B59" s="1084" t="s">
        <v>2269</v>
      </c>
      <c r="C59" s="211" t="s">
        <v>640</v>
      </c>
      <c r="D59" s="1476">
        <v>0</v>
      </c>
      <c r="E59" s="1476">
        <v>0</v>
      </c>
      <c r="F59" s="1476">
        <v>0</v>
      </c>
      <c r="G59" s="1476"/>
      <c r="H59" s="1088"/>
      <c r="I59" s="1113"/>
      <c r="J59" s="1089"/>
      <c r="K59" s="1089"/>
    </row>
    <row r="60" spans="1:15" s="185" customFormat="1" ht="12" customHeight="1">
      <c r="A60" s="210" t="s">
        <v>547</v>
      </c>
      <c r="B60" s="1084" t="s">
        <v>2270</v>
      </c>
      <c r="C60" s="211" t="s">
        <v>642</v>
      </c>
      <c r="D60" s="1476">
        <v>0</v>
      </c>
      <c r="E60" s="1476">
        <v>0</v>
      </c>
      <c r="F60" s="1476">
        <v>0</v>
      </c>
      <c r="G60" s="1476"/>
      <c r="H60" s="1088"/>
      <c r="I60" s="1113"/>
      <c r="J60" s="1089"/>
      <c r="K60" s="1089"/>
    </row>
    <row r="61" spans="1:15" s="185" customFormat="1" ht="12" customHeight="1">
      <c r="A61" s="210" t="s">
        <v>568</v>
      </c>
      <c r="B61" s="943" t="s">
        <v>629</v>
      </c>
      <c r="C61" s="211" t="s">
        <v>644</v>
      </c>
      <c r="D61" s="1476"/>
      <c r="E61" s="1476">
        <v>0</v>
      </c>
      <c r="F61" s="1476"/>
      <c r="G61" s="1476"/>
      <c r="H61" s="1089"/>
      <c r="I61" s="1089"/>
      <c r="J61" s="1089"/>
      <c r="K61" s="1089"/>
    </row>
    <row r="62" spans="1:15" s="207" customFormat="1" ht="12" customHeight="1">
      <c r="A62" s="1075" t="s">
        <v>631</v>
      </c>
      <c r="B62" s="942" t="s">
        <v>2271</v>
      </c>
      <c r="C62" s="205" t="s">
        <v>646</v>
      </c>
      <c r="D62" s="1475">
        <f>D63+D72+D74</f>
        <v>644749</v>
      </c>
      <c r="E62" s="1475">
        <f>E63+E72+E74</f>
        <v>9195</v>
      </c>
      <c r="F62" s="1475">
        <f>F63+F72+F74</f>
        <v>635554</v>
      </c>
      <c r="G62" s="1475">
        <f>G63+G72+G74</f>
        <v>1440723</v>
      </c>
      <c r="H62" s="1087"/>
      <c r="I62" s="1634"/>
      <c r="J62" s="1634"/>
      <c r="K62" s="1634"/>
    </row>
    <row r="63" spans="1:15" s="185" customFormat="1" ht="12" customHeight="1">
      <c r="A63" s="1076" t="s">
        <v>634</v>
      </c>
      <c r="B63" s="1084" t="s">
        <v>2272</v>
      </c>
      <c r="C63" s="211" t="s">
        <v>648</v>
      </c>
      <c r="D63" s="1476">
        <v>625303</v>
      </c>
      <c r="E63" s="1476"/>
      <c r="F63" s="1476">
        <f>D63-E63</f>
        <v>625303</v>
      </c>
      <c r="G63" s="1476">
        <v>1395498</v>
      </c>
      <c r="H63" s="1087"/>
      <c r="I63" s="206"/>
      <c r="J63" s="1089"/>
      <c r="K63" s="1089"/>
    </row>
    <row r="64" spans="1:15" s="185" customFormat="1" ht="12" customHeight="1">
      <c r="A64" s="1076" t="s">
        <v>2265</v>
      </c>
      <c r="B64" s="1417" t="s">
        <v>2641</v>
      </c>
      <c r="C64" s="211" t="s">
        <v>651</v>
      </c>
      <c r="D64" s="1476">
        <v>0</v>
      </c>
      <c r="E64" s="1476">
        <v>0</v>
      </c>
      <c r="F64" s="1476">
        <f>D64-E64</f>
        <v>0</v>
      </c>
      <c r="G64" s="1476">
        <v>134342</v>
      </c>
      <c r="H64" s="1087"/>
      <c r="I64" s="1089"/>
      <c r="J64" s="1089"/>
      <c r="K64" s="1089"/>
    </row>
    <row r="65" spans="1:15" s="185" customFormat="1" ht="12" customHeight="1">
      <c r="A65" s="1076" t="s">
        <v>2266</v>
      </c>
      <c r="B65" s="1417" t="s">
        <v>2642</v>
      </c>
      <c r="C65" s="211" t="s">
        <v>654</v>
      </c>
      <c r="D65" s="1476">
        <v>0</v>
      </c>
      <c r="E65" s="1476">
        <v>0</v>
      </c>
      <c r="F65" s="1476">
        <v>0</v>
      </c>
      <c r="G65" s="1476">
        <v>0</v>
      </c>
      <c r="H65" s="1087"/>
      <c r="I65" s="1089"/>
      <c r="J65" s="1089"/>
      <c r="K65" s="1089"/>
    </row>
    <row r="66" spans="1:15" s="185" customFormat="1" ht="12" customHeight="1">
      <c r="A66" s="1076" t="s">
        <v>2267</v>
      </c>
      <c r="B66" s="1417" t="s">
        <v>2268</v>
      </c>
      <c r="C66" s="211" t="s">
        <v>656</v>
      </c>
      <c r="D66" s="1476">
        <f>D63-D64</f>
        <v>625303</v>
      </c>
      <c r="E66" s="1476"/>
      <c r="F66" s="1476">
        <f>D66-E66</f>
        <v>625303</v>
      </c>
      <c r="G66" s="1476">
        <v>1261156</v>
      </c>
      <c r="H66" s="1087"/>
      <c r="I66" s="206"/>
      <c r="J66" s="1089"/>
      <c r="K66" s="1117"/>
      <c r="L66" s="1080"/>
      <c r="M66" s="1080"/>
      <c r="N66" s="1080"/>
      <c r="O66" s="1080"/>
    </row>
    <row r="67" spans="1:15" s="185" customFormat="1" ht="12" customHeight="1">
      <c r="A67" s="217" t="s">
        <v>532</v>
      </c>
      <c r="B67" s="945" t="s">
        <v>619</v>
      </c>
      <c r="C67" s="218" t="s">
        <v>658</v>
      </c>
      <c r="D67" s="1476">
        <v>0</v>
      </c>
      <c r="E67" s="1476">
        <v>0</v>
      </c>
      <c r="F67" s="1476">
        <v>0</v>
      </c>
      <c r="G67" s="1476">
        <v>0</v>
      </c>
      <c r="H67" s="1087"/>
      <c r="I67" s="1115"/>
      <c r="J67" s="1115"/>
      <c r="K67" s="1122"/>
      <c r="L67" s="1633"/>
      <c r="M67" s="1633"/>
      <c r="N67" s="1633"/>
      <c r="O67" s="1633"/>
    </row>
    <row r="68" spans="1:15" s="185" customFormat="1" ht="12" customHeight="1">
      <c r="A68" s="210" t="s">
        <v>535</v>
      </c>
      <c r="B68" s="1082" t="s">
        <v>2656</v>
      </c>
      <c r="C68" s="211" t="s">
        <v>660</v>
      </c>
      <c r="D68" s="1476">
        <v>0</v>
      </c>
      <c r="E68" s="1476">
        <v>0</v>
      </c>
      <c r="F68" s="1476">
        <v>0</v>
      </c>
      <c r="G68" s="1476">
        <v>0</v>
      </c>
      <c r="H68" s="1121"/>
      <c r="I68" s="1632"/>
      <c r="J68" s="1632"/>
      <c r="K68" s="1123"/>
      <c r="L68" s="1081"/>
      <c r="M68" s="1081"/>
      <c r="N68" s="1081"/>
      <c r="O68" s="1081"/>
    </row>
    <row r="69" spans="1:15" s="185" customFormat="1" ht="12" customHeight="1">
      <c r="A69" s="210" t="s">
        <v>538</v>
      </c>
      <c r="B69" s="1082" t="s">
        <v>2657</v>
      </c>
      <c r="C69" s="211" t="s">
        <v>662</v>
      </c>
      <c r="D69" s="1476">
        <v>0</v>
      </c>
      <c r="E69" s="1476">
        <v>0</v>
      </c>
      <c r="F69" s="1476">
        <v>0</v>
      </c>
      <c r="G69" s="1476">
        <v>0</v>
      </c>
      <c r="H69" s="1121"/>
      <c r="I69" s="1632"/>
      <c r="J69" s="1632"/>
      <c r="K69" s="1123"/>
      <c r="L69" s="1080"/>
      <c r="M69" s="1080"/>
      <c r="N69" s="1080"/>
      <c r="O69" s="1080"/>
    </row>
    <row r="70" spans="1:15" s="185" customFormat="1" ht="12" customHeight="1">
      <c r="A70" s="210" t="s">
        <v>541</v>
      </c>
      <c r="B70" s="944" t="s">
        <v>641</v>
      </c>
      <c r="C70" s="211" t="s">
        <v>665</v>
      </c>
      <c r="D70" s="1476">
        <v>0</v>
      </c>
      <c r="E70" s="1476">
        <v>0</v>
      </c>
      <c r="F70" s="1476">
        <v>0</v>
      </c>
      <c r="G70" s="1476">
        <v>0</v>
      </c>
      <c r="H70" s="1088"/>
      <c r="I70" s="1632"/>
      <c r="J70" s="1632"/>
      <c r="K70" s="1123"/>
      <c r="L70" s="1080"/>
      <c r="M70" s="1080"/>
      <c r="N70" s="1080"/>
      <c r="O70" s="1080"/>
    </row>
    <row r="71" spans="1:15" s="185" customFormat="1" ht="12" customHeight="1">
      <c r="A71" s="210" t="s">
        <v>544</v>
      </c>
      <c r="B71" s="943" t="s">
        <v>2273</v>
      </c>
      <c r="C71" s="211" t="s">
        <v>668</v>
      </c>
      <c r="D71" s="1476">
        <v>0</v>
      </c>
      <c r="E71" s="1476">
        <v>0</v>
      </c>
      <c r="F71" s="1476">
        <v>0</v>
      </c>
      <c r="G71" s="1476">
        <v>0</v>
      </c>
      <c r="H71" s="1087"/>
      <c r="I71" s="1632"/>
      <c r="J71" s="1632"/>
      <c r="K71" s="1124"/>
      <c r="L71" s="1086"/>
      <c r="M71" s="1086"/>
      <c r="N71" s="1086"/>
      <c r="O71" s="1086"/>
    </row>
    <row r="72" spans="1:15" s="185" customFormat="1" ht="12" customHeight="1">
      <c r="A72" s="210" t="s">
        <v>547</v>
      </c>
      <c r="B72" s="1082" t="s">
        <v>2274</v>
      </c>
      <c r="C72" s="211" t="s">
        <v>670</v>
      </c>
      <c r="D72" s="1476">
        <v>0</v>
      </c>
      <c r="E72" s="1476">
        <v>0</v>
      </c>
      <c r="F72" s="1476">
        <f>D72-E72</f>
        <v>0</v>
      </c>
      <c r="G72" s="1476">
        <v>41600</v>
      </c>
      <c r="H72" s="1089"/>
      <c r="I72" s="1632"/>
      <c r="J72" s="1632"/>
      <c r="K72" s="1089"/>
      <c r="L72" s="1090">
        <f>SUM(L69:L71)-D67</f>
        <v>0</v>
      </c>
      <c r="M72" s="1090">
        <f>SUM(M69:M71)-D79</f>
        <v>0</v>
      </c>
      <c r="N72" s="1090">
        <f>SUM(N69:N71)-G67</f>
        <v>0</v>
      </c>
      <c r="O72" s="1090"/>
    </row>
    <row r="73" spans="1:15" s="185" customFormat="1" ht="12" customHeight="1">
      <c r="A73" s="210" t="s">
        <v>568</v>
      </c>
      <c r="B73" s="1082" t="s">
        <v>2269</v>
      </c>
      <c r="C73" s="211" t="s">
        <v>672</v>
      </c>
      <c r="D73" s="1476">
        <v>0</v>
      </c>
      <c r="E73" s="1476">
        <v>0</v>
      </c>
      <c r="F73" s="1476">
        <v>0</v>
      </c>
      <c r="G73" s="1476">
        <v>0</v>
      </c>
      <c r="H73" s="1089"/>
      <c r="I73" s="1632"/>
      <c r="J73" s="1632"/>
      <c r="K73" s="1089"/>
    </row>
    <row r="74" spans="1:15" s="185" customFormat="1" ht="12" customHeight="1">
      <c r="A74" s="210" t="s">
        <v>571</v>
      </c>
      <c r="B74" s="1082" t="s">
        <v>2275</v>
      </c>
      <c r="C74" s="211" t="s">
        <v>674</v>
      </c>
      <c r="D74" s="1476">
        <v>19446</v>
      </c>
      <c r="E74" s="1476">
        <v>9195</v>
      </c>
      <c r="F74" s="1476">
        <f>D74-E74</f>
        <v>10251</v>
      </c>
      <c r="G74" s="1476">
        <v>3625</v>
      </c>
      <c r="H74" s="1091"/>
      <c r="I74" s="1632"/>
      <c r="J74" s="1632"/>
      <c r="K74" s="1089"/>
    </row>
    <row r="75" spans="1:15" s="207" customFormat="1" ht="12" customHeight="1">
      <c r="A75" s="1075" t="s">
        <v>649</v>
      </c>
      <c r="B75" s="942" t="s">
        <v>2276</v>
      </c>
      <c r="C75" s="205" t="s">
        <v>681</v>
      </c>
      <c r="D75" s="1475">
        <v>0</v>
      </c>
      <c r="E75" s="1475">
        <v>0</v>
      </c>
      <c r="F75" s="1475">
        <v>0</v>
      </c>
      <c r="G75" s="1475">
        <v>0</v>
      </c>
      <c r="H75" s="1087"/>
      <c r="I75" s="1631"/>
      <c r="J75" s="1631"/>
      <c r="K75" s="1118"/>
      <c r="L75" s="1080"/>
      <c r="M75" s="1080"/>
      <c r="N75" s="1080"/>
    </row>
    <row r="76" spans="1:15" s="207" customFormat="1" ht="12" customHeight="1">
      <c r="A76" s="1076" t="s">
        <v>652</v>
      </c>
      <c r="B76" s="1082" t="s">
        <v>2658</v>
      </c>
      <c r="C76" s="211" t="s">
        <v>683</v>
      </c>
      <c r="D76" s="1470">
        <v>0</v>
      </c>
      <c r="E76" s="1470">
        <v>0</v>
      </c>
      <c r="F76" s="1473">
        <v>0</v>
      </c>
      <c r="G76" s="1470">
        <v>0</v>
      </c>
      <c r="H76" s="1089"/>
      <c r="I76" s="1115"/>
      <c r="J76" s="1115"/>
      <c r="K76" s="1119"/>
      <c r="L76" s="1080"/>
      <c r="M76" s="1081"/>
      <c r="N76" s="1081"/>
    </row>
    <row r="77" spans="1:15" s="185" customFormat="1" ht="12" customHeight="1">
      <c r="A77" s="210" t="s">
        <v>532</v>
      </c>
      <c r="B77" s="1082" t="s">
        <v>2659</v>
      </c>
      <c r="C77" s="211" t="s">
        <v>685</v>
      </c>
      <c r="D77" s="1470">
        <v>0</v>
      </c>
      <c r="E77" s="1470"/>
      <c r="F77" s="1470">
        <v>0</v>
      </c>
      <c r="G77" s="1470">
        <v>0</v>
      </c>
      <c r="H77" s="1091"/>
      <c r="I77" s="1115"/>
      <c r="J77" s="1115"/>
      <c r="K77" s="1119"/>
      <c r="L77" s="1080"/>
      <c r="M77" s="1080"/>
      <c r="N77" s="1080"/>
    </row>
    <row r="78" spans="1:15" s="185" customFormat="1" ht="12" customHeight="1">
      <c r="A78" s="210" t="s">
        <v>535</v>
      </c>
      <c r="B78" s="1082" t="s">
        <v>2277</v>
      </c>
      <c r="C78" s="211" t="s">
        <v>687</v>
      </c>
      <c r="D78" s="1470">
        <v>0</v>
      </c>
      <c r="E78" s="1470">
        <v>0</v>
      </c>
      <c r="F78" s="1470"/>
      <c r="G78" s="1470">
        <v>0</v>
      </c>
      <c r="H78" s="1089"/>
      <c r="I78" s="1113"/>
      <c r="J78" s="1089"/>
      <c r="K78" s="1119"/>
      <c r="L78" s="1080"/>
      <c r="M78" s="1080"/>
      <c r="N78" s="1080"/>
    </row>
    <row r="79" spans="1:15" s="185" customFormat="1" ht="12" customHeight="1">
      <c r="A79" s="210" t="s">
        <v>538</v>
      </c>
      <c r="B79" s="1082" t="s">
        <v>2278</v>
      </c>
      <c r="C79" s="211" t="s">
        <v>689</v>
      </c>
      <c r="D79" s="1470">
        <v>0</v>
      </c>
      <c r="E79" s="1470">
        <v>0</v>
      </c>
      <c r="F79" s="1470">
        <v>0</v>
      </c>
      <c r="G79" s="1470">
        <v>0</v>
      </c>
      <c r="H79" s="1089"/>
      <c r="I79" s="1113"/>
      <c r="J79" s="1089"/>
      <c r="K79" s="1120"/>
      <c r="L79" s="1080"/>
      <c r="M79" s="1083"/>
      <c r="N79" s="1083"/>
    </row>
    <row r="80" spans="1:15" s="207" customFormat="1" ht="12" customHeight="1">
      <c r="A80" s="1075" t="s">
        <v>787</v>
      </c>
      <c r="B80" s="942" t="s">
        <v>2279</v>
      </c>
      <c r="C80" s="205" t="s">
        <v>691</v>
      </c>
      <c r="D80" s="1475">
        <f>SUM(D81:D82)</f>
        <v>1097984</v>
      </c>
      <c r="E80" s="1475">
        <v>0</v>
      </c>
      <c r="F80" s="1475">
        <f>SUM(F81:F82)</f>
        <v>1097984</v>
      </c>
      <c r="G80" s="1475">
        <f>SUM(G81:G82)</f>
        <v>299913</v>
      </c>
      <c r="H80" s="1087"/>
      <c r="I80" s="1631"/>
      <c r="J80" s="1631"/>
      <c r="K80" s="1091"/>
    </row>
    <row r="81" spans="1:12" s="207" customFormat="1" ht="12" customHeight="1">
      <c r="A81" s="1076" t="s">
        <v>790</v>
      </c>
      <c r="B81" s="1082" t="s">
        <v>653</v>
      </c>
      <c r="C81" s="211" t="s">
        <v>693</v>
      </c>
      <c r="D81" s="1470">
        <v>354</v>
      </c>
      <c r="E81" s="1470">
        <v>0</v>
      </c>
      <c r="F81" s="1476">
        <f t="shared" ref="F81:F82" si="9">D81-E81</f>
        <v>354</v>
      </c>
      <c r="G81" s="1470">
        <v>1088</v>
      </c>
      <c r="H81" s="1089"/>
      <c r="I81" s="1115"/>
      <c r="J81" s="1115"/>
      <c r="K81" s="1091"/>
    </row>
    <row r="82" spans="1:12" s="185" customFormat="1" ht="12" customHeight="1">
      <c r="A82" s="210" t="s">
        <v>532</v>
      </c>
      <c r="B82" s="1082" t="s">
        <v>655</v>
      </c>
      <c r="C82" s="211" t="s">
        <v>695</v>
      </c>
      <c r="D82" s="1470">
        <v>1097630</v>
      </c>
      <c r="E82" s="1470">
        <v>0</v>
      </c>
      <c r="F82" s="1476">
        <f t="shared" si="9"/>
        <v>1097630</v>
      </c>
      <c r="G82" s="1470">
        <v>298825</v>
      </c>
      <c r="H82" s="1091"/>
      <c r="I82" s="206"/>
      <c r="J82" s="1115"/>
      <c r="K82" s="1089"/>
    </row>
    <row r="83" spans="1:12" s="207" customFormat="1" ht="12" customHeight="1">
      <c r="A83" s="1075" t="s">
        <v>663</v>
      </c>
      <c r="B83" s="942" t="s">
        <v>2280</v>
      </c>
      <c r="C83" s="205" t="s">
        <v>697</v>
      </c>
      <c r="D83" s="1475">
        <f>SUM(D84:D87)</f>
        <v>8178</v>
      </c>
      <c r="E83" s="1475">
        <v>0</v>
      </c>
      <c r="F83" s="1475">
        <f>SUM(F84:F87)</f>
        <v>8178</v>
      </c>
      <c r="G83" s="1475">
        <f>SUM(G84:G87)</f>
        <v>6058</v>
      </c>
      <c r="H83" s="1087"/>
      <c r="I83" s="1631"/>
      <c r="J83" s="1631"/>
      <c r="K83" s="1631"/>
    </row>
    <row r="84" spans="1:12" s="185" customFormat="1" ht="12" customHeight="1">
      <c r="A84" s="1076" t="s">
        <v>666</v>
      </c>
      <c r="B84" s="943" t="s">
        <v>667</v>
      </c>
      <c r="C84" s="211" t="s">
        <v>699</v>
      </c>
      <c r="D84" s="1477">
        <v>0</v>
      </c>
      <c r="E84" s="1472">
        <v>0</v>
      </c>
      <c r="F84" s="1473">
        <v>0</v>
      </c>
      <c r="G84" s="1472"/>
      <c r="H84" s="1089"/>
      <c r="I84" s="1115"/>
      <c r="J84" s="1115"/>
      <c r="K84" s="1089"/>
    </row>
    <row r="85" spans="1:12" s="185" customFormat="1" ht="12" customHeight="1">
      <c r="A85" s="210" t="s">
        <v>532</v>
      </c>
      <c r="B85" s="944" t="s">
        <v>669</v>
      </c>
      <c r="C85" s="211" t="s">
        <v>701</v>
      </c>
      <c r="D85" s="1473">
        <v>8178</v>
      </c>
      <c r="E85" s="1473">
        <v>0</v>
      </c>
      <c r="F85" s="1476">
        <f>D85-E85</f>
        <v>8178</v>
      </c>
      <c r="G85" s="1473">
        <v>6058</v>
      </c>
      <c r="H85" s="1089"/>
      <c r="I85" s="1089"/>
      <c r="J85" s="1089"/>
      <c r="K85" s="1089"/>
      <c r="L85" s="1089"/>
    </row>
    <row r="86" spans="1:12" s="185" customFormat="1" ht="12" customHeight="1">
      <c r="A86" s="210" t="s">
        <v>535</v>
      </c>
      <c r="B86" s="943" t="s">
        <v>671</v>
      </c>
      <c r="C86" s="211" t="s">
        <v>703</v>
      </c>
      <c r="D86" s="1470">
        <v>0</v>
      </c>
      <c r="E86" s="1473">
        <v>0</v>
      </c>
      <c r="F86" s="1470">
        <v>0</v>
      </c>
      <c r="G86" s="1470">
        <v>0</v>
      </c>
      <c r="H86" s="1089"/>
      <c r="I86" s="1115"/>
      <c r="J86" s="1115"/>
      <c r="K86" s="1089"/>
    </row>
    <row r="87" spans="1:12" s="185" customFormat="1" ht="12" customHeight="1">
      <c r="A87" s="210" t="s">
        <v>538</v>
      </c>
      <c r="B87" s="943" t="s">
        <v>673</v>
      </c>
      <c r="C87" s="211" t="s">
        <v>705</v>
      </c>
      <c r="D87" s="1470">
        <v>0</v>
      </c>
      <c r="E87" s="1470">
        <v>0</v>
      </c>
      <c r="F87" s="1470">
        <v>0</v>
      </c>
      <c r="G87" s="1470">
        <v>0</v>
      </c>
      <c r="H87" s="1089"/>
      <c r="I87" s="1115"/>
      <c r="J87" s="1115"/>
      <c r="K87" s="1089"/>
    </row>
    <row r="88" spans="1:12" s="185" customFormat="1" ht="12" hidden="1" customHeight="1">
      <c r="A88" s="219"/>
      <c r="B88" s="947" t="s">
        <v>2281</v>
      </c>
      <c r="C88" s="220">
        <v>888</v>
      </c>
      <c r="D88" s="1092">
        <f>(SUM(D10:D87))</f>
        <v>24156585</v>
      </c>
      <c r="E88" s="1092">
        <f t="shared" ref="E88:G88" si="10">(SUM(E10:E87))</f>
        <v>6111732</v>
      </c>
      <c r="F88" s="1092">
        <f t="shared" si="10"/>
        <v>18044853</v>
      </c>
      <c r="G88" s="1092">
        <f t="shared" si="10"/>
        <v>20612912</v>
      </c>
      <c r="H88" s="1089"/>
      <c r="I88" s="1113"/>
      <c r="J88" s="1089"/>
      <c r="K88" s="1089"/>
    </row>
    <row r="89" spans="1:12" s="185" customFormat="1" ht="12" customHeight="1">
      <c r="A89" s="221"/>
      <c r="B89" s="230"/>
      <c r="D89" s="222"/>
      <c r="E89" s="222"/>
      <c r="F89" s="222"/>
      <c r="G89" s="222"/>
    </row>
    <row r="90" spans="1:12" s="185" customFormat="1" ht="12" customHeight="1">
      <c r="A90" s="221"/>
      <c r="B90" s="230"/>
      <c r="D90" s="222"/>
      <c r="E90" s="222"/>
      <c r="F90" s="222"/>
      <c r="G90" s="222"/>
    </row>
    <row r="91" spans="1:12" s="185" customFormat="1" ht="12" customHeight="1">
      <c r="A91" s="223" t="s">
        <v>508</v>
      </c>
      <c r="B91" s="948" t="s">
        <v>676</v>
      </c>
      <c r="C91" s="223" t="s">
        <v>510</v>
      </c>
      <c r="D91" s="224" t="s">
        <v>677</v>
      </c>
      <c r="E91" s="224" t="s">
        <v>678</v>
      </c>
      <c r="F91" s="225"/>
      <c r="G91" s="225"/>
    </row>
    <row r="92" spans="1:12" s="185" customFormat="1" ht="12" customHeight="1">
      <c r="A92" s="226" t="s">
        <v>513</v>
      </c>
      <c r="B92" s="949"/>
      <c r="C92" s="226" t="s">
        <v>514</v>
      </c>
      <c r="D92" s="227" t="s">
        <v>679</v>
      </c>
      <c r="E92" s="227" t="s">
        <v>679</v>
      </c>
      <c r="F92" s="225"/>
      <c r="G92" s="225"/>
    </row>
    <row r="93" spans="1:12" s="230" customFormat="1" ht="12" customHeight="1">
      <c r="A93" s="228" t="s">
        <v>518</v>
      </c>
      <c r="B93" s="950" t="s">
        <v>519</v>
      </c>
      <c r="C93" s="228" t="s">
        <v>520</v>
      </c>
      <c r="D93" s="229">
        <v>5</v>
      </c>
      <c r="E93" s="229">
        <v>6</v>
      </c>
      <c r="F93" s="225"/>
      <c r="G93" s="225"/>
    </row>
    <row r="94" spans="1:12" s="207" customFormat="1" ht="12" customHeight="1">
      <c r="A94" s="231"/>
      <c r="B94" s="951" t="s">
        <v>2282</v>
      </c>
      <c r="C94" s="232" t="s">
        <v>707</v>
      </c>
      <c r="D94" s="877">
        <f>D95+D116+D156</f>
        <v>4356932</v>
      </c>
      <c r="E94" s="877">
        <f>E95+E116+E156</f>
        <v>4805868</v>
      </c>
      <c r="F94" s="233"/>
      <c r="G94" s="233">
        <f>D94-F10</f>
        <v>0</v>
      </c>
      <c r="H94" s="206"/>
    </row>
    <row r="95" spans="1:12" s="207" customFormat="1" ht="12" customHeight="1">
      <c r="A95" s="231" t="s">
        <v>523</v>
      </c>
      <c r="B95" s="951" t="s">
        <v>2283</v>
      </c>
      <c r="C95" s="232" t="s">
        <v>709</v>
      </c>
      <c r="D95" s="877">
        <f>SUM(D96,D100,D101,D102,D105,D108,D112,D115)</f>
        <v>3173413</v>
      </c>
      <c r="E95" s="877">
        <f>SUM(E96,E100,E101,E102,E105,E108,E112,E115)</f>
        <v>3192339</v>
      </c>
      <c r="F95" s="1087"/>
      <c r="G95" s="233"/>
      <c r="H95" s="233"/>
      <c r="I95" s="1091"/>
      <c r="J95" s="1091"/>
    </row>
    <row r="96" spans="1:12" s="207" customFormat="1" ht="12" customHeight="1">
      <c r="A96" s="231" t="s">
        <v>526</v>
      </c>
      <c r="B96" s="951" t="s">
        <v>2284</v>
      </c>
      <c r="C96" s="232" t="s">
        <v>711</v>
      </c>
      <c r="D96" s="1482">
        <v>2506390</v>
      </c>
      <c r="E96" s="1482">
        <v>2506390</v>
      </c>
      <c r="F96" s="1089"/>
      <c r="G96" s="233"/>
      <c r="H96" s="233"/>
      <c r="I96" s="1091"/>
      <c r="J96" s="1091"/>
    </row>
    <row r="97" spans="1:10" s="185" customFormat="1" ht="12" customHeight="1">
      <c r="A97" s="234" t="s">
        <v>529</v>
      </c>
      <c r="B97" s="952" t="s">
        <v>686</v>
      </c>
      <c r="C97" s="235" t="s">
        <v>713</v>
      </c>
      <c r="D97" s="1479">
        <v>2506390</v>
      </c>
      <c r="E97" s="1479">
        <v>2506390</v>
      </c>
      <c r="F97" s="1089"/>
      <c r="G97" s="233"/>
      <c r="H97" s="233"/>
      <c r="I97" s="1089"/>
      <c r="J97" s="1089"/>
    </row>
    <row r="98" spans="1:10" s="185" customFormat="1" ht="12" customHeight="1">
      <c r="A98" s="234" t="s">
        <v>532</v>
      </c>
      <c r="B98" s="952" t="s">
        <v>690</v>
      </c>
      <c r="C98" s="235" t="s">
        <v>715</v>
      </c>
      <c r="D98" s="1479">
        <v>0</v>
      </c>
      <c r="E98" s="1479">
        <v>0</v>
      </c>
      <c r="F98" s="1093"/>
      <c r="G98" s="1093"/>
      <c r="H98" s="1113"/>
      <c r="I98" s="1089"/>
      <c r="J98" s="1089"/>
    </row>
    <row r="99" spans="1:10" s="185" customFormat="1" ht="12" customHeight="1">
      <c r="A99" s="210" t="s">
        <v>535</v>
      </c>
      <c r="B99" s="943" t="s">
        <v>692</v>
      </c>
      <c r="C99" s="211" t="s">
        <v>718</v>
      </c>
      <c r="D99" s="1478">
        <v>0</v>
      </c>
      <c r="E99" s="1479">
        <v>0</v>
      </c>
      <c r="F99" s="1093"/>
      <c r="G99" s="1093"/>
      <c r="H99" s="1088"/>
      <c r="I99" s="1113"/>
      <c r="J99" s="1089"/>
    </row>
    <row r="100" spans="1:10" s="207" customFormat="1" ht="12" customHeight="1">
      <c r="A100" s="231" t="s">
        <v>550</v>
      </c>
      <c r="B100" s="1094" t="s">
        <v>696</v>
      </c>
      <c r="C100" s="232" t="s">
        <v>721</v>
      </c>
      <c r="D100" s="1482">
        <v>0</v>
      </c>
      <c r="E100" s="1482">
        <v>0</v>
      </c>
      <c r="F100" s="1095"/>
      <c r="G100" s="1095"/>
      <c r="H100" s="1113"/>
      <c r="I100" s="1091"/>
      <c r="J100" s="1091"/>
    </row>
    <row r="101" spans="1:10" s="185" customFormat="1" ht="12" customHeight="1">
      <c r="A101" s="231" t="s">
        <v>574</v>
      </c>
      <c r="B101" s="1094" t="s">
        <v>698</v>
      </c>
      <c r="C101" s="232" t="s">
        <v>723</v>
      </c>
      <c r="D101" s="1482">
        <v>0</v>
      </c>
      <c r="E101" s="1482">
        <v>0</v>
      </c>
      <c r="F101" s="1093"/>
      <c r="G101" s="1093"/>
      <c r="H101" s="1113"/>
      <c r="I101" s="1089"/>
      <c r="J101" s="1089"/>
    </row>
    <row r="102" spans="1:10" s="185" customFormat="1" ht="12" customHeight="1">
      <c r="A102" s="231" t="s">
        <v>716</v>
      </c>
      <c r="B102" s="1094" t="s">
        <v>2285</v>
      </c>
      <c r="C102" s="232" t="s">
        <v>726</v>
      </c>
      <c r="D102" s="877">
        <f>SUM(D103:D104)</f>
        <v>115550</v>
      </c>
      <c r="E102" s="877">
        <f>SUM(E103:E104)</f>
        <v>107571</v>
      </c>
      <c r="F102" s="1093"/>
      <c r="G102" s="233"/>
      <c r="H102" s="1113"/>
      <c r="I102" s="1089"/>
      <c r="J102" s="1089"/>
    </row>
    <row r="103" spans="1:10" s="185" customFormat="1" ht="12" customHeight="1">
      <c r="A103" s="234" t="s">
        <v>719</v>
      </c>
      <c r="B103" s="1096" t="s">
        <v>2286</v>
      </c>
      <c r="C103" s="235" t="s">
        <v>728</v>
      </c>
      <c r="D103" s="1479">
        <v>115550</v>
      </c>
      <c r="E103" s="1479">
        <v>107571</v>
      </c>
      <c r="F103" s="1097"/>
      <c r="G103" s="233"/>
      <c r="H103" s="1113"/>
      <c r="I103" s="1089"/>
      <c r="J103" s="1089"/>
    </row>
    <row r="104" spans="1:10" s="185" customFormat="1" ht="12" customHeight="1">
      <c r="A104" s="234" t="s">
        <v>532</v>
      </c>
      <c r="B104" s="1096" t="s">
        <v>2287</v>
      </c>
      <c r="C104" s="235" t="s">
        <v>730</v>
      </c>
      <c r="D104" s="1479"/>
      <c r="E104" s="1479"/>
      <c r="F104" s="1097"/>
      <c r="G104" s="1093"/>
      <c r="H104" s="1113"/>
      <c r="I104" s="1089"/>
      <c r="J104" s="1089"/>
    </row>
    <row r="105" spans="1:10" s="207" customFormat="1" ht="12" customHeight="1">
      <c r="A105" s="231" t="s">
        <v>724</v>
      </c>
      <c r="B105" s="951" t="s">
        <v>2288</v>
      </c>
      <c r="C105" s="232" t="s">
        <v>732</v>
      </c>
      <c r="D105" s="1482">
        <v>0</v>
      </c>
      <c r="E105" s="1482">
        <v>0</v>
      </c>
      <c r="F105" s="1095"/>
      <c r="G105" s="1095"/>
      <c r="H105" s="1113"/>
      <c r="I105" s="1091"/>
      <c r="J105" s="1091"/>
    </row>
    <row r="106" spans="1:10" s="185" customFormat="1" ht="12" customHeight="1">
      <c r="A106" s="234" t="s">
        <v>2289</v>
      </c>
      <c r="B106" s="952" t="s">
        <v>2290</v>
      </c>
      <c r="C106" s="235" t="s">
        <v>734</v>
      </c>
      <c r="D106" s="1479">
        <v>0</v>
      </c>
      <c r="E106" s="1479">
        <v>0</v>
      </c>
      <c r="F106" s="1093"/>
      <c r="G106" s="1093"/>
      <c r="H106" s="1113"/>
      <c r="I106" s="1089"/>
      <c r="J106" s="1089"/>
    </row>
    <row r="107" spans="1:10" s="185" customFormat="1" ht="12" customHeight="1">
      <c r="A107" s="234" t="s">
        <v>532</v>
      </c>
      <c r="B107" s="952" t="s">
        <v>2291</v>
      </c>
      <c r="C107" s="235" t="s">
        <v>736</v>
      </c>
      <c r="D107" s="1479">
        <v>0</v>
      </c>
      <c r="E107" s="1479">
        <v>0</v>
      </c>
      <c r="F107" s="1093"/>
      <c r="G107" s="1093"/>
      <c r="H107" s="1113"/>
      <c r="I107" s="1089"/>
      <c r="J107" s="1089"/>
    </row>
    <row r="108" spans="1:10" s="185" customFormat="1" ht="12" customHeight="1">
      <c r="A108" s="231" t="s">
        <v>2292</v>
      </c>
      <c r="B108" s="1094" t="s">
        <v>2293</v>
      </c>
      <c r="C108" s="232" t="s">
        <v>738</v>
      </c>
      <c r="D108" s="1482">
        <v>0</v>
      </c>
      <c r="E108" s="1482">
        <v>0</v>
      </c>
      <c r="F108" s="1093"/>
      <c r="G108" s="1093"/>
      <c r="H108" s="1113"/>
      <c r="I108" s="1089"/>
      <c r="J108" s="1089"/>
    </row>
    <row r="109" spans="1:10" s="185" customFormat="1" ht="12" customHeight="1">
      <c r="A109" s="234" t="s">
        <v>2294</v>
      </c>
      <c r="B109" s="1096" t="s">
        <v>2295</v>
      </c>
      <c r="C109" s="235" t="s">
        <v>740</v>
      </c>
      <c r="D109" s="1479">
        <v>0</v>
      </c>
      <c r="E109" s="1479">
        <v>0</v>
      </c>
      <c r="F109" s="1093"/>
      <c r="G109" s="1093"/>
      <c r="H109" s="1113"/>
      <c r="I109" s="1089"/>
      <c r="J109" s="1089"/>
    </row>
    <row r="110" spans="1:10" s="185" customFormat="1" ht="12" customHeight="1">
      <c r="A110" s="234" t="s">
        <v>532</v>
      </c>
      <c r="B110" s="1096" t="s">
        <v>704</v>
      </c>
      <c r="C110" s="235" t="s">
        <v>742</v>
      </c>
      <c r="D110" s="1479">
        <v>0</v>
      </c>
      <c r="E110" s="1479">
        <v>0</v>
      </c>
      <c r="F110" s="1093"/>
      <c r="G110" s="1093"/>
      <c r="H110" s="1113"/>
      <c r="I110" s="1089"/>
      <c r="J110" s="1089"/>
    </row>
    <row r="111" spans="1:10" s="185" customFormat="1" ht="12" customHeight="1">
      <c r="A111" s="234" t="s">
        <v>535</v>
      </c>
      <c r="B111" s="1096" t="s">
        <v>706</v>
      </c>
      <c r="C111" s="235" t="s">
        <v>743</v>
      </c>
      <c r="D111" s="1479">
        <v>0</v>
      </c>
      <c r="E111" s="1479">
        <v>0</v>
      </c>
      <c r="F111" s="1093"/>
      <c r="G111" s="1093"/>
      <c r="H111" s="1113"/>
      <c r="I111" s="1089"/>
      <c r="J111" s="1089"/>
    </row>
    <row r="112" spans="1:10" s="207" customFormat="1" ht="12" customHeight="1">
      <c r="A112" s="231" t="s">
        <v>2296</v>
      </c>
      <c r="B112" s="951" t="s">
        <v>2297</v>
      </c>
      <c r="C112" s="232" t="s">
        <v>745</v>
      </c>
      <c r="D112" s="1482">
        <f>D113+D114</f>
        <v>159039</v>
      </c>
      <c r="E112" s="1482">
        <v>418803</v>
      </c>
      <c r="F112" s="1095"/>
      <c r="G112" s="233"/>
      <c r="H112" s="1113"/>
      <c r="I112" s="1091"/>
      <c r="J112" s="1091"/>
    </row>
    <row r="113" spans="1:15" s="185" customFormat="1" ht="12" customHeight="1">
      <c r="A113" s="234" t="s">
        <v>2298</v>
      </c>
      <c r="B113" s="952" t="s">
        <v>720</v>
      </c>
      <c r="C113" s="235" t="s">
        <v>747</v>
      </c>
      <c r="D113" s="1479">
        <v>159039</v>
      </c>
      <c r="E113" s="1479">
        <v>418803</v>
      </c>
      <c r="F113" s="1093"/>
      <c r="G113" s="233"/>
      <c r="H113" s="1113"/>
      <c r="I113" s="1089"/>
      <c r="J113" s="1089"/>
    </row>
    <row r="114" spans="1:15" s="185" customFormat="1" ht="12" customHeight="1">
      <c r="A114" s="234" t="s">
        <v>532</v>
      </c>
      <c r="B114" s="952" t="s">
        <v>722</v>
      </c>
      <c r="C114" s="235" t="s">
        <v>749</v>
      </c>
      <c r="D114" s="1479">
        <v>0</v>
      </c>
      <c r="E114" s="1479"/>
      <c r="F114" s="1098"/>
      <c r="G114" s="233"/>
      <c r="H114" s="1113"/>
      <c r="I114" s="1089"/>
      <c r="J114" s="1089"/>
    </row>
    <row r="115" spans="1:15" s="238" customFormat="1" ht="10.5">
      <c r="A115" s="236" t="s">
        <v>2299</v>
      </c>
      <c r="B115" s="953" t="s">
        <v>2300</v>
      </c>
      <c r="C115" s="237" t="s">
        <v>751</v>
      </c>
      <c r="D115" s="1480">
        <v>392434</v>
      </c>
      <c r="E115" s="1480">
        <v>159575</v>
      </c>
      <c r="F115" s="1113"/>
      <c r="G115" s="233"/>
      <c r="H115" s="1091"/>
      <c r="I115" s="1125"/>
      <c r="J115" s="1091"/>
    </row>
    <row r="116" spans="1:15" s="207" customFormat="1" ht="12" customHeight="1">
      <c r="A116" s="231" t="s">
        <v>594</v>
      </c>
      <c r="B116" s="951" t="s">
        <v>2301</v>
      </c>
      <c r="C116" s="232" t="s">
        <v>753</v>
      </c>
      <c r="D116" s="1482">
        <f>D117+D137+D151+D154</f>
        <v>1183519</v>
      </c>
      <c r="E116" s="1482">
        <f>E117+E137+E151+E154</f>
        <v>1613529</v>
      </c>
      <c r="F116" s="1095"/>
      <c r="G116" s="233"/>
      <c r="H116" s="1113"/>
      <c r="I116" s="1091"/>
      <c r="J116" s="1091"/>
    </row>
    <row r="117" spans="1:15" s="207" customFormat="1" ht="12" customHeight="1">
      <c r="A117" s="231" t="s">
        <v>597</v>
      </c>
      <c r="B117" s="951" t="s">
        <v>2302</v>
      </c>
      <c r="C117" s="232" t="s">
        <v>755</v>
      </c>
      <c r="D117" s="1482">
        <f>D118+SUM(D122:D132)</f>
        <v>226060</v>
      </c>
      <c r="E117" s="1482">
        <f>E118+SUM(E122:E132)</f>
        <v>314230</v>
      </c>
      <c r="F117" s="1087"/>
      <c r="G117" s="1631"/>
      <c r="H117" s="1631"/>
      <c r="I117" s="1631"/>
      <c r="J117" s="1091"/>
    </row>
    <row r="118" spans="1:15" s="207" customFormat="1" ht="12" customHeight="1">
      <c r="A118" s="234" t="s">
        <v>600</v>
      </c>
      <c r="B118" s="1096" t="s">
        <v>2303</v>
      </c>
      <c r="C118" s="235" t="s">
        <v>757</v>
      </c>
      <c r="D118" s="1479">
        <v>0</v>
      </c>
      <c r="E118" s="1479">
        <v>0</v>
      </c>
      <c r="F118" s="1091"/>
      <c r="G118" s="1091"/>
      <c r="H118" s="1091"/>
      <c r="I118" s="1091"/>
      <c r="J118" s="1091"/>
    </row>
    <row r="119" spans="1:15" s="207" customFormat="1" ht="12" customHeight="1">
      <c r="A119" s="240" t="s">
        <v>2265</v>
      </c>
      <c r="B119" s="1096" t="s">
        <v>2660</v>
      </c>
      <c r="C119" s="241" t="s">
        <v>760</v>
      </c>
      <c r="D119" s="1481">
        <v>0</v>
      </c>
      <c r="E119" s="1483">
        <v>0</v>
      </c>
      <c r="F119" s="1087"/>
      <c r="G119" s="1126"/>
      <c r="H119" s="1091"/>
      <c r="I119" s="1091"/>
      <c r="J119" s="1091"/>
      <c r="K119" s="1085"/>
      <c r="L119" s="1099"/>
      <c r="M119" s="1099"/>
      <c r="N119" s="1099"/>
      <c r="O119" s="1099"/>
    </row>
    <row r="120" spans="1:15" s="207" customFormat="1" ht="12" customHeight="1">
      <c r="A120" s="240" t="s">
        <v>2266</v>
      </c>
      <c r="B120" s="1096" t="s">
        <v>2661</v>
      </c>
      <c r="C120" s="241" t="s">
        <v>763</v>
      </c>
      <c r="D120" s="1481">
        <v>0</v>
      </c>
      <c r="E120" s="1483">
        <v>0</v>
      </c>
      <c r="F120" s="1087"/>
      <c r="G120" s="1126"/>
      <c r="H120" s="1091"/>
      <c r="I120" s="1091"/>
      <c r="J120" s="1091"/>
      <c r="K120" s="1081"/>
      <c r="L120" s="1081"/>
      <c r="M120" s="1081"/>
      <c r="N120" s="1081"/>
      <c r="O120" s="1081"/>
    </row>
    <row r="121" spans="1:15" s="207" customFormat="1" ht="12" customHeight="1">
      <c r="A121" s="240" t="s">
        <v>2267</v>
      </c>
      <c r="B121" s="1096" t="s">
        <v>2304</v>
      </c>
      <c r="C121" s="241" t="s">
        <v>765</v>
      </c>
      <c r="D121" s="1481">
        <v>0</v>
      </c>
      <c r="E121" s="1483">
        <v>0</v>
      </c>
      <c r="F121" s="1087"/>
      <c r="G121" s="1126"/>
      <c r="H121" s="1091"/>
      <c r="I121" s="1091"/>
      <c r="J121" s="1091"/>
      <c r="K121" s="1081"/>
      <c r="L121" s="1080"/>
      <c r="M121" s="1080"/>
      <c r="N121" s="1080"/>
      <c r="O121" s="1080"/>
    </row>
    <row r="122" spans="1:15" s="185" customFormat="1" ht="12" customHeight="1">
      <c r="A122" s="240" t="s">
        <v>532</v>
      </c>
      <c r="B122" s="954" t="s">
        <v>619</v>
      </c>
      <c r="C122" s="241" t="s">
        <v>767</v>
      </c>
      <c r="D122" s="1481">
        <v>0</v>
      </c>
      <c r="E122" s="1483">
        <v>0</v>
      </c>
      <c r="F122" s="1093"/>
      <c r="G122" s="1115"/>
      <c r="H122" s="1089"/>
      <c r="I122" s="1089"/>
      <c r="J122" s="1089"/>
      <c r="K122" s="1081"/>
      <c r="L122" s="1080"/>
      <c r="M122" s="1080"/>
      <c r="N122" s="1080"/>
      <c r="O122" s="1080"/>
    </row>
    <row r="123" spans="1:15" s="185" customFormat="1" ht="12" customHeight="1">
      <c r="A123" s="240" t="s">
        <v>535</v>
      </c>
      <c r="B123" s="1096" t="s">
        <v>2662</v>
      </c>
      <c r="C123" s="241" t="s">
        <v>768</v>
      </c>
      <c r="D123" s="1481">
        <v>112</v>
      </c>
      <c r="E123" s="1483">
        <v>279</v>
      </c>
      <c r="F123" s="1093"/>
      <c r="G123" s="233"/>
      <c r="H123" s="1089"/>
      <c r="I123" s="1089"/>
      <c r="J123" s="1089"/>
      <c r="K123" s="1081"/>
      <c r="L123" s="1080"/>
      <c r="M123" s="1080"/>
      <c r="N123" s="1080"/>
      <c r="O123" s="1080"/>
    </row>
    <row r="124" spans="1:15" s="185" customFormat="1" ht="12" customHeight="1">
      <c r="A124" s="240" t="s">
        <v>538</v>
      </c>
      <c r="B124" s="1096" t="s">
        <v>2663</v>
      </c>
      <c r="C124" s="241" t="s">
        <v>770</v>
      </c>
      <c r="D124" s="1481">
        <v>0</v>
      </c>
      <c r="E124" s="1483">
        <v>0</v>
      </c>
      <c r="F124" s="1093"/>
      <c r="G124" s="1093"/>
      <c r="H124" s="1089"/>
      <c r="I124" s="1089"/>
      <c r="J124" s="1089"/>
      <c r="K124" s="1083"/>
      <c r="L124" s="1086"/>
      <c r="M124" s="1086"/>
      <c r="N124" s="1086"/>
      <c r="O124" s="1086"/>
    </row>
    <row r="125" spans="1:15" s="185" customFormat="1" ht="12" customHeight="1">
      <c r="A125" s="240" t="s">
        <v>541</v>
      </c>
      <c r="B125" s="1096" t="s">
        <v>2305</v>
      </c>
      <c r="C125" s="241" t="s">
        <v>772</v>
      </c>
      <c r="D125" s="1481">
        <v>0</v>
      </c>
      <c r="E125" s="1483">
        <v>0</v>
      </c>
      <c r="F125" s="1093"/>
      <c r="G125" s="1093"/>
      <c r="H125" s="1113"/>
      <c r="I125" s="1089"/>
      <c r="J125" s="1089"/>
      <c r="K125" s="1080"/>
      <c r="L125" s="1080"/>
      <c r="M125" s="1080"/>
      <c r="N125" s="1080"/>
      <c r="O125" s="1080"/>
    </row>
    <row r="126" spans="1:15" s="185" customFormat="1" ht="12" customHeight="1">
      <c r="A126" s="240" t="s">
        <v>544</v>
      </c>
      <c r="B126" s="954" t="s">
        <v>750</v>
      </c>
      <c r="C126" s="241" t="s">
        <v>774</v>
      </c>
      <c r="D126" s="1481">
        <v>0</v>
      </c>
      <c r="E126" s="1483">
        <v>0</v>
      </c>
      <c r="F126" s="1093"/>
      <c r="G126" s="1093"/>
      <c r="H126" s="1113"/>
      <c r="I126" s="1089"/>
      <c r="J126" s="1089"/>
      <c r="K126" s="1080"/>
      <c r="L126" s="1080"/>
      <c r="M126" s="1080"/>
      <c r="N126" s="1080"/>
      <c r="O126" s="1080"/>
    </row>
    <row r="127" spans="1:15" s="185" customFormat="1" ht="12" customHeight="1">
      <c r="A127" s="240" t="s">
        <v>547</v>
      </c>
      <c r="B127" s="954" t="s">
        <v>752</v>
      </c>
      <c r="C127" s="241" t="s">
        <v>776</v>
      </c>
      <c r="D127" s="1483">
        <v>0</v>
      </c>
      <c r="E127" s="1483">
        <v>0</v>
      </c>
      <c r="F127" s="1093"/>
      <c r="G127" s="1093"/>
      <c r="H127" s="1113"/>
      <c r="I127" s="1089"/>
      <c r="J127" s="1089"/>
      <c r="K127" s="1085"/>
      <c r="L127" s="1633"/>
      <c r="M127" s="1633"/>
      <c r="N127" s="1633"/>
      <c r="O127" s="1633"/>
    </row>
    <row r="128" spans="1:15" s="185" customFormat="1" ht="12" customHeight="1">
      <c r="A128" s="240" t="s">
        <v>568</v>
      </c>
      <c r="B128" s="954" t="s">
        <v>754</v>
      </c>
      <c r="C128" s="241" t="s">
        <v>778</v>
      </c>
      <c r="D128" s="1483">
        <v>0</v>
      </c>
      <c r="E128" s="1483">
        <v>0</v>
      </c>
      <c r="F128" s="1093"/>
      <c r="G128" s="1093"/>
      <c r="H128" s="1113"/>
      <c r="I128" s="1089"/>
      <c r="J128" s="1089"/>
      <c r="K128" s="1081"/>
      <c r="L128" s="1081"/>
      <c r="M128" s="1081"/>
      <c r="N128" s="1081"/>
      <c r="O128" s="1081"/>
    </row>
    <row r="129" spans="1:15" s="185" customFormat="1" ht="12" customHeight="1">
      <c r="A129" s="240" t="s">
        <v>571</v>
      </c>
      <c r="B129" s="954" t="s">
        <v>756</v>
      </c>
      <c r="C129" s="241" t="s">
        <v>780</v>
      </c>
      <c r="D129" s="1483">
        <v>8969</v>
      </c>
      <c r="E129" s="1483">
        <v>12927</v>
      </c>
      <c r="F129" s="1093"/>
      <c r="G129" s="233"/>
      <c r="H129" s="1113"/>
      <c r="I129" s="1089"/>
      <c r="J129" s="1089"/>
      <c r="K129" s="1081"/>
      <c r="L129" s="1080"/>
      <c r="M129" s="1080"/>
      <c r="N129" s="1080"/>
      <c r="O129" s="1080"/>
    </row>
    <row r="130" spans="1:15" s="185" customFormat="1" ht="12" customHeight="1">
      <c r="A130" s="240" t="s">
        <v>758</v>
      </c>
      <c r="B130" s="1096" t="s">
        <v>2306</v>
      </c>
      <c r="C130" s="241" t="s">
        <v>782</v>
      </c>
      <c r="D130" s="1483">
        <v>0</v>
      </c>
      <c r="E130" s="1483">
        <v>0</v>
      </c>
      <c r="F130" s="1093"/>
      <c r="G130" s="1093"/>
      <c r="H130" s="1113"/>
      <c r="I130" s="1089"/>
      <c r="J130" s="1089"/>
      <c r="K130" s="1081"/>
      <c r="L130" s="1080"/>
      <c r="M130" s="1080"/>
      <c r="N130" s="1080"/>
      <c r="O130" s="1080"/>
    </row>
    <row r="131" spans="1:15" s="185" customFormat="1" ht="12" customHeight="1">
      <c r="A131" s="240" t="s">
        <v>761</v>
      </c>
      <c r="B131" s="1096" t="s">
        <v>2307</v>
      </c>
      <c r="C131" s="241" t="s">
        <v>784</v>
      </c>
      <c r="D131" s="1483">
        <v>0</v>
      </c>
      <c r="E131" s="1483">
        <v>0</v>
      </c>
      <c r="F131" s="1093"/>
      <c r="G131" s="1093"/>
      <c r="H131" s="1113"/>
      <c r="I131" s="1089"/>
      <c r="J131" s="1089"/>
      <c r="K131" s="1083"/>
      <c r="L131" s="1086"/>
      <c r="M131" s="1086"/>
      <c r="N131" s="1086"/>
      <c r="O131" s="1086"/>
    </row>
    <row r="132" spans="1:15" s="185" customFormat="1" ht="12" customHeight="1">
      <c r="A132" s="240" t="s">
        <v>2308</v>
      </c>
      <c r="B132" s="955" t="s">
        <v>762</v>
      </c>
      <c r="C132" s="241" t="s">
        <v>786</v>
      </c>
      <c r="D132" s="1483">
        <v>216979</v>
      </c>
      <c r="E132" s="1483">
        <v>301024</v>
      </c>
      <c r="F132" s="1093"/>
      <c r="G132" s="1093"/>
      <c r="H132" s="1113"/>
      <c r="I132" s="1089"/>
      <c r="J132" s="1089"/>
    </row>
    <row r="133" spans="1:15" s="207" customFormat="1" ht="12" customHeight="1">
      <c r="A133" s="231" t="s">
        <v>613</v>
      </c>
      <c r="B133" s="951" t="s">
        <v>2309</v>
      </c>
      <c r="C133" s="232" t="s">
        <v>789</v>
      </c>
      <c r="D133" s="1482">
        <v>0</v>
      </c>
      <c r="E133" s="1482">
        <v>0</v>
      </c>
      <c r="F133" s="1087"/>
      <c r="G133" s="1631"/>
      <c r="H133" s="1631"/>
      <c r="I133" s="1091"/>
      <c r="J133" s="1091"/>
    </row>
    <row r="134" spans="1:15" s="185" customFormat="1" ht="12" customHeight="1">
      <c r="A134" s="234" t="s">
        <v>616</v>
      </c>
      <c r="B134" s="1096" t="s">
        <v>731</v>
      </c>
      <c r="C134" s="235" t="s">
        <v>792</v>
      </c>
      <c r="D134" s="1479">
        <v>0</v>
      </c>
      <c r="E134" s="1479">
        <v>0</v>
      </c>
      <c r="F134" s="1089"/>
      <c r="G134" s="1115"/>
      <c r="H134" s="1115"/>
      <c r="I134" s="1089"/>
      <c r="J134" s="1089"/>
    </row>
    <row r="135" spans="1:15" s="185" customFormat="1" ht="12" customHeight="1">
      <c r="A135" s="234" t="s">
        <v>532</v>
      </c>
      <c r="B135" s="1096" t="s">
        <v>735</v>
      </c>
      <c r="C135" s="235" t="s">
        <v>794</v>
      </c>
      <c r="D135" s="1479">
        <v>0</v>
      </c>
      <c r="E135" s="1479">
        <v>0</v>
      </c>
      <c r="F135" s="1089"/>
      <c r="G135" s="1115"/>
      <c r="H135" s="1115"/>
      <c r="I135" s="1089"/>
      <c r="J135" s="1089"/>
    </row>
    <row r="136" spans="1:15" s="185" customFormat="1" ht="12" customHeight="1">
      <c r="A136" s="231" t="s">
        <v>631</v>
      </c>
      <c r="B136" s="951" t="s">
        <v>791</v>
      </c>
      <c r="C136" s="232" t="s">
        <v>796</v>
      </c>
      <c r="D136" s="1482">
        <v>0</v>
      </c>
      <c r="E136" s="1482">
        <v>0</v>
      </c>
      <c r="F136" s="1087"/>
      <c r="G136" s="1631"/>
      <c r="H136" s="1631"/>
      <c r="I136" s="1631"/>
      <c r="J136" s="1631"/>
    </row>
    <row r="137" spans="1:15" s="207" customFormat="1" ht="12" customHeight="1">
      <c r="A137" s="231" t="s">
        <v>649</v>
      </c>
      <c r="B137" s="951" t="s">
        <v>2310</v>
      </c>
      <c r="C137" s="232" t="s">
        <v>798</v>
      </c>
      <c r="D137" s="877">
        <f>SUM(D138,D142:D150)</f>
        <v>821475</v>
      </c>
      <c r="E137" s="877">
        <f>SUM(E138,E142:E150)</f>
        <v>1181891</v>
      </c>
      <c r="F137" s="1087"/>
      <c r="G137" s="233"/>
      <c r="H137" s="233"/>
      <c r="I137" s="233"/>
      <c r="J137" s="1091"/>
    </row>
    <row r="138" spans="1:15" s="207" customFormat="1" ht="12" customHeight="1">
      <c r="A138" s="240" t="s">
        <v>652</v>
      </c>
      <c r="B138" s="1082" t="s">
        <v>2311</v>
      </c>
      <c r="C138" s="241" t="s">
        <v>800</v>
      </c>
      <c r="D138" s="1483">
        <v>630565</v>
      </c>
      <c r="E138" s="1483">
        <v>1079736</v>
      </c>
      <c r="F138" s="1087"/>
      <c r="G138" s="233"/>
      <c r="H138" s="233"/>
      <c r="I138" s="233"/>
      <c r="J138" s="1091"/>
    </row>
    <row r="139" spans="1:15" s="207" customFormat="1" ht="12" customHeight="1">
      <c r="A139" s="234" t="s">
        <v>2265</v>
      </c>
      <c r="B139" s="1096" t="s">
        <v>2664</v>
      </c>
      <c r="C139" s="235" t="s">
        <v>802</v>
      </c>
      <c r="D139" s="1481">
        <v>0</v>
      </c>
      <c r="E139" s="1481">
        <v>19992</v>
      </c>
      <c r="F139" s="1087"/>
      <c r="G139" s="1126"/>
      <c r="H139" s="1126"/>
      <c r="I139" s="1126"/>
      <c r="J139" s="1091"/>
    </row>
    <row r="140" spans="1:15" s="207" customFormat="1" ht="12" customHeight="1">
      <c r="A140" s="234" t="s">
        <v>2266</v>
      </c>
      <c r="B140" s="1096" t="s">
        <v>2665</v>
      </c>
      <c r="C140" s="235" t="s">
        <v>804</v>
      </c>
      <c r="D140" s="1481">
        <v>0</v>
      </c>
      <c r="E140" s="1481">
        <v>0</v>
      </c>
      <c r="F140" s="1087"/>
      <c r="G140" s="1126"/>
      <c r="H140" s="1126"/>
      <c r="I140" s="1126"/>
      <c r="J140" s="1091"/>
    </row>
    <row r="141" spans="1:15" s="207" customFormat="1" ht="12" customHeight="1">
      <c r="A141" s="234" t="s">
        <v>2267</v>
      </c>
      <c r="B141" s="1096" t="s">
        <v>2312</v>
      </c>
      <c r="C141" s="235" t="s">
        <v>2313</v>
      </c>
      <c r="D141" s="1481">
        <f>D138-D139</f>
        <v>630565</v>
      </c>
      <c r="E141" s="1481">
        <v>1059744</v>
      </c>
      <c r="F141" s="1087"/>
      <c r="G141" s="233"/>
      <c r="H141" s="1126"/>
      <c r="I141" s="1126"/>
      <c r="J141" s="1091"/>
    </row>
    <row r="142" spans="1:15" s="185" customFormat="1" ht="12" customHeight="1">
      <c r="A142" s="240" t="s">
        <v>532</v>
      </c>
      <c r="B142" s="954" t="s">
        <v>619</v>
      </c>
      <c r="C142" s="241" t="s">
        <v>2314</v>
      </c>
      <c r="D142" s="1481">
        <v>0</v>
      </c>
      <c r="E142" s="1483">
        <v>0</v>
      </c>
      <c r="F142" s="1087"/>
      <c r="G142" s="1115"/>
      <c r="H142" s="1115"/>
      <c r="I142" s="1089"/>
      <c r="J142" s="1089"/>
    </row>
    <row r="143" spans="1:15" s="185" customFormat="1" ht="12" customHeight="1">
      <c r="A143" s="234" t="s">
        <v>535</v>
      </c>
      <c r="B143" s="1096" t="s">
        <v>2666</v>
      </c>
      <c r="C143" s="235" t="s">
        <v>2315</v>
      </c>
      <c r="D143" s="1481">
        <v>0</v>
      </c>
      <c r="E143" s="1483">
        <v>0</v>
      </c>
      <c r="F143" s="1089"/>
      <c r="G143" s="1115"/>
      <c r="H143" s="1115"/>
      <c r="I143" s="1089"/>
      <c r="J143" s="1089"/>
    </row>
    <row r="144" spans="1:15" s="185" customFormat="1" ht="12" customHeight="1">
      <c r="A144" s="234" t="s">
        <v>538</v>
      </c>
      <c r="B144" s="1096" t="s">
        <v>2667</v>
      </c>
      <c r="C144" s="235" t="s">
        <v>2316</v>
      </c>
      <c r="D144" s="1481">
        <v>0</v>
      </c>
      <c r="E144" s="1483">
        <v>0</v>
      </c>
      <c r="F144" s="1089"/>
      <c r="G144" s="1115"/>
      <c r="H144" s="1115"/>
      <c r="I144" s="1089"/>
      <c r="J144" s="1089"/>
    </row>
    <row r="145" spans="1:11" s="185" customFormat="1" ht="12" customHeight="1">
      <c r="A145" s="234" t="s">
        <v>541</v>
      </c>
      <c r="B145" s="1096" t="s">
        <v>775</v>
      </c>
      <c r="C145" s="235" t="s">
        <v>2317</v>
      </c>
      <c r="D145" s="1481">
        <v>0</v>
      </c>
      <c r="E145" s="1483">
        <v>0</v>
      </c>
      <c r="F145" s="1087"/>
      <c r="G145" s="1632"/>
      <c r="H145" s="1632"/>
      <c r="I145" s="1089"/>
      <c r="J145" s="1089"/>
    </row>
    <row r="146" spans="1:11" s="185" customFormat="1" ht="12" customHeight="1">
      <c r="A146" s="234" t="s">
        <v>544</v>
      </c>
      <c r="B146" s="1096" t="s">
        <v>777</v>
      </c>
      <c r="C146" s="235" t="s">
        <v>2318</v>
      </c>
      <c r="D146" s="1481">
        <v>62434</v>
      </c>
      <c r="E146" s="1481">
        <v>47382</v>
      </c>
      <c r="F146" s="1089"/>
      <c r="G146" s="1632"/>
      <c r="H146" s="1632"/>
      <c r="I146" s="233"/>
      <c r="J146" s="1089"/>
    </row>
    <row r="147" spans="1:11" s="185" customFormat="1" ht="12" customHeight="1">
      <c r="A147" s="234" t="s">
        <v>547</v>
      </c>
      <c r="B147" s="1096" t="s">
        <v>2319</v>
      </c>
      <c r="C147" s="235" t="s">
        <v>2320</v>
      </c>
      <c r="D147" s="1483">
        <v>39822</v>
      </c>
      <c r="E147" s="1483">
        <v>31104</v>
      </c>
      <c r="F147" s="1089"/>
      <c r="G147" s="1632"/>
      <c r="H147" s="1632"/>
      <c r="I147" s="233"/>
      <c r="J147" s="1089"/>
    </row>
    <row r="148" spans="1:11" s="185" customFormat="1" ht="12" customHeight="1">
      <c r="A148" s="234" t="s">
        <v>568</v>
      </c>
      <c r="B148" s="1096" t="s">
        <v>781</v>
      </c>
      <c r="C148" s="235" t="s">
        <v>2321</v>
      </c>
      <c r="D148" s="1483">
        <v>85270</v>
      </c>
      <c r="E148" s="1483">
        <v>8319</v>
      </c>
      <c r="F148" s="1093"/>
      <c r="G148" s="233"/>
      <c r="H148" s="1113"/>
      <c r="I148" s="1089"/>
      <c r="J148" s="1089"/>
    </row>
    <row r="149" spans="1:11" s="185" customFormat="1" ht="12" customHeight="1">
      <c r="A149" s="234" t="s">
        <v>571</v>
      </c>
      <c r="B149" s="1096" t="s">
        <v>2322</v>
      </c>
      <c r="C149" s="235" t="s">
        <v>2323</v>
      </c>
      <c r="D149" s="1483">
        <v>0</v>
      </c>
      <c r="E149" s="1483">
        <v>0</v>
      </c>
      <c r="F149" s="1093"/>
      <c r="G149" s="1093"/>
      <c r="H149" s="1113"/>
      <c r="I149" s="1089"/>
      <c r="J149" s="1089"/>
    </row>
    <row r="150" spans="1:11" s="185" customFormat="1" ht="12" customHeight="1">
      <c r="A150" s="234" t="s">
        <v>758</v>
      </c>
      <c r="B150" s="1096" t="s">
        <v>2324</v>
      </c>
      <c r="C150" s="235" t="s">
        <v>2325</v>
      </c>
      <c r="D150" s="1483">
        <v>3384</v>
      </c>
      <c r="E150" s="1483">
        <v>15350</v>
      </c>
      <c r="F150" s="1093"/>
      <c r="G150" s="233"/>
      <c r="H150" s="1113"/>
      <c r="I150" s="1089"/>
      <c r="J150" s="1089"/>
    </row>
    <row r="151" spans="1:11" s="185" customFormat="1" ht="12" customHeight="1">
      <c r="A151" s="231" t="s">
        <v>787</v>
      </c>
      <c r="B151" s="951" t="s">
        <v>2326</v>
      </c>
      <c r="C151" s="232" t="s">
        <v>2327</v>
      </c>
      <c r="D151" s="1482">
        <f>D152+D153</f>
        <v>134706</v>
      </c>
      <c r="E151" s="1482">
        <f>E152+E153</f>
        <v>113122</v>
      </c>
      <c r="F151" s="1087"/>
      <c r="G151" s="1631"/>
      <c r="H151" s="1631"/>
      <c r="I151" s="1089"/>
      <c r="J151" s="1089"/>
    </row>
    <row r="152" spans="1:11" s="185" customFormat="1" ht="12" customHeight="1">
      <c r="A152" s="234" t="s">
        <v>790</v>
      </c>
      <c r="B152" s="1096" t="s">
        <v>733</v>
      </c>
      <c r="C152" s="235" t="s">
        <v>2328</v>
      </c>
      <c r="D152" s="1483">
        <v>43381</v>
      </c>
      <c r="E152" s="1483">
        <v>42770</v>
      </c>
      <c r="F152" s="1093"/>
      <c r="G152" s="1093"/>
      <c r="H152" s="1113"/>
      <c r="I152" s="1089"/>
      <c r="J152" s="1089"/>
    </row>
    <row r="153" spans="1:11" s="185" customFormat="1" ht="12" customHeight="1">
      <c r="A153" s="234" t="s">
        <v>532</v>
      </c>
      <c r="B153" s="1096" t="s">
        <v>737</v>
      </c>
      <c r="C153" s="235" t="s">
        <v>2329</v>
      </c>
      <c r="D153" s="1483">
        <v>91325</v>
      </c>
      <c r="E153" s="1483">
        <v>70352</v>
      </c>
      <c r="F153" s="1093"/>
      <c r="G153" s="233"/>
      <c r="H153" s="1113"/>
      <c r="I153" s="1089"/>
      <c r="J153" s="1089"/>
    </row>
    <row r="154" spans="1:11" s="185" customFormat="1" ht="12" customHeight="1">
      <c r="A154" s="242" t="s">
        <v>2330</v>
      </c>
      <c r="B154" s="957" t="s">
        <v>793</v>
      </c>
      <c r="C154" s="243" t="s">
        <v>2331</v>
      </c>
      <c r="D154" s="889">
        <v>1278</v>
      </c>
      <c r="E154" s="889">
        <v>4286</v>
      </c>
      <c r="F154" s="1087"/>
      <c r="G154" s="1631"/>
      <c r="H154" s="1631"/>
      <c r="I154" s="1631"/>
      <c r="J154" s="1631"/>
      <c r="K154" s="1019"/>
    </row>
    <row r="155" spans="1:11" s="207" customFormat="1" ht="12" customHeight="1">
      <c r="A155" s="231" t="s">
        <v>2332</v>
      </c>
      <c r="B155" s="951" t="s">
        <v>785</v>
      </c>
      <c r="C155" s="232" t="s">
        <v>2333</v>
      </c>
      <c r="D155" s="1482">
        <v>0</v>
      </c>
      <c r="E155" s="1482">
        <v>0</v>
      </c>
      <c r="F155" s="1087"/>
      <c r="G155" s="1631"/>
      <c r="H155" s="1631"/>
      <c r="I155" s="1631"/>
      <c r="J155" s="1631"/>
    </row>
    <row r="156" spans="1:11" s="207" customFormat="1" ht="12" customHeight="1">
      <c r="A156" s="231" t="s">
        <v>663</v>
      </c>
      <c r="B156" s="951" t="s">
        <v>2334</v>
      </c>
      <c r="C156" s="232" t="s">
        <v>2335</v>
      </c>
      <c r="D156" s="1482">
        <v>0</v>
      </c>
      <c r="E156" s="1482"/>
      <c r="F156" s="1087"/>
      <c r="G156" s="1631"/>
      <c r="H156" s="1631"/>
      <c r="I156" s="1631"/>
      <c r="J156" s="1091"/>
    </row>
    <row r="157" spans="1:11" s="185" customFormat="1" ht="12" customHeight="1">
      <c r="A157" s="234" t="s">
        <v>666</v>
      </c>
      <c r="B157" s="952" t="s">
        <v>797</v>
      </c>
      <c r="C157" s="235" t="s">
        <v>2336</v>
      </c>
      <c r="D157" s="1479">
        <v>0</v>
      </c>
      <c r="E157" s="1479">
        <v>0</v>
      </c>
      <c r="F157" s="1093"/>
      <c r="G157" s="1115"/>
      <c r="H157" s="1115"/>
      <c r="I157" s="1089"/>
      <c r="J157" s="1089"/>
    </row>
    <row r="158" spans="1:11" s="185" customFormat="1" ht="12" customHeight="1">
      <c r="A158" s="234" t="s">
        <v>532</v>
      </c>
      <c r="B158" s="952" t="s">
        <v>799</v>
      </c>
      <c r="C158" s="235" t="s">
        <v>2337</v>
      </c>
      <c r="D158" s="1481">
        <v>0</v>
      </c>
      <c r="E158" s="1481">
        <v>0</v>
      </c>
      <c r="F158" s="1093"/>
      <c r="G158" s="1115"/>
      <c r="H158" s="1115"/>
      <c r="I158" s="1089"/>
      <c r="J158" s="1089"/>
    </row>
    <row r="159" spans="1:11" s="185" customFormat="1" ht="12" customHeight="1">
      <c r="A159" s="234" t="s">
        <v>535</v>
      </c>
      <c r="B159" s="952" t="s">
        <v>801</v>
      </c>
      <c r="C159" s="235" t="s">
        <v>2338</v>
      </c>
      <c r="D159" s="1481">
        <v>0</v>
      </c>
      <c r="E159" s="1481">
        <v>0</v>
      </c>
      <c r="F159" s="1093"/>
      <c r="G159" s="1632"/>
      <c r="H159" s="1632"/>
      <c r="I159" s="1089"/>
      <c r="J159" s="1089"/>
    </row>
    <row r="160" spans="1:11" s="185" customFormat="1" ht="12" customHeight="1">
      <c r="A160" s="234" t="s">
        <v>538</v>
      </c>
      <c r="B160" s="952" t="s">
        <v>803</v>
      </c>
      <c r="C160" s="235" t="s">
        <v>2339</v>
      </c>
      <c r="D160" s="1479">
        <v>0</v>
      </c>
      <c r="E160" s="1479"/>
      <c r="F160" s="1093"/>
      <c r="G160" s="233"/>
      <c r="H160" s="1113"/>
      <c r="I160" s="1089"/>
      <c r="J160" s="1089"/>
    </row>
    <row r="161" spans="1:10" ht="12" hidden="1" customHeight="1">
      <c r="A161" s="244"/>
      <c r="B161" s="958" t="s">
        <v>2340</v>
      </c>
      <c r="C161" s="245" t="s">
        <v>806</v>
      </c>
      <c r="D161" s="1092">
        <f>SUM(D94:D160)</f>
        <v>17664581</v>
      </c>
      <c r="E161" s="1092">
        <f>SUM(E94:E160)</f>
        <v>20139347</v>
      </c>
      <c r="F161" s="1093"/>
      <c r="G161" s="1093"/>
      <c r="H161" s="1113"/>
      <c r="I161" s="1100"/>
      <c r="J161" s="1100"/>
    </row>
    <row r="162" spans="1:10" ht="15" customHeight="1">
      <c r="A162" s="246"/>
      <c r="B162" s="959"/>
      <c r="C162" s="247"/>
      <c r="D162" s="248"/>
      <c r="E162" s="248"/>
      <c r="F162" s="1100"/>
      <c r="G162" s="1100"/>
      <c r="H162" s="1100"/>
      <c r="I162" s="1100"/>
      <c r="J162" s="1100"/>
    </row>
    <row r="163" spans="1:10" ht="15" customHeight="1">
      <c r="A163" s="246"/>
      <c r="B163" s="959"/>
      <c r="C163" s="247"/>
      <c r="D163" s="248"/>
      <c r="E163" s="248"/>
      <c r="F163" s="1100"/>
      <c r="G163" s="1100"/>
      <c r="H163" s="1100"/>
      <c r="I163" s="1100"/>
      <c r="J163" s="1100"/>
    </row>
    <row r="164" spans="1:10">
      <c r="F164" s="1100"/>
      <c r="G164" s="1100"/>
      <c r="H164" s="1100"/>
      <c r="I164" s="1100"/>
      <c r="J164" s="1100"/>
    </row>
    <row r="165" spans="1:10">
      <c r="F165" s="1100"/>
      <c r="G165" s="1100"/>
      <c r="H165" s="1100"/>
      <c r="I165" s="1100"/>
      <c r="J165" s="1100"/>
    </row>
    <row r="166" spans="1:10">
      <c r="F166" s="1100"/>
      <c r="G166" s="1100"/>
      <c r="H166" s="1100"/>
      <c r="I166" s="1100"/>
      <c r="J166" s="1100"/>
    </row>
    <row r="167" spans="1:10">
      <c r="F167" s="1100"/>
      <c r="G167" s="1100"/>
      <c r="H167" s="1100"/>
      <c r="I167" s="1100"/>
      <c r="J167" s="1100"/>
    </row>
    <row r="168" spans="1:10">
      <c r="F168" s="1100"/>
      <c r="G168" s="1100"/>
      <c r="H168" s="1100"/>
      <c r="I168" s="1100"/>
      <c r="J168" s="1100"/>
    </row>
    <row r="169" spans="1:10">
      <c r="F169" s="1100"/>
      <c r="G169" s="1100"/>
      <c r="H169" s="1100"/>
      <c r="I169" s="1100"/>
      <c r="J169" s="1100"/>
    </row>
    <row r="170" spans="1:10">
      <c r="F170" s="1100"/>
      <c r="G170" s="1100"/>
      <c r="H170" s="1100"/>
      <c r="I170" s="1100"/>
      <c r="J170" s="1100"/>
    </row>
    <row r="171" spans="1:10">
      <c r="F171" s="1100"/>
      <c r="G171" s="1100"/>
      <c r="H171" s="1100"/>
      <c r="I171" s="1100"/>
      <c r="J171" s="1100"/>
    </row>
    <row r="172" spans="1:10">
      <c r="F172" s="1100"/>
      <c r="G172" s="1100"/>
      <c r="H172" s="1100"/>
      <c r="I172" s="1100"/>
      <c r="J172" s="1100"/>
    </row>
    <row r="173" spans="1:10">
      <c r="F173" s="1100"/>
      <c r="G173" s="1100"/>
      <c r="H173" s="1100"/>
      <c r="I173" s="1100"/>
      <c r="J173" s="1100"/>
    </row>
    <row r="174" spans="1:10">
      <c r="F174" s="1100"/>
      <c r="G174" s="1100"/>
      <c r="H174" s="1100"/>
      <c r="I174" s="1100"/>
      <c r="J174" s="1100"/>
    </row>
  </sheetData>
  <mergeCells count="26">
    <mergeCell ref="I71:J74"/>
    <mergeCell ref="I12:J12"/>
    <mergeCell ref="I20:K20"/>
    <mergeCell ref="I30:J30"/>
    <mergeCell ref="I43:J43"/>
    <mergeCell ref="I50:K50"/>
    <mergeCell ref="N51:O51"/>
    <mergeCell ref="I62:K62"/>
    <mergeCell ref="L67:M67"/>
    <mergeCell ref="N67:O67"/>
    <mergeCell ref="I68:J70"/>
    <mergeCell ref="L51:M51"/>
    <mergeCell ref="I75:J75"/>
    <mergeCell ref="I80:J80"/>
    <mergeCell ref="I83:K83"/>
    <mergeCell ref="G117:I117"/>
    <mergeCell ref="G154:J154"/>
    <mergeCell ref="G155:J155"/>
    <mergeCell ref="G156:I156"/>
    <mergeCell ref="G159:H159"/>
    <mergeCell ref="N127:O127"/>
    <mergeCell ref="G133:H133"/>
    <mergeCell ref="G136:J136"/>
    <mergeCell ref="G145:H147"/>
    <mergeCell ref="G151:H151"/>
    <mergeCell ref="L127:M127"/>
  </mergeCells>
  <conditionalFormatting sqref="K1:K4">
    <cfRule type="containsText" dxfId="60" priority="1" operator="containsText" text="Select">
      <formula>NOT(ISERROR(SEARCH("Select",K1)))</formula>
    </cfRule>
  </conditionalFormatting>
  <dataValidations disablePrompts="1" count="4">
    <dataValidation type="list" allowBlank="1" showInputMessage="1" showErrorMessage="1" sqref="K1">
      <formula1>$Q$31:$Q$33</formula1>
    </dataValidation>
    <dataValidation type="list" allowBlank="1" showInputMessage="1" showErrorMessage="1" sqref="K2">
      <formula1>$P$3:$X$3</formula1>
    </dataValidation>
    <dataValidation type="list" allowBlank="1" showInputMessage="1" showErrorMessage="1" sqref="K3">
      <formula1>$Y$5:$Y$20</formula1>
    </dataValidation>
    <dataValidation type="list" allowBlank="1" showInputMessage="1" showErrorMessage="1" sqref="K4">
      <formula1>$Q$1:$Q$2</formula1>
    </dataValidation>
  </dataValidations>
  <hyperlinks>
    <hyperlink ref="G154:K154"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89" max="7"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FFFF99"/>
    <pageSetUpPr fitToPage="1"/>
  </sheetPr>
  <dimension ref="A1:O88"/>
  <sheetViews>
    <sheetView showGridLines="0" showZeros="0" zoomScaleNormal="100" workbookViewId="0">
      <selection activeCell="C1" sqref="C1"/>
    </sheetView>
  </sheetViews>
  <sheetFormatPr defaultColWidth="9.1796875" defaultRowHeight="10"/>
  <cols>
    <col min="1" max="1" width="5.7265625" style="178" customWidth="1"/>
    <col min="2" max="2" width="65" style="230" customWidth="1"/>
    <col min="3" max="3" width="9.26953125" style="199" customWidth="1"/>
    <col min="4" max="4" width="15.54296875" style="290" customWidth="1"/>
    <col min="5" max="5" width="14.54296875" style="178" customWidth="1"/>
    <col min="6" max="6" width="9.1796875" style="178"/>
    <col min="7" max="7" width="3.26953125" style="178" customWidth="1"/>
    <col min="8" max="16384" width="9.1796875" style="178"/>
  </cols>
  <sheetData>
    <row r="1" spans="1:15" ht="12" customHeight="1">
      <c r="A1" s="180" t="s">
        <v>497</v>
      </c>
      <c r="B1" s="1127">
        <v>0</v>
      </c>
      <c r="C1" s="250"/>
      <c r="D1" s="251"/>
      <c r="E1" s="252"/>
      <c r="I1" s="1105"/>
      <c r="J1" s="1153"/>
      <c r="K1" s="1154"/>
    </row>
    <row r="2" spans="1:15" s="185" customFormat="1" ht="12" customHeight="1">
      <c r="A2" s="180" t="s">
        <v>500</v>
      </c>
      <c r="B2" s="1128" t="s">
        <v>807</v>
      </c>
      <c r="C2" s="250"/>
      <c r="D2" s="251"/>
      <c r="E2" s="252"/>
      <c r="I2" s="1105"/>
      <c r="J2" s="1155"/>
      <c r="K2" s="1154"/>
    </row>
    <row r="3" spans="1:15" ht="11.25" customHeight="1">
      <c r="C3" s="178"/>
      <c r="D3" s="178"/>
      <c r="I3" s="1105"/>
      <c r="J3" s="1156"/>
      <c r="K3" s="1154"/>
    </row>
    <row r="4" spans="1:15" ht="11.25" customHeight="1">
      <c r="A4" s="188" t="s">
        <v>2392</v>
      </c>
      <c r="B4" s="937"/>
      <c r="C4" s="189"/>
      <c r="D4" s="254"/>
      <c r="E4" s="255"/>
      <c r="F4" s="1072"/>
      <c r="I4" s="1072"/>
      <c r="J4" s="1129"/>
    </row>
    <row r="5" spans="1:15" ht="12" customHeight="1">
      <c r="B5" s="1130" t="s">
        <v>808</v>
      </c>
      <c r="C5" s="195"/>
      <c r="D5" s="257"/>
      <c r="E5" s="258"/>
      <c r="F5" s="1072"/>
    </row>
    <row r="6" spans="1:15" s="199" customFormat="1" ht="12" customHeight="1">
      <c r="A6" s="259" t="s">
        <v>508</v>
      </c>
      <c r="B6" s="1131" t="s">
        <v>809</v>
      </c>
      <c r="C6" s="259" t="s">
        <v>510</v>
      </c>
      <c r="D6" s="261" t="s">
        <v>810</v>
      </c>
      <c r="E6" s="262"/>
    </row>
    <row r="7" spans="1:15" s="202" customFormat="1" ht="12" customHeight="1">
      <c r="A7" s="263" t="s">
        <v>513</v>
      </c>
      <c r="B7" s="264"/>
      <c r="C7" s="263" t="s">
        <v>514</v>
      </c>
      <c r="D7" s="265" t="s">
        <v>811</v>
      </c>
      <c r="E7" s="266" t="s">
        <v>812</v>
      </c>
    </row>
    <row r="8" spans="1:15" s="199" customFormat="1" ht="12" customHeight="1">
      <c r="A8" s="267" t="s">
        <v>518</v>
      </c>
      <c r="B8" s="1132" t="s">
        <v>519</v>
      </c>
      <c r="C8" s="267" t="s">
        <v>520</v>
      </c>
      <c r="D8" s="269">
        <v>1</v>
      </c>
      <c r="E8" s="267">
        <v>2</v>
      </c>
    </row>
    <row r="9" spans="1:15" s="199" customFormat="1" ht="12" customHeight="1">
      <c r="A9" s="273" t="s">
        <v>880</v>
      </c>
      <c r="B9" s="1133" t="s">
        <v>2341</v>
      </c>
      <c r="C9" s="274" t="s">
        <v>814</v>
      </c>
      <c r="D9" s="1487">
        <f>SUM(D11:D13)</f>
        <v>5478558</v>
      </c>
      <c r="E9" s="1487">
        <f>SUM(E11:E13)</f>
        <v>5307380</v>
      </c>
      <c r="F9" s="1157"/>
      <c r="G9" s="1158"/>
      <c r="H9" s="1158"/>
      <c r="I9" s="1158"/>
      <c r="J9" s="1158"/>
      <c r="K9" s="1158"/>
      <c r="L9" s="1158"/>
      <c r="M9" s="1158"/>
      <c r="N9" s="1158"/>
    </row>
    <row r="10" spans="1:15" s="199" customFormat="1" ht="12" customHeight="1">
      <c r="A10" s="276" t="s">
        <v>942</v>
      </c>
      <c r="B10" s="1134" t="s">
        <v>2342</v>
      </c>
      <c r="C10" s="277" t="s">
        <v>817</v>
      </c>
      <c r="D10" s="1488">
        <f>SUM(D11:D17)</f>
        <v>6371901</v>
      </c>
      <c r="E10" s="1488">
        <f>SUM(E11:E17)</f>
        <v>5384434</v>
      </c>
      <c r="F10" s="1524"/>
      <c r="G10" s="1638"/>
      <c r="H10" s="1638"/>
      <c r="I10" s="1638"/>
      <c r="J10" s="1638"/>
      <c r="K10" s="1636"/>
      <c r="L10" s="1636"/>
      <c r="M10" s="1636"/>
      <c r="N10" s="1636"/>
      <c r="O10" s="1467"/>
    </row>
    <row r="11" spans="1:15" s="185" customFormat="1" ht="12" customHeight="1">
      <c r="A11" s="1135" t="s">
        <v>877</v>
      </c>
      <c r="B11" s="1136" t="s">
        <v>1380</v>
      </c>
      <c r="C11" s="1137" t="s">
        <v>820</v>
      </c>
      <c r="D11" s="1490">
        <v>2422675</v>
      </c>
      <c r="E11" s="1490">
        <v>2493976</v>
      </c>
      <c r="F11" s="1089"/>
      <c r="G11" s="1089"/>
      <c r="H11" s="1089"/>
      <c r="I11" s="1089"/>
      <c r="J11" s="1089"/>
      <c r="K11" s="1089"/>
      <c r="L11" s="1089"/>
      <c r="M11" s="1089"/>
      <c r="N11" s="1089"/>
      <c r="O11" s="1467"/>
    </row>
    <row r="12" spans="1:15" s="185" customFormat="1" ht="12" customHeight="1">
      <c r="A12" s="1138" t="s">
        <v>2343</v>
      </c>
      <c r="B12" s="1136" t="s">
        <v>2344</v>
      </c>
      <c r="C12" s="1137" t="s">
        <v>823</v>
      </c>
      <c r="D12" s="1490">
        <v>2877161</v>
      </c>
      <c r="E12" s="1490">
        <v>2645663</v>
      </c>
      <c r="F12" s="1089"/>
      <c r="G12" s="1159"/>
      <c r="H12" s="1089"/>
      <c r="I12" s="1089"/>
      <c r="J12" s="1089"/>
      <c r="K12" s="1089"/>
      <c r="L12" s="1089"/>
      <c r="M12" s="1089"/>
      <c r="N12" s="1089"/>
      <c r="O12" s="1467"/>
    </row>
    <row r="13" spans="1:15" s="185" customFormat="1" ht="12" customHeight="1">
      <c r="A13" s="1138" t="s">
        <v>2345</v>
      </c>
      <c r="B13" s="1136" t="s">
        <v>2346</v>
      </c>
      <c r="C13" s="1137" t="s">
        <v>826</v>
      </c>
      <c r="D13" s="1490">
        <v>178722</v>
      </c>
      <c r="E13" s="1490">
        <v>167741</v>
      </c>
      <c r="F13" s="1089"/>
      <c r="G13" s="1159"/>
      <c r="H13" s="1089"/>
      <c r="I13" s="1089"/>
      <c r="J13" s="1089"/>
      <c r="K13" s="1089"/>
      <c r="L13" s="1089"/>
      <c r="M13" s="1089"/>
      <c r="N13" s="1089"/>
      <c r="O13" s="1467"/>
    </row>
    <row r="14" spans="1:15" s="185" customFormat="1" ht="12" customHeight="1">
      <c r="A14" s="1138" t="s">
        <v>2347</v>
      </c>
      <c r="B14" s="1136" t="s">
        <v>827</v>
      </c>
      <c r="C14" s="1137" t="s">
        <v>828</v>
      </c>
      <c r="D14" s="1490">
        <v>-734</v>
      </c>
      <c r="E14" s="1490">
        <v>-408</v>
      </c>
      <c r="F14" s="1089"/>
      <c r="G14" s="1159"/>
      <c r="H14" s="1089"/>
      <c r="I14" s="1089"/>
      <c r="J14" s="1089"/>
      <c r="K14" s="1089"/>
      <c r="L14" s="1089"/>
      <c r="M14" s="1089"/>
      <c r="N14" s="1089"/>
      <c r="O14" s="1467"/>
    </row>
    <row r="15" spans="1:15" s="185" customFormat="1" ht="12" customHeight="1">
      <c r="A15" s="1138" t="s">
        <v>976</v>
      </c>
      <c r="B15" s="1136" t="s">
        <v>829</v>
      </c>
      <c r="C15" s="1137" t="s">
        <v>830</v>
      </c>
      <c r="D15" s="1490"/>
      <c r="E15" s="1490"/>
      <c r="F15" s="1089"/>
      <c r="G15" s="1159"/>
      <c r="H15" s="1089"/>
      <c r="I15" s="1089"/>
      <c r="J15" s="1089"/>
      <c r="K15" s="1089"/>
      <c r="L15" s="1089"/>
      <c r="M15" s="1089"/>
      <c r="N15" s="1089"/>
      <c r="O15" s="1467"/>
    </row>
    <row r="16" spans="1:15" s="185" customFormat="1" ht="12" customHeight="1">
      <c r="A16" s="1138" t="s">
        <v>2348</v>
      </c>
      <c r="B16" s="1136" t="s">
        <v>860</v>
      </c>
      <c r="C16" s="1137" t="s">
        <v>832</v>
      </c>
      <c r="D16" s="1490">
        <v>0</v>
      </c>
      <c r="E16" s="1490">
        <v>9584</v>
      </c>
      <c r="F16" s="1089"/>
      <c r="G16" s="1159"/>
      <c r="H16" s="1089"/>
      <c r="I16" s="1089"/>
      <c r="J16" s="1089"/>
      <c r="K16" s="1089"/>
      <c r="L16" s="1089"/>
      <c r="M16" s="1089"/>
      <c r="N16" s="1089"/>
      <c r="O16" s="1467"/>
    </row>
    <row r="17" spans="1:15" s="185" customFormat="1" ht="12" customHeight="1">
      <c r="A17" s="1138" t="s">
        <v>2349</v>
      </c>
      <c r="B17" s="1139" t="s">
        <v>869</v>
      </c>
      <c r="C17" s="1137" t="s">
        <v>835</v>
      </c>
      <c r="D17" s="1490">
        <v>894077</v>
      </c>
      <c r="E17" s="1490">
        <v>67878</v>
      </c>
      <c r="F17" s="1089"/>
      <c r="G17" s="1159"/>
      <c r="H17" s="1089"/>
      <c r="I17" s="1089"/>
      <c r="J17" s="1089"/>
      <c r="K17" s="1089"/>
      <c r="L17" s="1089"/>
      <c r="M17" s="1089"/>
      <c r="N17" s="1089"/>
      <c r="O17" s="1467"/>
    </row>
    <row r="18" spans="1:15" s="185" customFormat="1" ht="12" customHeight="1">
      <c r="A18" s="276" t="s">
        <v>942</v>
      </c>
      <c r="B18" s="1134" t="s">
        <v>2350</v>
      </c>
      <c r="C18" s="277" t="s">
        <v>838</v>
      </c>
      <c r="D18" s="895">
        <f>SUM(D19,D20,D21,D22,D23,D28,D29,D32,D33,D34)</f>
        <v>5845865</v>
      </c>
      <c r="E18" s="895">
        <f>SUM(E19,E20,E21,E22,E23,E28,E29,E32,E33,E34)</f>
        <v>5183863</v>
      </c>
      <c r="F18" s="1089"/>
      <c r="G18" s="1636"/>
      <c r="H18" s="1636"/>
      <c r="I18" s="1636"/>
      <c r="J18" s="1636"/>
      <c r="K18" s="1636"/>
      <c r="L18" s="1636"/>
      <c r="M18" s="1636"/>
      <c r="N18" s="1636"/>
      <c r="O18" s="1467"/>
    </row>
    <row r="19" spans="1:15" s="185" customFormat="1" ht="12" customHeight="1">
      <c r="A19" s="1138" t="s">
        <v>523</v>
      </c>
      <c r="B19" s="1136" t="s">
        <v>2351</v>
      </c>
      <c r="C19" s="1137" t="s">
        <v>840</v>
      </c>
      <c r="D19" s="1486">
        <v>1838666</v>
      </c>
      <c r="E19" s="1486">
        <v>1928175</v>
      </c>
      <c r="F19" s="1089"/>
      <c r="G19" s="1159"/>
      <c r="H19" s="1089"/>
      <c r="I19" s="1089"/>
      <c r="J19" s="1089"/>
      <c r="K19" s="1089"/>
      <c r="L19" s="1089"/>
      <c r="M19" s="1089"/>
      <c r="N19" s="1089"/>
      <c r="O19" s="1467"/>
    </row>
    <row r="20" spans="1:15" s="185" customFormat="1" ht="12" customHeight="1">
      <c r="A20" s="1138" t="s">
        <v>594</v>
      </c>
      <c r="B20" s="1136" t="s">
        <v>2352</v>
      </c>
      <c r="C20" s="1137" t="s">
        <v>842</v>
      </c>
      <c r="D20" s="1490">
        <v>1083808</v>
      </c>
      <c r="E20" s="1490">
        <v>1213571</v>
      </c>
      <c r="F20" s="1089"/>
      <c r="G20" s="1159"/>
      <c r="H20" s="1089"/>
      <c r="I20" s="1089"/>
      <c r="J20" s="1089"/>
      <c r="K20" s="1089"/>
      <c r="L20" s="1089"/>
      <c r="M20" s="1089"/>
      <c r="N20" s="1089"/>
      <c r="O20" s="1467"/>
    </row>
    <row r="21" spans="1:15" s="185" customFormat="1" ht="12" customHeight="1">
      <c r="A21" s="1138" t="s">
        <v>663</v>
      </c>
      <c r="B21" s="1136" t="s">
        <v>2353</v>
      </c>
      <c r="C21" s="1137" t="s">
        <v>844</v>
      </c>
      <c r="D21" s="1490">
        <v>16562</v>
      </c>
      <c r="E21" s="1490">
        <v>1391</v>
      </c>
      <c r="F21" s="1089"/>
      <c r="G21" s="1159"/>
      <c r="H21" s="1089"/>
      <c r="I21" s="1089"/>
      <c r="J21" s="1089"/>
      <c r="K21" s="1089"/>
      <c r="L21" s="1089"/>
      <c r="M21" s="1089"/>
      <c r="N21" s="1089"/>
      <c r="O21" s="1467"/>
    </row>
    <row r="22" spans="1:15" s="185" customFormat="1" ht="12" customHeight="1">
      <c r="A22" s="1138" t="s">
        <v>853</v>
      </c>
      <c r="B22" s="1136" t="s">
        <v>837</v>
      </c>
      <c r="C22" s="1137" t="s">
        <v>846</v>
      </c>
      <c r="D22" s="1486">
        <v>323531</v>
      </c>
      <c r="E22" s="1486">
        <v>441930</v>
      </c>
      <c r="F22" s="1089"/>
      <c r="G22" s="1159"/>
      <c r="H22" s="1089"/>
      <c r="I22" s="1089"/>
      <c r="J22" s="1089"/>
      <c r="K22" s="1089"/>
      <c r="L22" s="1089"/>
      <c r="M22" s="1089"/>
      <c r="N22" s="1089"/>
      <c r="O22" s="1467"/>
    </row>
    <row r="23" spans="1:15" s="207" customFormat="1" ht="12" customHeight="1">
      <c r="A23" s="1140" t="s">
        <v>856</v>
      </c>
      <c r="B23" s="1141" t="s">
        <v>841</v>
      </c>
      <c r="C23" s="1142" t="s">
        <v>849</v>
      </c>
      <c r="D23" s="1489">
        <f>SUM(D24:D27)</f>
        <v>1238578</v>
      </c>
      <c r="E23" s="1489">
        <v>1097102</v>
      </c>
      <c r="F23" s="1113"/>
      <c r="G23" s="1636"/>
      <c r="H23" s="1636"/>
      <c r="I23" s="1636"/>
      <c r="J23" s="1636"/>
      <c r="K23" s="1091"/>
      <c r="L23" s="1091"/>
      <c r="M23" s="1091"/>
      <c r="N23" s="1091"/>
      <c r="O23" s="1467"/>
    </row>
    <row r="24" spans="1:15" s="185" customFormat="1" ht="12" customHeight="1">
      <c r="A24" s="270" t="s">
        <v>2354</v>
      </c>
      <c r="B24" s="1143" t="s">
        <v>843</v>
      </c>
      <c r="C24" s="272" t="s">
        <v>852</v>
      </c>
      <c r="D24" s="1485">
        <v>888993</v>
      </c>
      <c r="E24" s="1485">
        <v>781249</v>
      </c>
      <c r="F24" s="1089"/>
      <c r="G24" s="1159"/>
      <c r="H24" s="1089"/>
      <c r="I24" s="1089"/>
      <c r="J24" s="1089"/>
      <c r="K24" s="1089"/>
      <c r="L24" s="1089"/>
      <c r="M24" s="1089"/>
      <c r="N24" s="1089"/>
      <c r="O24" s="1467"/>
    </row>
    <row r="25" spans="1:15" s="185" customFormat="1" ht="12" customHeight="1">
      <c r="A25" s="1144" t="s">
        <v>532</v>
      </c>
      <c r="B25" s="1143" t="s">
        <v>845</v>
      </c>
      <c r="C25" s="272" t="s">
        <v>855</v>
      </c>
      <c r="D25" s="1485">
        <v>0</v>
      </c>
      <c r="E25" s="1485">
        <v>0</v>
      </c>
      <c r="F25" s="1089"/>
      <c r="G25" s="1159"/>
      <c r="H25" s="1089"/>
      <c r="I25" s="1089"/>
      <c r="J25" s="1089"/>
      <c r="K25" s="1089"/>
      <c r="L25" s="1089"/>
      <c r="M25" s="1089"/>
      <c r="N25" s="1089"/>
      <c r="O25" s="1467"/>
    </row>
    <row r="26" spans="1:15" s="185" customFormat="1" ht="12" customHeight="1">
      <c r="A26" s="1144" t="s">
        <v>535</v>
      </c>
      <c r="B26" s="1143" t="s">
        <v>848</v>
      </c>
      <c r="C26" s="272" t="s">
        <v>858</v>
      </c>
      <c r="D26" s="1485">
        <v>297289</v>
      </c>
      <c r="E26" s="1485">
        <v>266859</v>
      </c>
      <c r="F26" s="1089"/>
      <c r="G26" s="1159"/>
      <c r="H26" s="1089"/>
      <c r="I26" s="1089"/>
      <c r="J26" s="1089"/>
      <c r="K26" s="1089"/>
      <c r="L26" s="1089"/>
      <c r="M26" s="1089"/>
      <c r="N26" s="1089"/>
      <c r="O26" s="1467"/>
    </row>
    <row r="27" spans="1:15" s="185" customFormat="1" ht="12" customHeight="1">
      <c r="A27" s="1144" t="s">
        <v>538</v>
      </c>
      <c r="B27" s="1143" t="s">
        <v>851</v>
      </c>
      <c r="C27" s="272" t="s">
        <v>861</v>
      </c>
      <c r="D27" s="1485">
        <v>52296</v>
      </c>
      <c r="E27" s="1485">
        <v>48994</v>
      </c>
      <c r="F27" s="1089"/>
      <c r="G27" s="1159"/>
      <c r="H27" s="1089"/>
      <c r="I27" s="1089"/>
      <c r="J27" s="1089"/>
      <c r="K27" s="1089"/>
      <c r="L27" s="1089"/>
      <c r="M27" s="1089"/>
      <c r="N27" s="1089"/>
      <c r="O27" s="1467"/>
    </row>
    <row r="28" spans="1:15" s="185" customFormat="1" ht="12" customHeight="1">
      <c r="A28" s="1138" t="s">
        <v>862</v>
      </c>
      <c r="B28" s="1136" t="s">
        <v>854</v>
      </c>
      <c r="C28" s="1137" t="s">
        <v>864</v>
      </c>
      <c r="D28" s="1490">
        <v>11548</v>
      </c>
      <c r="E28" s="1490">
        <v>8670</v>
      </c>
      <c r="F28" s="1089"/>
      <c r="G28" s="1159"/>
      <c r="H28" s="1089"/>
      <c r="I28" s="1089"/>
      <c r="J28" s="1089"/>
      <c r="K28" s="1089"/>
      <c r="L28" s="1089"/>
      <c r="M28" s="1089"/>
      <c r="N28" s="1089"/>
      <c r="O28" s="1467"/>
    </row>
    <row r="29" spans="1:15" s="185" customFormat="1" ht="12" customHeight="1">
      <c r="A29" s="1140" t="s">
        <v>865</v>
      </c>
      <c r="B29" s="1141" t="s">
        <v>2355</v>
      </c>
      <c r="C29" s="1142" t="s">
        <v>867</v>
      </c>
      <c r="D29" s="1489">
        <f>D30+D31</f>
        <v>429679</v>
      </c>
      <c r="E29" s="1489">
        <v>406478</v>
      </c>
      <c r="F29" s="1089"/>
      <c r="G29" s="1159"/>
      <c r="H29" s="1089"/>
      <c r="I29" s="1089"/>
      <c r="J29" s="1089"/>
      <c r="K29" s="1089"/>
      <c r="L29" s="1089"/>
      <c r="M29" s="1089"/>
      <c r="N29" s="1089"/>
      <c r="O29" s="1467"/>
    </row>
    <row r="30" spans="1:15" s="185" customFormat="1" ht="12" customHeight="1">
      <c r="A30" s="270" t="s">
        <v>2356</v>
      </c>
      <c r="B30" s="1143" t="s">
        <v>2357</v>
      </c>
      <c r="C30" s="272" t="s">
        <v>870</v>
      </c>
      <c r="D30" s="1485">
        <v>429679</v>
      </c>
      <c r="E30" s="1485">
        <v>406478</v>
      </c>
      <c r="F30" s="1089"/>
      <c r="G30" s="1159"/>
      <c r="H30" s="1089"/>
      <c r="I30" s="1089"/>
      <c r="J30" s="1089"/>
      <c r="K30" s="1089"/>
      <c r="L30" s="1089"/>
      <c r="M30" s="1089"/>
      <c r="N30" s="1089"/>
      <c r="O30" s="1467"/>
    </row>
    <row r="31" spans="1:15" s="185" customFormat="1" ht="12" customHeight="1">
      <c r="A31" s="1144" t="s">
        <v>532</v>
      </c>
      <c r="B31" s="1143" t="s">
        <v>2358</v>
      </c>
      <c r="C31" s="272" t="s">
        <v>873</v>
      </c>
      <c r="D31" s="1485">
        <v>0</v>
      </c>
      <c r="E31" s="1485">
        <v>0</v>
      </c>
      <c r="F31" s="1089"/>
      <c r="G31" s="1159"/>
      <c r="H31" s="1089"/>
      <c r="I31" s="1089"/>
      <c r="J31" s="1089"/>
      <c r="K31" s="1089"/>
      <c r="L31" s="1089"/>
      <c r="M31" s="1089"/>
      <c r="N31" s="1089"/>
      <c r="O31" s="1467"/>
    </row>
    <row r="32" spans="1:15" s="185" customFormat="1" ht="12" customHeight="1">
      <c r="A32" s="1138" t="s">
        <v>871</v>
      </c>
      <c r="B32" s="1136" t="s">
        <v>863</v>
      </c>
      <c r="C32" s="1137" t="s">
        <v>876</v>
      </c>
      <c r="D32" s="1490">
        <v>0</v>
      </c>
      <c r="E32" s="1490">
        <v>0</v>
      </c>
      <c r="F32" s="1089"/>
      <c r="G32" s="1159"/>
      <c r="H32" s="1089"/>
      <c r="I32" s="1089"/>
      <c r="J32" s="1089"/>
      <c r="K32" s="1089"/>
      <c r="L32" s="1089"/>
      <c r="M32" s="1089"/>
      <c r="N32" s="1089"/>
      <c r="O32" s="1467"/>
    </row>
    <row r="33" spans="1:15" s="185" customFormat="1" ht="12" customHeight="1">
      <c r="A33" s="1138" t="s">
        <v>877</v>
      </c>
      <c r="B33" s="1139" t="s">
        <v>866</v>
      </c>
      <c r="C33" s="1137" t="s">
        <v>879</v>
      </c>
      <c r="D33" s="1490">
        <v>-535</v>
      </c>
      <c r="E33" s="1490">
        <v>9730</v>
      </c>
      <c r="F33" s="1089"/>
      <c r="G33" s="1159"/>
      <c r="H33" s="1089"/>
      <c r="I33" s="1089"/>
      <c r="J33" s="1089"/>
      <c r="K33" s="1089"/>
      <c r="L33" s="1089"/>
      <c r="M33" s="1089"/>
      <c r="N33" s="1089"/>
      <c r="O33" s="1467"/>
    </row>
    <row r="34" spans="1:15" s="185" customFormat="1" ht="12" customHeight="1">
      <c r="A34" s="1138" t="s">
        <v>886</v>
      </c>
      <c r="B34" s="1139" t="s">
        <v>872</v>
      </c>
      <c r="C34" s="1137" t="s">
        <v>882</v>
      </c>
      <c r="D34" s="1490">
        <v>904028</v>
      </c>
      <c r="E34" s="1490">
        <v>76816</v>
      </c>
      <c r="F34" s="1089"/>
      <c r="G34" s="1159"/>
      <c r="H34" s="1089"/>
      <c r="I34" s="1089"/>
      <c r="J34" s="1089"/>
      <c r="K34" s="1089"/>
      <c r="L34" s="1089"/>
      <c r="M34" s="1089"/>
      <c r="N34" s="1089"/>
      <c r="O34" s="1467"/>
    </row>
    <row r="35" spans="1:15" s="275" customFormat="1" ht="10.5">
      <c r="A35" s="273" t="s">
        <v>973</v>
      </c>
      <c r="B35" s="1145" t="s">
        <v>2359</v>
      </c>
      <c r="C35" s="283" t="s">
        <v>885</v>
      </c>
      <c r="D35" s="1487">
        <f>D10-D18</f>
        <v>526036</v>
      </c>
      <c r="E35" s="1487">
        <f>E10-E18</f>
        <v>200571</v>
      </c>
      <c r="F35" s="1160"/>
      <c r="G35" s="1636"/>
      <c r="H35" s="1636"/>
      <c r="I35" s="1636"/>
      <c r="J35" s="1636"/>
      <c r="K35" s="1636"/>
      <c r="L35" s="1636"/>
      <c r="M35" s="1636"/>
      <c r="N35" s="1636"/>
      <c r="O35" s="1467"/>
    </row>
    <row r="36" spans="1:15" s="275" customFormat="1" ht="12" customHeight="1">
      <c r="A36" s="273" t="s">
        <v>880</v>
      </c>
      <c r="B36" s="1145" t="s">
        <v>2360</v>
      </c>
      <c r="C36" s="274" t="s">
        <v>888</v>
      </c>
      <c r="D36" s="894">
        <f>SUM(D11:D15)-SUM(D19:D22)</f>
        <v>2215257</v>
      </c>
      <c r="E36" s="894">
        <f>SUM(E11:E15)-SUM(E19:E22)</f>
        <v>1721905</v>
      </c>
      <c r="F36" s="1160"/>
      <c r="G36" s="1636"/>
      <c r="H36" s="1636"/>
      <c r="I36" s="1636"/>
      <c r="J36" s="1636"/>
      <c r="K36" s="1161"/>
      <c r="L36" s="1161"/>
      <c r="M36" s="1161"/>
      <c r="N36" s="1161"/>
      <c r="O36" s="1467"/>
    </row>
    <row r="37" spans="1:15" s="275" customFormat="1" ht="12" customHeight="1">
      <c r="A37" s="273" t="s">
        <v>942</v>
      </c>
      <c r="B37" s="1145" t="s">
        <v>2361</v>
      </c>
      <c r="C37" s="274" t="s">
        <v>891</v>
      </c>
      <c r="D37" s="894">
        <f>SUM(D38,D39,D43,D47,D50,D51,D52)</f>
        <v>26683</v>
      </c>
      <c r="E37" s="894">
        <f>SUM(E38,E39,E43,E47,E50,E51,E52)</f>
        <v>46176</v>
      </c>
      <c r="F37" s="1160"/>
      <c r="G37" s="1636"/>
      <c r="H37" s="1636"/>
      <c r="I37" s="1636"/>
      <c r="J37" s="1636"/>
      <c r="K37" s="1161"/>
      <c r="L37" s="1161"/>
      <c r="M37" s="1161"/>
      <c r="N37" s="1161"/>
      <c r="O37" s="1467"/>
    </row>
    <row r="38" spans="1:15" s="185" customFormat="1" ht="12" customHeight="1">
      <c r="A38" s="1138" t="s">
        <v>2362</v>
      </c>
      <c r="B38" s="1139" t="s">
        <v>884</v>
      </c>
      <c r="C38" s="1137" t="s">
        <v>894</v>
      </c>
      <c r="D38" s="1490">
        <v>0</v>
      </c>
      <c r="E38" s="1491">
        <v>0</v>
      </c>
      <c r="F38" s="1089"/>
      <c r="G38" s="1159"/>
      <c r="H38" s="1118"/>
      <c r="I38" s="1117"/>
      <c r="J38" s="1117"/>
      <c r="K38" s="1117"/>
      <c r="L38" s="1089"/>
      <c r="M38" s="1089"/>
      <c r="N38" s="1089"/>
      <c r="O38" s="1467"/>
    </row>
    <row r="39" spans="1:15" s="185" customFormat="1" ht="12" customHeight="1">
      <c r="A39" s="1138" t="s">
        <v>2363</v>
      </c>
      <c r="B39" s="1139" t="s">
        <v>2364</v>
      </c>
      <c r="C39" s="1137" t="s">
        <v>897</v>
      </c>
      <c r="D39" s="1490">
        <v>0</v>
      </c>
      <c r="E39" s="1490">
        <v>0</v>
      </c>
      <c r="F39" s="1089"/>
      <c r="G39" s="1159"/>
      <c r="H39" s="1119"/>
      <c r="I39" s="1117"/>
      <c r="J39" s="1123"/>
      <c r="K39" s="1123"/>
      <c r="L39" s="1089"/>
      <c r="M39" s="1089"/>
      <c r="N39" s="1089"/>
      <c r="O39" s="1467"/>
    </row>
    <row r="40" spans="1:15" s="185" customFormat="1" ht="12" customHeight="1">
      <c r="A40" s="1146" t="s">
        <v>2365</v>
      </c>
      <c r="B40" s="1147" t="s">
        <v>2668</v>
      </c>
      <c r="C40" s="1148" t="s">
        <v>900</v>
      </c>
      <c r="D40" s="1492">
        <v>0</v>
      </c>
      <c r="E40" s="1493">
        <v>0</v>
      </c>
      <c r="F40" s="1089"/>
      <c r="G40" s="1159"/>
      <c r="H40" s="1119"/>
      <c r="I40" s="1117"/>
      <c r="J40" s="1117"/>
      <c r="K40" s="1117"/>
      <c r="L40" s="1089"/>
      <c r="M40" s="1089"/>
      <c r="N40" s="1089"/>
      <c r="O40" s="1467"/>
    </row>
    <row r="41" spans="1:15" s="185" customFormat="1" ht="12" customHeight="1">
      <c r="A41" s="1144" t="s">
        <v>532</v>
      </c>
      <c r="B41" s="1149" t="s">
        <v>2669</v>
      </c>
      <c r="C41" s="272" t="s">
        <v>903</v>
      </c>
      <c r="D41" s="1485">
        <v>0</v>
      </c>
      <c r="E41" s="1484">
        <v>0</v>
      </c>
      <c r="F41" s="1089"/>
      <c r="G41" s="1159"/>
      <c r="H41" s="1119"/>
      <c r="I41" s="1117"/>
      <c r="J41" s="1117"/>
      <c r="K41" s="1117"/>
      <c r="L41" s="1089"/>
      <c r="M41" s="1089"/>
      <c r="N41" s="1089"/>
      <c r="O41" s="1467"/>
    </row>
    <row r="42" spans="1:15" s="185" customFormat="1" ht="12" customHeight="1">
      <c r="A42" s="1144" t="s">
        <v>535</v>
      </c>
      <c r="B42" s="1149" t="s">
        <v>896</v>
      </c>
      <c r="C42" s="272" t="s">
        <v>906</v>
      </c>
      <c r="D42" s="1485">
        <v>0</v>
      </c>
      <c r="E42" s="1484">
        <v>0</v>
      </c>
      <c r="F42" s="1089"/>
      <c r="G42" s="1159"/>
      <c r="H42" s="1123"/>
      <c r="I42" s="1117"/>
      <c r="J42" s="1117"/>
      <c r="K42" s="1117"/>
      <c r="L42" s="1089"/>
      <c r="M42" s="1089"/>
      <c r="N42" s="1089"/>
      <c r="O42" s="1467"/>
    </row>
    <row r="43" spans="1:15" s="185" customFormat="1" ht="12" customHeight="1">
      <c r="A43" s="1138" t="s">
        <v>2366</v>
      </c>
      <c r="B43" s="1139" t="s">
        <v>2367</v>
      </c>
      <c r="C43" s="1137" t="s">
        <v>909</v>
      </c>
      <c r="D43" s="1490">
        <v>0</v>
      </c>
      <c r="E43" s="1490">
        <v>0</v>
      </c>
      <c r="F43" s="1089"/>
      <c r="G43" s="1159"/>
      <c r="H43" s="1124"/>
      <c r="I43" s="1124"/>
      <c r="J43" s="1162"/>
      <c r="K43" s="1162"/>
      <c r="L43" s="1089"/>
      <c r="M43" s="1089"/>
      <c r="N43" s="1089"/>
      <c r="O43" s="1467"/>
    </row>
    <row r="44" spans="1:15" s="185" customFormat="1" ht="12" customHeight="1">
      <c r="A44" s="270" t="s">
        <v>2368</v>
      </c>
      <c r="B44" s="1149" t="s">
        <v>2670</v>
      </c>
      <c r="C44" s="272" t="s">
        <v>912</v>
      </c>
      <c r="D44" s="1485">
        <v>0</v>
      </c>
      <c r="E44" s="1484">
        <v>0</v>
      </c>
      <c r="F44" s="1089"/>
      <c r="G44" s="1159"/>
      <c r="H44" s="1089"/>
      <c r="I44" s="1089"/>
      <c r="J44" s="1089"/>
      <c r="K44" s="1089"/>
      <c r="L44" s="1089"/>
      <c r="M44" s="1089"/>
      <c r="N44" s="1089"/>
      <c r="O44" s="1467"/>
    </row>
    <row r="45" spans="1:15" s="185" customFormat="1" ht="12" customHeight="1">
      <c r="A45" s="1144" t="s">
        <v>532</v>
      </c>
      <c r="B45" s="1149" t="s">
        <v>2671</v>
      </c>
      <c r="C45" s="272" t="s">
        <v>915</v>
      </c>
      <c r="D45" s="1485">
        <v>0</v>
      </c>
      <c r="E45" s="1484">
        <v>0</v>
      </c>
      <c r="F45" s="1089"/>
      <c r="G45" s="1159"/>
      <c r="H45" s="1118"/>
      <c r="I45" s="1117"/>
      <c r="J45" s="1117"/>
      <c r="K45" s="1117"/>
      <c r="L45" s="1089"/>
      <c r="M45" s="1089"/>
      <c r="N45" s="1089"/>
      <c r="O45" s="1467"/>
    </row>
    <row r="46" spans="1:15" s="185" customFormat="1" ht="12" customHeight="1">
      <c r="A46" s="1144" t="s">
        <v>535</v>
      </c>
      <c r="B46" s="1149" t="s">
        <v>2369</v>
      </c>
      <c r="C46" s="272" t="s">
        <v>918</v>
      </c>
      <c r="D46" s="1485">
        <v>0</v>
      </c>
      <c r="E46" s="1484">
        <v>0</v>
      </c>
      <c r="F46" s="1089"/>
      <c r="G46" s="1159"/>
      <c r="H46" s="1119"/>
      <c r="I46" s="1117"/>
      <c r="J46" s="1123"/>
      <c r="K46" s="1123"/>
      <c r="L46" s="1089"/>
      <c r="M46" s="1089"/>
      <c r="N46" s="1089"/>
      <c r="O46" s="1467"/>
    </row>
    <row r="47" spans="1:15" s="185" customFormat="1" ht="12" customHeight="1">
      <c r="A47" s="1138" t="s">
        <v>2370</v>
      </c>
      <c r="B47" s="1139" t="s">
        <v>2371</v>
      </c>
      <c r="C47" s="1137" t="s">
        <v>921</v>
      </c>
      <c r="D47" s="1490">
        <f>D48+D49</f>
        <v>2</v>
      </c>
      <c r="E47" s="1490"/>
      <c r="F47" s="1089"/>
      <c r="G47" s="1159"/>
      <c r="H47" s="1119"/>
      <c r="I47" s="1117"/>
      <c r="J47" s="1117"/>
      <c r="K47" s="1117"/>
      <c r="L47" s="1089"/>
      <c r="M47" s="1089"/>
      <c r="N47" s="1089"/>
      <c r="O47" s="1467"/>
    </row>
    <row r="48" spans="1:15" s="185" customFormat="1" ht="12" customHeight="1">
      <c r="A48" s="270" t="s">
        <v>2372</v>
      </c>
      <c r="B48" s="1149" t="s">
        <v>2672</v>
      </c>
      <c r="C48" s="272" t="s">
        <v>924</v>
      </c>
      <c r="D48" s="1485">
        <v>0</v>
      </c>
      <c r="E48" s="1485">
        <v>0</v>
      </c>
      <c r="F48" s="1089"/>
      <c r="G48" s="1159"/>
      <c r="H48" s="1119"/>
      <c r="I48" s="1117"/>
      <c r="J48" s="1117"/>
      <c r="K48" s="1117"/>
      <c r="L48" s="1089"/>
      <c r="M48" s="1089"/>
      <c r="N48" s="1089"/>
      <c r="O48" s="1467"/>
    </row>
    <row r="49" spans="1:15" s="185" customFormat="1" ht="12" customHeight="1">
      <c r="A49" s="1144" t="s">
        <v>532</v>
      </c>
      <c r="B49" s="1149" t="s">
        <v>2373</v>
      </c>
      <c r="C49" s="272" t="s">
        <v>927</v>
      </c>
      <c r="D49" s="1485">
        <v>2</v>
      </c>
      <c r="E49" s="1485"/>
      <c r="F49" s="1089"/>
      <c r="G49" s="1159"/>
      <c r="H49" s="1123"/>
      <c r="I49" s="1117"/>
      <c r="J49" s="1117"/>
      <c r="K49" s="1117"/>
      <c r="L49" s="1089"/>
      <c r="M49" s="1089"/>
      <c r="N49" s="1089"/>
      <c r="O49" s="1467"/>
    </row>
    <row r="50" spans="1:15" s="185" customFormat="1" ht="12" customHeight="1">
      <c r="A50" s="1138" t="s">
        <v>2374</v>
      </c>
      <c r="B50" s="1139" t="s">
        <v>923</v>
      </c>
      <c r="C50" s="1137" t="s">
        <v>930</v>
      </c>
      <c r="D50" s="1490">
        <v>26681</v>
      </c>
      <c r="E50" s="1490">
        <v>46176</v>
      </c>
      <c r="F50" s="1089"/>
      <c r="G50" s="1159"/>
      <c r="H50" s="1124"/>
      <c r="I50" s="1124"/>
      <c r="J50" s="1162"/>
      <c r="K50" s="1162"/>
      <c r="L50" s="1089"/>
      <c r="M50" s="1089"/>
      <c r="N50" s="1089"/>
      <c r="O50" s="1467"/>
    </row>
    <row r="51" spans="1:15" s="185" customFormat="1" ht="12" customHeight="1">
      <c r="A51" s="1138" t="s">
        <v>2375</v>
      </c>
      <c r="B51" s="1139" t="s">
        <v>908</v>
      </c>
      <c r="C51" s="1137" t="s">
        <v>933</v>
      </c>
      <c r="D51" s="1490">
        <v>0</v>
      </c>
      <c r="E51" s="1490">
        <v>0</v>
      </c>
      <c r="F51" s="1089"/>
      <c r="G51" s="1159"/>
      <c r="H51" s="1089"/>
      <c r="I51" s="1089"/>
      <c r="J51" s="1089"/>
      <c r="K51" s="1089"/>
      <c r="L51" s="1089"/>
      <c r="M51" s="1089"/>
      <c r="N51" s="1089"/>
      <c r="O51" s="1467"/>
    </row>
    <row r="52" spans="1:15" s="185" customFormat="1" ht="12" customHeight="1">
      <c r="A52" s="1138" t="s">
        <v>2376</v>
      </c>
      <c r="B52" s="1139" t="s">
        <v>929</v>
      </c>
      <c r="C52" s="1137" t="s">
        <v>936</v>
      </c>
      <c r="D52" s="1490">
        <v>0</v>
      </c>
      <c r="E52" s="1490">
        <v>0</v>
      </c>
      <c r="F52" s="1089"/>
      <c r="G52" s="1159"/>
      <c r="H52" s="1089"/>
      <c r="I52" s="1089"/>
      <c r="J52" s="1089"/>
      <c r="K52" s="1089"/>
      <c r="L52" s="1089"/>
      <c r="M52" s="1089"/>
      <c r="N52" s="1089"/>
      <c r="O52" s="1467"/>
    </row>
    <row r="53" spans="1:15" s="207" customFormat="1" ht="12" customHeight="1">
      <c r="A53" s="276" t="s">
        <v>942</v>
      </c>
      <c r="B53" s="1134" t="s">
        <v>2377</v>
      </c>
      <c r="C53" s="277" t="s">
        <v>939</v>
      </c>
      <c r="D53" s="1488">
        <f>D60+D62</f>
        <v>55608</v>
      </c>
      <c r="E53" s="1488">
        <f>E60+E62</f>
        <v>33910</v>
      </c>
      <c r="F53" s="1160"/>
      <c r="G53" s="1636"/>
      <c r="H53" s="1636"/>
      <c r="I53" s="1636"/>
      <c r="J53" s="1636"/>
      <c r="K53" s="1091"/>
      <c r="L53" s="1091"/>
      <c r="M53" s="1091"/>
      <c r="N53" s="1091"/>
      <c r="O53" s="1467"/>
    </row>
    <row r="54" spans="1:15" s="185" customFormat="1" ht="12" customHeight="1">
      <c r="A54" s="1138" t="s">
        <v>904</v>
      </c>
      <c r="B54" s="1139" t="s">
        <v>887</v>
      </c>
      <c r="C54" s="1137" t="s">
        <v>941</v>
      </c>
      <c r="D54" s="1490">
        <v>0</v>
      </c>
      <c r="E54" s="1491">
        <v>0</v>
      </c>
      <c r="F54" s="1089"/>
      <c r="G54" s="1159"/>
      <c r="H54" s="1089"/>
      <c r="I54" s="1089"/>
      <c r="J54" s="1089"/>
      <c r="K54" s="1089"/>
      <c r="L54" s="1089"/>
      <c r="M54" s="1089"/>
      <c r="N54" s="1089"/>
      <c r="O54" s="1467"/>
    </row>
    <row r="55" spans="1:15" s="185" customFormat="1" ht="12" customHeight="1">
      <c r="A55" s="1138" t="s">
        <v>910</v>
      </c>
      <c r="B55" s="1139" t="s">
        <v>905</v>
      </c>
      <c r="C55" s="1137" t="s">
        <v>944</v>
      </c>
      <c r="D55" s="1490">
        <v>0</v>
      </c>
      <c r="E55" s="1491">
        <v>0</v>
      </c>
      <c r="F55" s="1089"/>
      <c r="G55" s="1159"/>
      <c r="H55" s="1122"/>
      <c r="I55" s="1637"/>
      <c r="J55" s="1637"/>
      <c r="K55" s="1637"/>
      <c r="L55" s="1637"/>
      <c r="M55" s="1089"/>
      <c r="N55" s="1089"/>
      <c r="O55" s="1467"/>
    </row>
    <row r="56" spans="1:15" s="185" customFormat="1" ht="12" customHeight="1">
      <c r="A56" s="1138" t="s">
        <v>913</v>
      </c>
      <c r="B56" s="1139" t="s">
        <v>2378</v>
      </c>
      <c r="C56" s="1137" t="s">
        <v>947</v>
      </c>
      <c r="D56" s="1490">
        <v>0</v>
      </c>
      <c r="E56" s="1491">
        <v>0</v>
      </c>
      <c r="F56" s="1089"/>
      <c r="G56" s="1159"/>
      <c r="H56" s="1123"/>
      <c r="I56" s="1123"/>
      <c r="J56" s="1123"/>
      <c r="K56" s="1123"/>
      <c r="L56" s="1123"/>
      <c r="M56" s="1089"/>
      <c r="N56" s="1089"/>
      <c r="O56" s="1467"/>
    </row>
    <row r="57" spans="1:15" s="185" customFormat="1" ht="12" customHeight="1">
      <c r="A57" s="1138" t="s">
        <v>919</v>
      </c>
      <c r="B57" s="1139" t="s">
        <v>2379</v>
      </c>
      <c r="C57" s="1137" t="s">
        <v>950</v>
      </c>
      <c r="D57" s="1490">
        <v>0</v>
      </c>
      <c r="E57" s="1490">
        <v>0</v>
      </c>
      <c r="F57" s="1089"/>
      <c r="G57" s="1159"/>
      <c r="H57" s="1123"/>
      <c r="I57" s="1117"/>
      <c r="J57" s="1117"/>
      <c r="K57" s="1117"/>
      <c r="L57" s="1117"/>
      <c r="M57" s="1089"/>
      <c r="N57" s="1089"/>
      <c r="O57" s="1467"/>
    </row>
    <row r="58" spans="1:15" s="185" customFormat="1" ht="12" customHeight="1">
      <c r="A58" s="270" t="s">
        <v>2380</v>
      </c>
      <c r="B58" s="1149" t="s">
        <v>2673</v>
      </c>
      <c r="C58" s="272" t="s">
        <v>952</v>
      </c>
      <c r="D58" s="1485">
        <v>0</v>
      </c>
      <c r="E58" s="1484">
        <v>0</v>
      </c>
      <c r="F58" s="1089"/>
      <c r="G58" s="1159"/>
      <c r="H58" s="1123"/>
      <c r="I58" s="1117"/>
      <c r="J58" s="1117"/>
      <c r="K58" s="1117"/>
      <c r="L58" s="1117"/>
      <c r="M58" s="1089"/>
      <c r="N58" s="1089"/>
      <c r="O58" s="1467"/>
    </row>
    <row r="59" spans="1:15" s="185" customFormat="1" ht="12" customHeight="1">
      <c r="A59" s="1144" t="s">
        <v>532</v>
      </c>
      <c r="B59" s="1149" t="s">
        <v>2381</v>
      </c>
      <c r="C59" s="272" t="s">
        <v>954</v>
      </c>
      <c r="D59" s="1485">
        <v>0</v>
      </c>
      <c r="E59" s="1484">
        <v>0</v>
      </c>
      <c r="F59" s="1089"/>
      <c r="G59" s="1159"/>
      <c r="H59" s="1124"/>
      <c r="I59" s="1162"/>
      <c r="J59" s="1162"/>
      <c r="K59" s="1162"/>
      <c r="L59" s="1162"/>
      <c r="M59" s="1089"/>
      <c r="N59" s="1089"/>
      <c r="O59" s="1467"/>
    </row>
    <row r="60" spans="1:15" s="185" customFormat="1" ht="12" customHeight="1">
      <c r="A60" s="1138" t="s">
        <v>925</v>
      </c>
      <c r="B60" s="1139" t="s">
        <v>926</v>
      </c>
      <c r="C60" s="1137" t="s">
        <v>957</v>
      </c>
      <c r="D60" s="1490">
        <v>47236</v>
      </c>
      <c r="E60" s="1490">
        <v>28482</v>
      </c>
      <c r="F60" s="1089"/>
      <c r="G60" s="1159"/>
      <c r="H60" s="1089"/>
      <c r="I60" s="1089"/>
      <c r="J60" s="1089"/>
      <c r="K60" s="1089"/>
      <c r="L60" s="1089"/>
      <c r="M60" s="1089"/>
      <c r="N60" s="1089"/>
      <c r="O60" s="1467"/>
    </row>
    <row r="61" spans="1:15" s="185" customFormat="1" ht="12" customHeight="1">
      <c r="A61" s="1138" t="s">
        <v>931</v>
      </c>
      <c r="B61" s="1139" t="s">
        <v>911</v>
      </c>
      <c r="C61" s="1137" t="s">
        <v>960</v>
      </c>
      <c r="D61" s="1490">
        <v>0</v>
      </c>
      <c r="E61" s="1490">
        <v>0</v>
      </c>
      <c r="F61" s="1089"/>
      <c r="G61" s="1159"/>
      <c r="H61" s="1089"/>
      <c r="I61" s="1089"/>
      <c r="J61" s="1089"/>
      <c r="K61" s="1089"/>
      <c r="L61" s="1089"/>
      <c r="M61" s="1089"/>
      <c r="N61" s="1089"/>
      <c r="O61" s="1467"/>
    </row>
    <row r="62" spans="1:15" s="185" customFormat="1" ht="12" customHeight="1">
      <c r="A62" s="1138" t="s">
        <v>2382</v>
      </c>
      <c r="B62" s="1139" t="s">
        <v>932</v>
      </c>
      <c r="C62" s="1137" t="s">
        <v>962</v>
      </c>
      <c r="D62" s="1490">
        <v>8372</v>
      </c>
      <c r="E62" s="1490">
        <v>5428</v>
      </c>
      <c r="F62" s="1089"/>
      <c r="G62" s="1159"/>
      <c r="H62" s="1089"/>
      <c r="I62" s="1089"/>
      <c r="J62" s="1089"/>
      <c r="K62" s="1089"/>
      <c r="L62" s="1089"/>
      <c r="M62" s="1089"/>
      <c r="N62" s="1089"/>
      <c r="O62" s="1467"/>
    </row>
    <row r="63" spans="1:15" s="275" customFormat="1" ht="10.5">
      <c r="A63" s="276" t="s">
        <v>973</v>
      </c>
      <c r="B63" s="1145" t="s">
        <v>2383</v>
      </c>
      <c r="C63" s="283" t="s">
        <v>965</v>
      </c>
      <c r="D63" s="894">
        <f>D37-D53</f>
        <v>-28925</v>
      </c>
      <c r="E63" s="894">
        <f>E37-E53</f>
        <v>12266</v>
      </c>
      <c r="F63" s="1160"/>
      <c r="G63" s="1636"/>
      <c r="H63" s="1636"/>
      <c r="I63" s="1636"/>
      <c r="J63" s="1636"/>
      <c r="K63" s="1161"/>
      <c r="L63" s="1161"/>
      <c r="M63" s="1161"/>
      <c r="N63" s="1161"/>
      <c r="O63" s="1467"/>
    </row>
    <row r="64" spans="1:15" s="185" customFormat="1" ht="12" customHeight="1">
      <c r="A64" s="278" t="s">
        <v>2384</v>
      </c>
      <c r="B64" s="1145" t="s">
        <v>2385</v>
      </c>
      <c r="C64" s="280" t="s">
        <v>968</v>
      </c>
      <c r="D64" s="896">
        <f>SUM(D35,D63)</f>
        <v>497111</v>
      </c>
      <c r="E64" s="896">
        <f>SUM(E35,E63)</f>
        <v>212837</v>
      </c>
      <c r="F64" s="1163"/>
      <c r="G64" s="1636"/>
      <c r="H64" s="1636"/>
      <c r="I64" s="1636"/>
      <c r="J64" s="1636"/>
      <c r="K64" s="1089"/>
      <c r="L64" s="1089"/>
      <c r="M64" s="1089"/>
      <c r="N64" s="1089"/>
      <c r="O64" s="1467"/>
    </row>
    <row r="65" spans="1:15" s="185" customFormat="1" ht="12" customHeight="1">
      <c r="A65" s="1138" t="s">
        <v>2386</v>
      </c>
      <c r="B65" s="1139" t="s">
        <v>2387</v>
      </c>
      <c r="C65" s="1137" t="s">
        <v>970</v>
      </c>
      <c r="D65" s="1508">
        <f>SUM(D66:D67)</f>
        <v>104677</v>
      </c>
      <c r="E65" s="1508">
        <f>SUM(E66:E67)</f>
        <v>53262</v>
      </c>
      <c r="F65" s="1087"/>
      <c r="G65" s="1636"/>
      <c r="H65" s="1636"/>
      <c r="I65" s="1636"/>
      <c r="J65" s="1636"/>
      <c r="K65" s="1089"/>
      <c r="L65" s="1089"/>
      <c r="M65" s="1089"/>
      <c r="N65" s="1089"/>
      <c r="O65" s="1467"/>
    </row>
    <row r="66" spans="1:15" s="185" customFormat="1" ht="12" customHeight="1">
      <c r="A66" s="270" t="s">
        <v>2388</v>
      </c>
      <c r="B66" s="1150" t="s">
        <v>949</v>
      </c>
      <c r="C66" s="272" t="s">
        <v>972</v>
      </c>
      <c r="D66" s="1484">
        <v>188721</v>
      </c>
      <c r="E66" s="1484">
        <v>125102</v>
      </c>
      <c r="F66" s="1089"/>
      <c r="G66" s="1159"/>
      <c r="H66" s="1089"/>
      <c r="I66" s="1089"/>
      <c r="J66" s="1089"/>
      <c r="K66" s="1089"/>
      <c r="L66" s="1089"/>
      <c r="M66" s="1089"/>
      <c r="N66" s="1089"/>
      <c r="O66" s="1467"/>
    </row>
    <row r="67" spans="1:15" s="275" customFormat="1" ht="12" customHeight="1">
      <c r="A67" s="1144" t="s">
        <v>532</v>
      </c>
      <c r="B67" s="1150" t="s">
        <v>2389</v>
      </c>
      <c r="C67" s="272" t="s">
        <v>975</v>
      </c>
      <c r="D67" s="1484">
        <v>-84044</v>
      </c>
      <c r="E67" s="1484">
        <v>-71840</v>
      </c>
      <c r="F67" s="1161"/>
      <c r="G67" s="1161"/>
      <c r="H67" s="1161"/>
      <c r="I67" s="1161"/>
      <c r="J67" s="1161"/>
      <c r="K67" s="1161"/>
      <c r="L67" s="1161"/>
      <c r="M67" s="1161"/>
      <c r="N67" s="1161"/>
      <c r="O67" s="1467"/>
    </row>
    <row r="68" spans="1:15" ht="12" customHeight="1">
      <c r="A68" s="1138" t="s">
        <v>945</v>
      </c>
      <c r="B68" s="1136" t="s">
        <v>2390</v>
      </c>
      <c r="C68" s="1137" t="s">
        <v>978</v>
      </c>
      <c r="D68" s="1494">
        <v>0</v>
      </c>
      <c r="E68" s="1491">
        <v>0</v>
      </c>
      <c r="F68" s="1100"/>
      <c r="G68" s="1164"/>
      <c r="H68" s="1100"/>
      <c r="I68" s="1100"/>
      <c r="J68" s="1100"/>
      <c r="K68" s="1100"/>
      <c r="L68" s="1100"/>
      <c r="M68" s="1100"/>
      <c r="N68" s="1100"/>
      <c r="O68" s="1467"/>
    </row>
    <row r="69" spans="1:15" ht="12" customHeight="1">
      <c r="A69" s="287" t="s">
        <v>2384</v>
      </c>
      <c r="B69" s="1151" t="s">
        <v>2391</v>
      </c>
      <c r="C69" s="289" t="s">
        <v>980</v>
      </c>
      <c r="D69" s="898">
        <f>D64-D65-D68</f>
        <v>392434</v>
      </c>
      <c r="E69" s="898">
        <f>E64-E65-E68</f>
        <v>159575</v>
      </c>
      <c r="F69" s="1100"/>
      <c r="G69" s="1165"/>
      <c r="H69" s="1100"/>
      <c r="I69" s="1100"/>
      <c r="J69" s="1100"/>
      <c r="K69" s="1100"/>
      <c r="L69" s="1100"/>
      <c r="M69" s="1100"/>
      <c r="N69" s="1100"/>
      <c r="O69" s="1467"/>
    </row>
    <row r="70" spans="1:15" ht="12" customHeight="1">
      <c r="F70" s="1100"/>
      <c r="G70" s="1165"/>
      <c r="H70" s="1100"/>
      <c r="I70" s="1100"/>
      <c r="J70" s="1100"/>
      <c r="K70" s="1100"/>
      <c r="L70" s="1100"/>
      <c r="M70" s="1100"/>
      <c r="N70" s="1100"/>
      <c r="O70" s="1467"/>
    </row>
    <row r="71" spans="1:15" ht="12" customHeight="1">
      <c r="F71" s="1100"/>
      <c r="G71" s="1165"/>
      <c r="H71" s="1100"/>
      <c r="I71" s="1100"/>
      <c r="J71" s="1100"/>
      <c r="K71" s="1100"/>
      <c r="L71" s="1100"/>
      <c r="M71" s="1100"/>
      <c r="N71" s="1100"/>
    </row>
    <row r="72" spans="1:15" ht="12" customHeight="1">
      <c r="G72" s="1152"/>
    </row>
    <row r="73" spans="1:15" ht="12" customHeight="1">
      <c r="E73" s="290"/>
      <c r="G73" s="1152"/>
    </row>
    <row r="74" spans="1:15" ht="12" customHeight="1">
      <c r="G74" s="1152"/>
    </row>
    <row r="75" spans="1:15" ht="12" customHeight="1"/>
    <row r="76" spans="1:15" ht="12" customHeight="1"/>
    <row r="77" spans="1:15" ht="12" customHeight="1"/>
    <row r="78" spans="1:15" ht="12" customHeight="1"/>
    <row r="79" spans="1:15" ht="12" customHeight="1"/>
    <row r="80" spans="1:15" ht="12" customHeight="1"/>
    <row r="81" ht="12" customHeight="1"/>
    <row r="82" ht="12" customHeight="1"/>
    <row r="83" ht="12" customHeight="1"/>
    <row r="84" ht="12" customHeight="1"/>
    <row r="85" ht="12" customHeight="1"/>
    <row r="86" ht="12" customHeight="1"/>
    <row r="87" ht="12" customHeight="1"/>
    <row r="88" ht="12" customHeight="1"/>
  </sheetData>
  <mergeCells count="15">
    <mergeCell ref="K55:L55"/>
    <mergeCell ref="G63:J63"/>
    <mergeCell ref="G10:J10"/>
    <mergeCell ref="K10:N10"/>
    <mergeCell ref="G18:J18"/>
    <mergeCell ref="K18:N18"/>
    <mergeCell ref="G23:J23"/>
    <mergeCell ref="G35:J35"/>
    <mergeCell ref="K35:N35"/>
    <mergeCell ref="G64:J64"/>
    <mergeCell ref="G65:J65"/>
    <mergeCell ref="G36:J36"/>
    <mergeCell ref="G37:J37"/>
    <mergeCell ref="G53:J53"/>
    <mergeCell ref="I55:J55"/>
  </mergeCells>
  <pageMargins left="0.64" right="0.19685039370078741" top="0.28000000000000003" bottom="0.59055118110236227" header="0.21" footer="0.31496062992125984"/>
  <pageSetup paperSize="9" fitToWidth="2" orientation="portrait" horizontalDpi="360" verticalDpi="300" r:id="rId1"/>
  <headerFooter alignWithMargins="0">
    <oddFooter>&amp;C&amp;"EYlogo,Regular"&amp;8e&amp;R&amp;"Times New Roman CE,Tučné"&amp;5Lead schedules v2.0</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sheetPr>
  <dimension ref="A1:AK54"/>
  <sheetViews>
    <sheetView showGridLines="0" view="pageBreakPreview" zoomScaleNormal="100" zoomScaleSheetLayoutView="100" workbookViewId="0">
      <selection activeCell="H30" sqref="H30"/>
    </sheetView>
  </sheetViews>
  <sheetFormatPr defaultColWidth="9.1796875" defaultRowHeight="12.5"/>
  <cols>
    <col min="1" max="37" width="2.54296875" style="390" customWidth="1"/>
    <col min="38" max="38" width="1.81640625" style="390" customWidth="1"/>
    <col min="39" max="45" width="2.54296875" style="390" customWidth="1"/>
    <col min="46" max="46" width="7.7265625" style="390" customWidth="1"/>
    <col min="47" max="61" width="2.54296875" style="390" customWidth="1"/>
    <col min="62" max="16384" width="9.1796875" style="390"/>
  </cols>
  <sheetData>
    <row r="1" spans="1:37" s="500" customFormat="1" ht="9">
      <c r="C1" s="501" t="s">
        <v>2220</v>
      </c>
    </row>
    <row r="2" spans="1:37" s="397" customFormat="1" ht="21" customHeight="1">
      <c r="C2" s="499" t="s">
        <v>2221</v>
      </c>
      <c r="D2" s="498"/>
      <c r="E2" s="498"/>
      <c r="F2" s="498"/>
      <c r="G2" s="498"/>
      <c r="H2" s="498"/>
      <c r="I2" s="498"/>
      <c r="J2" s="497"/>
      <c r="N2" s="496" t="s">
        <v>2222</v>
      </c>
    </row>
    <row r="3" spans="1:37" ht="13" thickBot="1">
      <c r="N3" s="1291" t="s">
        <v>2223</v>
      </c>
      <c r="O3" s="1320"/>
      <c r="P3" s="1320"/>
    </row>
    <row r="4" spans="1:37" ht="28.5" customHeight="1" thickBot="1">
      <c r="L4" s="1344" t="s">
        <v>2224</v>
      </c>
      <c r="M4" s="1323"/>
      <c r="N4" s="1323"/>
      <c r="O4" s="1323"/>
      <c r="P4" s="1323"/>
      <c r="Q4" s="494" t="str">
        <f>+MID('Input data'!$B$11,1,1)</f>
        <v>3</v>
      </c>
      <c r="R4" s="494" t="str">
        <f>+MID('Input data'!$B$11,2,1)</f>
        <v>1</v>
      </c>
      <c r="S4" s="494" t="s">
        <v>1063</v>
      </c>
      <c r="T4" s="494" t="str">
        <f>LEFT('Input data'!B13,1)</f>
        <v>0</v>
      </c>
      <c r="U4" s="494" t="str">
        <f>RIGHT('Input data'!B13,1)</f>
        <v>3</v>
      </c>
      <c r="V4" s="494" t="s">
        <v>1063</v>
      </c>
      <c r="W4" s="494" t="str">
        <f>+LEFT('Input data'!$B$14,1)</f>
        <v>2</v>
      </c>
      <c r="X4" s="494" t="str">
        <f>+MID('Input data'!$B$14,2,1)</f>
        <v>0</v>
      </c>
      <c r="Y4" s="494" t="str">
        <f>+MID('Input data'!$B$14,3,1)</f>
        <v>1</v>
      </c>
      <c r="Z4" s="1035" t="str">
        <f>+MID('Input data'!$B$14,4,1)</f>
        <v>9</v>
      </c>
    </row>
    <row r="5" spans="1:37" ht="6" customHeight="1" thickBot="1"/>
    <row r="6" spans="1:37" s="487" customFormat="1" ht="14.25" customHeight="1">
      <c r="A6" s="490" t="s">
        <v>1065</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1066</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row r="10" spans="1:37" s="462" customFormat="1" ht="14.25" customHeight="1">
      <c r="A10" s="464" t="s">
        <v>1068</v>
      </c>
      <c r="B10" s="463"/>
      <c r="C10" s="463"/>
      <c r="D10" s="463"/>
      <c r="E10" s="463"/>
      <c r="F10" s="463"/>
      <c r="G10" s="463"/>
      <c r="H10" s="463"/>
      <c r="I10" s="407"/>
      <c r="J10" s="406"/>
      <c r="K10" s="480" t="s">
        <v>1069</v>
      </c>
      <c r="L10" s="463"/>
      <c r="M10" s="481"/>
      <c r="N10" s="481"/>
      <c r="O10" s="481"/>
      <c r="P10" s="463"/>
      <c r="Q10" s="480" t="s">
        <v>2225</v>
      </c>
      <c r="R10" s="463"/>
      <c r="S10" s="407"/>
      <c r="T10" s="463"/>
      <c r="U10" s="463"/>
      <c r="V10" s="479"/>
      <c r="W10" s="463"/>
      <c r="X10" s="463"/>
      <c r="Y10" s="463"/>
      <c r="Z10" s="463"/>
      <c r="AA10" s="463"/>
      <c r="AB10" s="463"/>
      <c r="AC10" s="463"/>
      <c r="AD10" s="480" t="s">
        <v>1070</v>
      </c>
      <c r="AE10" s="480"/>
      <c r="AF10" s="480"/>
      <c r="AG10" s="480" t="s">
        <v>1071</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65"/>
      <c r="M11" s="465"/>
      <c r="N11" s="465"/>
      <c r="O11" s="465"/>
      <c r="P11" s="465"/>
      <c r="Q11" s="465"/>
      <c r="R11" s="465"/>
      <c r="S11" s="465"/>
      <c r="T11" s="465"/>
      <c r="U11" s="465"/>
      <c r="V11" s="471"/>
      <c r="W11" s="470" t="s">
        <v>1072</v>
      </c>
      <c r="X11" s="465"/>
      <c r="Y11" s="465"/>
      <c r="Z11" s="465"/>
      <c r="AA11" s="465"/>
      <c r="AB11" s="470" t="s">
        <v>1073</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8</v>
      </c>
      <c r="AK11" s="471"/>
    </row>
    <row r="12" spans="1:37" s="462" customFormat="1" ht="19.5" customHeight="1" thickBot="1">
      <c r="A12" s="403" t="s">
        <v>1074</v>
      </c>
      <c r="B12" s="465"/>
      <c r="C12" s="465"/>
      <c r="D12" s="465"/>
      <c r="E12" s="465"/>
      <c r="F12" s="465"/>
      <c r="G12" s="465"/>
      <c r="H12" s="399"/>
      <c r="I12" s="399"/>
      <c r="J12" s="398"/>
      <c r="K12" s="399"/>
      <c r="L12" s="478" t="str">
        <f>IF('Input data'!D7="x","x"," ")</f>
        <v>x</v>
      </c>
      <c r="M12" s="470" t="s">
        <v>1075</v>
      </c>
      <c r="N12" s="472"/>
      <c r="O12" s="472"/>
      <c r="P12" s="472"/>
      <c r="Q12" s="472"/>
      <c r="R12" s="478" t="str">
        <f>IF('Input data'!D18="x","x"," ")</f>
        <v xml:space="preserve"> </v>
      </c>
      <c r="S12" s="470" t="s">
        <v>2226</v>
      </c>
      <c r="T12" s="465"/>
      <c r="U12" s="465"/>
      <c r="V12" s="471"/>
      <c r="W12" s="477"/>
      <c r="X12" s="467"/>
      <c r="Y12" s="467"/>
      <c r="Z12" s="467"/>
      <c r="AA12" s="467"/>
      <c r="AB12" s="466" t="s">
        <v>1077</v>
      </c>
      <c r="AC12" s="467"/>
      <c r="AD12" s="439" t="str">
        <f>MID('Input data'!$B$13,1,1)</f>
        <v>0</v>
      </c>
      <c r="AE12" s="439" t="str">
        <f>MID('Input data'!$B$13,2,1)</f>
        <v>3</v>
      </c>
      <c r="AF12" s="439"/>
      <c r="AG12" s="439" t="str">
        <f>MID('Input data'!$B$14,1,1)</f>
        <v>2</v>
      </c>
      <c r="AH12" s="439" t="str">
        <f>MID('Input data'!$B$14,2,1)</f>
        <v>0</v>
      </c>
      <c r="AI12" s="439" t="str">
        <f>MID('Input data'!$B$14,3,1)</f>
        <v>1</v>
      </c>
      <c r="AJ12" s="439" t="str">
        <f>MID('Input data'!$B$14,4,1)</f>
        <v>9</v>
      </c>
      <c r="AK12" s="468"/>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399"/>
      <c r="L13" s="474" t="str">
        <f>IF('Input data'!D8="x","x", "")</f>
        <v/>
      </c>
      <c r="M13" s="470" t="s">
        <v>1078</v>
      </c>
      <c r="N13" s="472"/>
      <c r="O13" s="472"/>
      <c r="P13" s="472"/>
      <c r="Q13" s="472"/>
      <c r="R13" s="475" t="str">
        <f>IF('Input data'!D17="x","x"," ")</f>
        <v>x</v>
      </c>
      <c r="S13" s="470" t="s">
        <v>2227</v>
      </c>
      <c r="T13" s="465"/>
      <c r="U13" s="465"/>
      <c r="V13" s="471"/>
      <c r="W13" s="470" t="s">
        <v>1080</v>
      </c>
      <c r="X13" s="465"/>
      <c r="Y13" s="402"/>
      <c r="Z13" s="399"/>
      <c r="AA13" s="399"/>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478" t="str">
        <f>IF('Input data'!D9="x","x"," ")</f>
        <v xml:space="preserve"> </v>
      </c>
      <c r="M14" s="470" t="s">
        <v>1410</v>
      </c>
      <c r="N14" s="472"/>
      <c r="O14" s="472"/>
      <c r="P14" s="472"/>
      <c r="Q14" s="472"/>
      <c r="R14" s="473" t="s">
        <v>1082</v>
      </c>
      <c r="S14" s="472"/>
      <c r="T14" s="465"/>
      <c r="U14" s="465"/>
      <c r="V14" s="471"/>
      <c r="W14" s="470" t="s">
        <v>983</v>
      </c>
      <c r="X14" s="465"/>
      <c r="Y14" s="402"/>
      <c r="Z14" s="399"/>
      <c r="AA14" s="399"/>
      <c r="AB14" s="470" t="s">
        <v>1073</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7</v>
      </c>
      <c r="AK14" s="398"/>
    </row>
    <row r="15" spans="1:37" s="462" customFormat="1" ht="19.5" customHeight="1" thickBot="1">
      <c r="A15" s="469" t="str">
        <f>LEFT('Input data'!$F$7,1)</f>
        <v>2</v>
      </c>
      <c r="B15" s="394" t="str">
        <f>MID('Input data'!$F$7,2,1)</f>
        <v>7</v>
      </c>
      <c r="C15" s="467" t="s">
        <v>1063</v>
      </c>
      <c r="D15" s="394" t="str">
        <f>MID('Input data'!$F$7,3,1)</f>
        <v>3</v>
      </c>
      <c r="E15" s="394" t="str">
        <f>MID('Input data'!$F$7,4,1)</f>
        <v>1</v>
      </c>
      <c r="F15" s="846" t="s">
        <v>1063</v>
      </c>
      <c r="G15" s="394" t="str">
        <f>MID('Input data'!$F$7,5,1)</f>
        <v>0</v>
      </c>
      <c r="H15" s="394"/>
      <c r="I15" s="394"/>
      <c r="J15" s="393"/>
      <c r="K15" s="394"/>
      <c r="L15" s="1036" t="str">
        <f>IF('Input data'!D10="x","x", "")</f>
        <v/>
      </c>
      <c r="M15" s="466"/>
      <c r="N15" s="1037"/>
      <c r="O15" s="1037"/>
      <c r="P15" s="394"/>
      <c r="Q15" s="394"/>
      <c r="R15" s="394"/>
      <c r="S15" s="394"/>
      <c r="T15" s="467"/>
      <c r="U15" s="467"/>
      <c r="V15" s="468"/>
      <c r="W15" s="466" t="s">
        <v>1083</v>
      </c>
      <c r="X15" s="467"/>
      <c r="Y15" s="395"/>
      <c r="Z15" s="394"/>
      <c r="AA15" s="394"/>
      <c r="AB15" s="466" t="s">
        <v>1077</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8</v>
      </c>
      <c r="AK15" s="393"/>
    </row>
    <row r="16" spans="1:37" s="462" customFormat="1" ht="3.75" customHeight="1" thickBo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37" s="462" customFormat="1" ht="17.149999999999999" customHeight="1">
      <c r="A17" s="464" t="s">
        <v>2228</v>
      </c>
      <c r="B17" s="463"/>
      <c r="C17" s="463"/>
      <c r="D17" s="463"/>
      <c r="E17" s="463"/>
      <c r="F17" s="463"/>
      <c r="G17" s="463"/>
      <c r="H17" s="407"/>
      <c r="I17" s="407"/>
      <c r="J17" s="407"/>
      <c r="K17" s="407"/>
      <c r="L17" s="407"/>
      <c r="M17" s="407"/>
      <c r="N17" s="407"/>
      <c r="O17" s="407"/>
      <c r="P17" s="407"/>
      <c r="Q17" s="407"/>
      <c r="R17" s="407"/>
      <c r="S17" s="407"/>
      <c r="T17" s="463"/>
      <c r="U17" s="463"/>
      <c r="V17" s="463"/>
      <c r="W17" s="407"/>
      <c r="X17" s="407"/>
      <c r="Y17" s="407"/>
      <c r="Z17" s="407"/>
      <c r="AA17" s="407"/>
      <c r="AB17" s="407"/>
      <c r="AC17" s="407"/>
      <c r="AD17" s="407"/>
      <c r="AE17" s="407"/>
      <c r="AF17" s="407"/>
      <c r="AG17" s="407"/>
      <c r="AH17" s="407"/>
      <c r="AI17" s="407"/>
      <c r="AJ17" s="407"/>
      <c r="AK17" s="406"/>
    </row>
    <row r="18" spans="1:37" s="462" customFormat="1" ht="17.149999999999999" customHeight="1">
      <c r="A18" s="1040"/>
      <c r="B18" s="478" t="str">
        <f>IF('Input data'!D12="x","x"," ")</f>
        <v>x</v>
      </c>
      <c r="C18" s="470" t="s">
        <v>2229</v>
      </c>
      <c r="D18" s="472"/>
      <c r="E18" s="465"/>
      <c r="F18" s="465"/>
      <c r="G18" s="465"/>
      <c r="H18" s="399"/>
      <c r="I18" s="399"/>
      <c r="J18" s="399"/>
      <c r="K18" s="478" t="str">
        <f>IF('Input data'!D13="x","x"," ")</f>
        <v>x</v>
      </c>
      <c r="L18" s="470" t="s">
        <v>2230</v>
      </c>
      <c r="M18" s="399"/>
      <c r="N18" s="399"/>
      <c r="O18" s="399"/>
      <c r="P18" s="399"/>
      <c r="Q18" s="399"/>
      <c r="R18" s="399"/>
      <c r="S18" s="399"/>
      <c r="T18" s="465"/>
      <c r="U18" s="465"/>
      <c r="V18" s="465"/>
      <c r="W18" s="478" t="str">
        <f>IF('Input data'!D14="x","x"," ")</f>
        <v>x</v>
      </c>
      <c r="X18" s="470" t="s">
        <v>2231</v>
      </c>
      <c r="Y18" s="470"/>
      <c r="Z18" s="399"/>
      <c r="AA18" s="399"/>
      <c r="AB18" s="399"/>
      <c r="AC18" s="399"/>
      <c r="AD18" s="399"/>
      <c r="AE18" s="399"/>
      <c r="AF18" s="399"/>
      <c r="AG18" s="399"/>
      <c r="AH18" s="399"/>
      <c r="AI18" s="399"/>
      <c r="AJ18" s="399"/>
      <c r="AK18" s="398"/>
    </row>
    <row r="19" spans="1:37" s="462" customFormat="1" ht="17.149999999999999" customHeight="1" thickBot="1">
      <c r="A19" s="1041"/>
      <c r="B19" s="467"/>
      <c r="C19" s="1042" t="s">
        <v>1064</v>
      </c>
      <c r="D19" s="467"/>
      <c r="E19" s="467"/>
      <c r="F19" s="467"/>
      <c r="G19" s="467"/>
      <c r="H19" s="394"/>
      <c r="I19" s="394"/>
      <c r="J19" s="394"/>
      <c r="K19" s="394"/>
      <c r="L19" s="1042" t="s">
        <v>1064</v>
      </c>
      <c r="M19" s="394"/>
      <c r="N19" s="394"/>
      <c r="O19" s="394"/>
      <c r="P19" s="394"/>
      <c r="Q19" s="394"/>
      <c r="R19" s="394"/>
      <c r="S19" s="394"/>
      <c r="T19" s="467"/>
      <c r="U19" s="467"/>
      <c r="V19" s="467"/>
      <c r="W19" s="394"/>
      <c r="X19" s="1042" t="s">
        <v>2232</v>
      </c>
      <c r="Y19" s="1042"/>
      <c r="Z19" s="394"/>
      <c r="AA19" s="394"/>
      <c r="AB19" s="394"/>
      <c r="AC19" s="394"/>
      <c r="AD19" s="394"/>
      <c r="AE19" s="394"/>
      <c r="AF19" s="394"/>
      <c r="AG19" s="394"/>
      <c r="AH19" s="394"/>
      <c r="AI19" s="394"/>
      <c r="AJ19" s="394"/>
      <c r="AK19" s="393"/>
    </row>
    <row r="20" spans="1:37" s="462" customFormat="1" ht="3.75" customHeight="1" thickBot="1">
      <c r="H20" s="392"/>
      <c r="I20" s="392"/>
      <c r="J20" s="392"/>
      <c r="K20" s="392"/>
      <c r="L20" s="392"/>
      <c r="M20" s="392"/>
      <c r="N20" s="392"/>
      <c r="O20" s="392"/>
      <c r="P20" s="392"/>
      <c r="Q20" s="392"/>
      <c r="R20" s="392"/>
      <c r="S20" s="392"/>
      <c r="W20" s="392"/>
      <c r="X20" s="392"/>
      <c r="Y20" s="392"/>
      <c r="Z20" s="392"/>
      <c r="AA20" s="392"/>
      <c r="AB20" s="392"/>
      <c r="AC20" s="392"/>
      <c r="AD20" s="392"/>
      <c r="AE20" s="392"/>
      <c r="AF20" s="392"/>
      <c r="AG20" s="392"/>
      <c r="AH20" s="392"/>
      <c r="AI20" s="392"/>
      <c r="AJ20" s="392"/>
      <c r="AK20" s="392"/>
    </row>
    <row r="21" spans="1:37" s="462" customFormat="1" ht="15.5">
      <c r="A21" s="464" t="s">
        <v>1084</v>
      </c>
      <c r="B21" s="463"/>
      <c r="C21" s="463"/>
      <c r="D21" s="463"/>
      <c r="E21" s="463"/>
      <c r="F21" s="463"/>
      <c r="G21" s="463"/>
      <c r="H21" s="407"/>
      <c r="I21" s="407"/>
      <c r="J21" s="407"/>
      <c r="K21" s="407"/>
      <c r="L21" s="407"/>
      <c r="M21" s="407"/>
      <c r="N21" s="407"/>
      <c r="O21" s="407"/>
      <c r="P21" s="407"/>
      <c r="Q21" s="407"/>
      <c r="R21" s="407"/>
      <c r="S21" s="407"/>
      <c r="T21" s="463"/>
      <c r="U21" s="463"/>
      <c r="V21" s="463"/>
      <c r="W21" s="407"/>
      <c r="X21" s="407"/>
      <c r="Y21" s="407"/>
      <c r="Z21" s="407"/>
      <c r="AA21" s="407"/>
      <c r="AB21" s="407"/>
      <c r="AC21" s="407"/>
      <c r="AD21" s="407"/>
      <c r="AE21" s="407"/>
      <c r="AF21" s="407"/>
      <c r="AG21" s="407"/>
      <c r="AH21" s="407"/>
      <c r="AI21" s="407"/>
      <c r="AJ21" s="407"/>
      <c r="AK21" s="406"/>
    </row>
    <row r="22" spans="1:37" s="462" customFormat="1" ht="19.5" customHeight="1">
      <c r="A22" s="449" t="str">
        <f>+LEFT('Input data'!$F$3,1)</f>
        <v>F</v>
      </c>
      <c r="B22" s="441" t="str">
        <f>+MID('Input data'!$F$3,2,1)</f>
        <v>o</v>
      </c>
      <c r="C22" s="441" t="str">
        <f>+MID('Input data'!$F$3,3,1)</f>
        <v>s</v>
      </c>
      <c r="D22" s="441" t="str">
        <f>+MID('Input data'!$F$3,4,1)</f>
        <v>s</v>
      </c>
      <c r="E22" s="441" t="str">
        <f>+MID('Input data'!$F$3,5,1)</f>
        <v xml:space="preserve"> </v>
      </c>
      <c r="F22" s="441" t="str">
        <f>+MID('Input data'!$F$3,6,1)</f>
        <v>F</v>
      </c>
      <c r="G22" s="441" t="str">
        <f>+MID('Input data'!$F$3,7,1)</f>
        <v>i</v>
      </c>
      <c r="H22" s="441" t="str">
        <f>+MID('Input data'!$F$3,8,1)</f>
        <v>b</v>
      </c>
      <c r="I22" s="441" t="str">
        <f>+MID('Input data'!$F$3,9,1)</f>
        <v>r</v>
      </c>
      <c r="J22" s="441" t="str">
        <f>+MID('Input data'!$F$3,10,1)</f>
        <v>e</v>
      </c>
      <c r="K22" s="441" t="str">
        <f>+MID('Input data'!$F$3,11,1)</f>
        <v xml:space="preserve"> </v>
      </c>
      <c r="L22" s="441" t="str">
        <f>+MID('Input data'!$F$3,12,1)</f>
        <v>O</v>
      </c>
      <c r="M22" s="441" t="str">
        <f>+MID('Input data'!$F$3,13,1)</f>
        <v>p</v>
      </c>
      <c r="N22" s="441" t="str">
        <f>+MID('Input data'!$F$3,14,1)</f>
        <v>t</v>
      </c>
      <c r="O22" s="441" t="str">
        <f>+MID('Input data'!$F$3,15,1)</f>
        <v>i</v>
      </c>
      <c r="P22" s="441" t="str">
        <f>+MID('Input data'!$F$3,16,1)</f>
        <v>c</v>
      </c>
      <c r="Q22" s="441" t="str">
        <f>+MID('Input data'!$F$3,17,1)</f>
        <v>s</v>
      </c>
      <c r="R22" s="441" t="str">
        <f>+MID('Input data'!$F$3,18,1)</f>
        <v>,</v>
      </c>
      <c r="S22" s="441" t="str">
        <f>+MID('Input data'!$F$3,19,1)</f>
        <v xml:space="preserve"> </v>
      </c>
      <c r="T22" s="441" t="str">
        <f>+MID('Input data'!$F$3,20,1)</f>
        <v>s</v>
      </c>
      <c r="U22" s="441" t="str">
        <f>+MID('Input data'!$F$3,21,1)</f>
        <v>.</v>
      </c>
      <c r="V22" s="441" t="str">
        <f>+MID('Input data'!$F$3,22,1)</f>
        <v>r</v>
      </c>
      <c r="W22" s="441" t="str">
        <f>+MID('Input data'!$F$3,23,1)</f>
        <v>.</v>
      </c>
      <c r="X22" s="441" t="str">
        <f>+MID('Input data'!$F$3,24,1)</f>
        <v>o</v>
      </c>
      <c r="Y22" s="441" t="str">
        <f>+MID('Input data'!$F$3,25,1)</f>
        <v>.</v>
      </c>
      <c r="Z22" s="441" t="str">
        <f>+MID('Input data'!$F$3,26,1)</f>
        <v xml:space="preserve"> </v>
      </c>
      <c r="AA22" s="441" t="str">
        <f>+MID('Input data'!$F$3,27,1)</f>
        <v xml:space="preserve">
</v>
      </c>
      <c r="AB22" s="441" t="str">
        <f>+MID('Input data'!$F$3,28,1)</f>
        <v/>
      </c>
      <c r="AC22" s="441" t="str">
        <f>+MID('Input data'!$F$3,29,1)</f>
        <v/>
      </c>
      <c r="AD22" s="441" t="str">
        <f>+MID('Input data'!$F$3,30,1)</f>
        <v/>
      </c>
      <c r="AE22" s="441" t="str">
        <f>+MID('Input data'!$F$3,31,1)</f>
        <v/>
      </c>
      <c r="AF22" s="441" t="str">
        <f>+MID('Input data'!$F$3,32,1)</f>
        <v/>
      </c>
      <c r="AG22" s="441" t="str">
        <f>+MID('Input data'!$F$3,33,1)</f>
        <v/>
      </c>
      <c r="AH22" s="441" t="str">
        <f>+MID('Input data'!$F$3,34,1)</f>
        <v/>
      </c>
      <c r="AI22" s="441" t="str">
        <f>+MID('Input data'!$F$3,35,1)</f>
        <v/>
      </c>
      <c r="AJ22" s="441" t="str">
        <f>+MID('Input data'!$F$3,36,1)</f>
        <v/>
      </c>
      <c r="AK22" s="448" t="str">
        <f>+MID('Input data'!$F$3,37,1)</f>
        <v/>
      </c>
    </row>
    <row r="23" spans="1:37" ht="19.5" customHeight="1">
      <c r="A23" s="449" t="str">
        <f>+MID('Input data'!$F$3,38,1)</f>
        <v/>
      </c>
      <c r="B23" s="441" t="str">
        <f>+MID('Input data'!$F$3,39,1)</f>
        <v/>
      </c>
      <c r="C23" s="441" t="str">
        <f>+MID('Input data'!$F$3,40,1)</f>
        <v/>
      </c>
      <c r="D23" s="441" t="str">
        <f>+MID('Input data'!$F$3,41,1)</f>
        <v/>
      </c>
      <c r="E23" s="441" t="str">
        <f>+MID('Input data'!$F$3,42,1)</f>
        <v/>
      </c>
      <c r="F23" s="441" t="str">
        <f>+MID('Input data'!$F$3,43,1)</f>
        <v/>
      </c>
      <c r="G23" s="441" t="str">
        <f>+MID('Input data'!$F$3,44,1)</f>
        <v/>
      </c>
      <c r="H23" s="441" t="str">
        <f>+MID('Input data'!$F$3,45,1)</f>
        <v/>
      </c>
      <c r="I23" s="441" t="str">
        <f>+MID('Input data'!$F$3,46,1)</f>
        <v/>
      </c>
      <c r="J23" s="441" t="str">
        <f>+MID('Input data'!$F$3,47,1)</f>
        <v/>
      </c>
      <c r="K23" s="441" t="str">
        <f>+MID('Input data'!$F$3,48,1)</f>
        <v/>
      </c>
      <c r="L23" s="441" t="str">
        <f>+MID('Input data'!$F$3,49,1)</f>
        <v/>
      </c>
      <c r="M23" s="441" t="str">
        <f>+MID('Input data'!$F$3,50,1)</f>
        <v/>
      </c>
      <c r="N23" s="441" t="str">
        <f>+MID('Input data'!$F$3,51,1)</f>
        <v/>
      </c>
      <c r="O23" s="441" t="str">
        <f>+MID('Input data'!$F$3,52,1)</f>
        <v/>
      </c>
      <c r="P23" s="441" t="str">
        <f>+MID('Input data'!$F$3,53,1)</f>
        <v/>
      </c>
      <c r="Q23" s="441" t="str">
        <f>+MID('Input data'!$F$3,54,1)</f>
        <v/>
      </c>
      <c r="R23" s="441" t="str">
        <f>+MID('Input data'!$F$3,55,1)</f>
        <v/>
      </c>
      <c r="S23" s="441" t="str">
        <f>+MID('Input data'!$F$3,56,1)</f>
        <v/>
      </c>
      <c r="T23" s="441" t="str">
        <f>+MID('Input data'!$F$3,57,1)</f>
        <v/>
      </c>
      <c r="U23" s="441" t="str">
        <f>+MID('Input data'!$F$3,58,1)</f>
        <v/>
      </c>
      <c r="V23" s="441" t="str">
        <f>+MID('Input data'!$F$3,59,1)</f>
        <v/>
      </c>
      <c r="W23" s="441" t="str">
        <f>+MID('Input data'!$F$3,60,1)</f>
        <v/>
      </c>
      <c r="X23" s="441" t="str">
        <f>+MID('Input data'!$F$3,61,1)</f>
        <v/>
      </c>
      <c r="Y23" s="441" t="str">
        <f>+MID('Input data'!$F$3,62,1)</f>
        <v/>
      </c>
      <c r="Z23" s="441" t="str">
        <f>+MID('Input data'!$F$3,63,1)</f>
        <v/>
      </c>
      <c r="AA23" s="441" t="str">
        <f>+MID('Input data'!$F$3,64,1)</f>
        <v/>
      </c>
      <c r="AB23" s="441" t="str">
        <f>+MID('Input data'!$F$3,65,1)</f>
        <v/>
      </c>
      <c r="AC23" s="441" t="str">
        <f>+MID('Input data'!$F$3,66,1)</f>
        <v/>
      </c>
      <c r="AD23" s="441" t="str">
        <f>+MID('Input data'!$F$3,67,1)</f>
        <v/>
      </c>
      <c r="AE23" s="441" t="str">
        <f>+MID('Input data'!$F$3,68,1)</f>
        <v/>
      </c>
      <c r="AF23" s="441" t="str">
        <f>+MID('Input data'!$F$3,69,1)</f>
        <v/>
      </c>
      <c r="AG23" s="441" t="str">
        <f>+MID('Input data'!$F$3,70,1)</f>
        <v/>
      </c>
      <c r="AH23" s="441" t="str">
        <f>+MID('Input data'!$F$3,71,1)</f>
        <v/>
      </c>
      <c r="AI23" s="441" t="str">
        <f>+MID('Input data'!$F$3,72,1)</f>
        <v/>
      </c>
      <c r="AJ23" s="441" t="str">
        <f>+MID('Input data'!$F$3,73,1)</f>
        <v/>
      </c>
      <c r="AK23" s="448" t="str">
        <f>+MID('Input data'!$F$3,74,1)</f>
        <v/>
      </c>
    </row>
    <row r="24" spans="1:37" ht="14.25" customHeight="1">
      <c r="A24" s="461"/>
      <c r="B24" s="460"/>
      <c r="C24" s="460"/>
      <c r="D24" s="460"/>
      <c r="E24" s="460"/>
      <c r="F24" s="460"/>
      <c r="G24" s="460"/>
      <c r="H24" s="460"/>
      <c r="I24" s="460"/>
      <c r="J24" s="460"/>
      <c r="K24" s="460"/>
      <c r="L24" s="460"/>
      <c r="M24" s="460"/>
      <c r="N24" s="460"/>
      <c r="O24" s="460"/>
      <c r="P24" s="460"/>
      <c r="Q24" s="460"/>
      <c r="R24" s="460"/>
      <c r="S24" s="460"/>
      <c r="T24" s="460"/>
      <c r="U24" s="460"/>
      <c r="V24" s="460"/>
      <c r="W24" s="459"/>
      <c r="X24" s="459"/>
      <c r="Y24" s="459"/>
      <c r="Z24" s="459"/>
      <c r="AA24" s="459"/>
      <c r="AB24" s="459"/>
      <c r="AC24" s="459"/>
      <c r="AD24" s="459"/>
      <c r="AE24" s="459"/>
      <c r="AF24" s="459"/>
      <c r="AG24" s="459"/>
      <c r="AH24" s="459"/>
      <c r="AI24" s="459"/>
      <c r="AJ24" s="459"/>
      <c r="AK24" s="458"/>
    </row>
    <row r="25" spans="1:37" ht="19.5" hidden="1" customHeight="1">
      <c r="A25" s="457"/>
      <c r="B25" s="456"/>
      <c r="C25" s="456"/>
      <c r="D25" s="456"/>
      <c r="E25" s="456"/>
      <c r="F25" s="456"/>
      <c r="G25" s="456" t="e">
        <f>+MID('Input data'!#REF!,7,1)</f>
        <v>#REF!</v>
      </c>
      <c r="H25" s="456" t="e">
        <f>+MID('Input data'!#REF!,8,1)</f>
        <v>#REF!</v>
      </c>
      <c r="I25" s="456" t="e">
        <f>+MID('Input data'!#REF!,9,1)</f>
        <v>#REF!</v>
      </c>
      <c r="J25" s="456" t="e">
        <f>+MID('Input data'!#REF!,10,1)</f>
        <v>#REF!</v>
      </c>
      <c r="K25" s="456" t="e">
        <f>+MID('Input data'!#REF!,11,1)</f>
        <v>#REF!</v>
      </c>
      <c r="L25" s="456" t="e">
        <f>+MID('Input data'!#REF!,12,1)</f>
        <v>#REF!</v>
      </c>
      <c r="M25" s="456" t="e">
        <f>+MID('Input data'!#REF!,13,1)</f>
        <v>#REF!</v>
      </c>
      <c r="N25" s="456" t="e">
        <f>+MID('Input data'!#REF!,14,1)</f>
        <v>#REF!</v>
      </c>
      <c r="O25" s="456" t="e">
        <f>+MID('Input data'!#REF!,15,1)</f>
        <v>#REF!</v>
      </c>
      <c r="P25" s="456" t="e">
        <f>+MID('Input data'!#REF!,16,1)</f>
        <v>#REF!</v>
      </c>
      <c r="Q25" s="456" t="e">
        <f>+MID('Input data'!#REF!,17,1)</f>
        <v>#REF!</v>
      </c>
      <c r="R25" s="456" t="e">
        <f>+MID('Input data'!#REF!,18,1)</f>
        <v>#REF!</v>
      </c>
      <c r="S25" s="456" t="e">
        <f>+MID('Input data'!#REF!,19,1)</f>
        <v>#REF!</v>
      </c>
      <c r="T25" s="456" t="e">
        <f>+MID('Input data'!#REF!,20,1)</f>
        <v>#REF!</v>
      </c>
      <c r="U25" s="456" t="e">
        <f>+MID('Input data'!#REF!,21,1)</f>
        <v>#REF!</v>
      </c>
      <c r="V25" s="456" t="e">
        <f>+MID('Input data'!#REF!,22,1)</f>
        <v>#REF!</v>
      </c>
      <c r="W25" s="456" t="e">
        <f>+MID('Input data'!#REF!,23,1)</f>
        <v>#REF!</v>
      </c>
      <c r="X25" s="456" t="e">
        <f>+MID('Input data'!#REF!,24,1)</f>
        <v>#REF!</v>
      </c>
      <c r="Y25" s="456" t="e">
        <f>+MID('Input data'!#REF!,25,1)</f>
        <v>#REF!</v>
      </c>
      <c r="Z25" s="456" t="e">
        <f>+MID('Input data'!#REF!,26,1)</f>
        <v>#REF!</v>
      </c>
      <c r="AA25" s="456" t="e">
        <f>+MID('Input data'!#REF!,27,1)</f>
        <v>#REF!</v>
      </c>
      <c r="AB25" s="456" t="e">
        <f>+MID('Input data'!#REF!,28,1)</f>
        <v>#REF!</v>
      </c>
      <c r="AC25" s="456" t="e">
        <f>+MID('Input data'!#REF!,29,1)</f>
        <v>#REF!</v>
      </c>
      <c r="AD25" s="456" t="e">
        <f>+MID('Input data'!#REF!,30,1)</f>
        <v>#REF!</v>
      </c>
      <c r="AE25" s="456" t="e">
        <f>+MID('Input data'!#REF!,31,1)</f>
        <v>#REF!</v>
      </c>
      <c r="AF25" s="456" t="e">
        <f>+MID('Input data'!#REF!,32,1)</f>
        <v>#REF!</v>
      </c>
      <c r="AG25" s="456" t="e">
        <f>+MID('Input data'!#REF!,33,1)</f>
        <v>#REF!</v>
      </c>
      <c r="AH25" s="456" t="e">
        <f>+MID('Input data'!#REF!,34,1)</f>
        <v>#REF!</v>
      </c>
      <c r="AI25" s="456" t="e">
        <f>+MID('Input data'!#REF!,35,1)</f>
        <v>#REF!</v>
      </c>
      <c r="AJ25" s="456" t="e">
        <f>+MID('Input data'!#REF!,36,1)</f>
        <v>#REF!</v>
      </c>
      <c r="AK25" s="455" t="e">
        <f>+MID('Input data'!#REF!,37,1)</f>
        <v>#REF!</v>
      </c>
    </row>
    <row r="26" spans="1:37" s="450" customFormat="1" ht="12" customHeight="1">
      <c r="A26" s="454" t="s">
        <v>1085</v>
      </c>
      <c r="B26" s="453"/>
      <c r="C26" s="453"/>
      <c r="D26" s="453"/>
      <c r="E26" s="453"/>
      <c r="F26" s="453"/>
      <c r="G26" s="453"/>
      <c r="H26" s="453"/>
      <c r="I26" s="453"/>
      <c r="J26" s="453"/>
      <c r="K26" s="453"/>
      <c r="L26" s="453"/>
      <c r="M26" s="453"/>
      <c r="N26" s="453"/>
      <c r="O26" s="453"/>
      <c r="P26" s="453"/>
      <c r="Q26" s="453"/>
      <c r="R26" s="453"/>
      <c r="S26" s="453"/>
      <c r="T26" s="453"/>
      <c r="U26" s="453"/>
      <c r="V26" s="453"/>
      <c r="W26" s="452"/>
      <c r="X26" s="452"/>
      <c r="Y26" s="452"/>
      <c r="Z26" s="452"/>
      <c r="AA26" s="452"/>
      <c r="AB26" s="452"/>
      <c r="AC26" s="452"/>
      <c r="AD26" s="452"/>
      <c r="AE26" s="452"/>
      <c r="AF26" s="452"/>
      <c r="AG26" s="452"/>
      <c r="AH26" s="452"/>
      <c r="AI26" s="452"/>
      <c r="AJ26" s="452"/>
      <c r="AK26" s="451"/>
    </row>
    <row r="27" spans="1:37" ht="13">
      <c r="A27" s="446" t="s">
        <v>1086</v>
      </c>
      <c r="B27" s="1033"/>
      <c r="C27" s="1033"/>
      <c r="D27" s="1033"/>
      <c r="E27" s="1033"/>
      <c r="F27" s="1033"/>
      <c r="G27" s="1033"/>
      <c r="H27" s="1033"/>
      <c r="I27" s="1033"/>
      <c r="J27" s="1033"/>
      <c r="K27" s="1033"/>
      <c r="L27" s="1033"/>
      <c r="M27" s="1033"/>
      <c r="N27" s="1033"/>
      <c r="O27" s="1033"/>
      <c r="P27" s="1033"/>
      <c r="Q27" s="1033"/>
      <c r="R27" s="1033"/>
      <c r="S27" s="1033"/>
      <c r="T27" s="1033"/>
      <c r="U27" s="1033"/>
      <c r="V27" s="1033"/>
      <c r="W27" s="399"/>
      <c r="X27" s="399"/>
      <c r="Y27" s="399"/>
      <c r="Z27" s="399"/>
      <c r="AA27" s="399"/>
      <c r="AB27" s="1033"/>
      <c r="AC27" s="399"/>
      <c r="AD27" s="402" t="s">
        <v>1087</v>
      </c>
      <c r="AE27" s="399"/>
      <c r="AF27" s="399"/>
      <c r="AG27" s="399"/>
      <c r="AH27" s="399"/>
      <c r="AI27" s="399"/>
      <c r="AJ27" s="399"/>
      <c r="AK27" s="398"/>
    </row>
    <row r="28" spans="1:37" ht="19.5" customHeight="1">
      <c r="A28" s="449" t="str">
        <f>+LEFT('Input data'!$C$28,1)</f>
        <v>O</v>
      </c>
      <c r="B28" s="441" t="str">
        <f>+MID('Input data'!$C$28,2,1)</f>
        <v>d</v>
      </c>
      <c r="C28" s="441" t="str">
        <f>+MID('Input data'!$C$28,3,1)</f>
        <v>b</v>
      </c>
      <c r="D28" s="441" t="str">
        <f>+MID('Input data'!$C$28,4,1)</f>
        <v>o</v>
      </c>
      <c r="E28" s="441" t="str">
        <f>+MID('Input data'!$C$28,5,1)</f>
        <v>r</v>
      </c>
      <c r="F28" s="441" t="str">
        <f>+MID('Input data'!$C$28,6,1)</f>
        <v>á</v>
      </c>
      <c r="G28" s="441" t="str">
        <f>+MID('Input data'!$C$28,7,1)</f>
        <v>r</v>
      </c>
      <c r="H28" s="441" t="str">
        <f>+MID('Input data'!$C$28,8,1)</f>
        <v>s</v>
      </c>
      <c r="I28" s="441" t="str">
        <f>+MID('Input data'!$C$28,9,1)</f>
        <v>k</v>
      </c>
      <c r="J28" s="441" t="str">
        <f>+MID('Input data'!$C$28,10,1)</f>
        <v>a</v>
      </c>
      <c r="K28" s="441" t="str">
        <f>+MID('Input data'!$C$28,11,1)</f>
        <v/>
      </c>
      <c r="L28" s="441" t="str">
        <f>+MID('Input data'!$C$28,12,1)</f>
        <v/>
      </c>
      <c r="M28" s="441" t="str">
        <f>+MID('Input data'!$C$28,13,1)</f>
        <v/>
      </c>
      <c r="N28" s="441" t="str">
        <f>+MID('Input data'!$C$28,14,1)</f>
        <v/>
      </c>
      <c r="O28" s="441" t="str">
        <f>+MID('Input data'!$C$28,15,1)</f>
        <v/>
      </c>
      <c r="P28" s="441" t="str">
        <f>+MID('Input data'!$C$28,16,1)</f>
        <v/>
      </c>
      <c r="Q28" s="441" t="str">
        <f>+MID('Input data'!$C$28,17,1)</f>
        <v/>
      </c>
      <c r="R28" s="441" t="str">
        <f>+MID('Input data'!$C$28,18,1)</f>
        <v/>
      </c>
      <c r="S28" s="441" t="str">
        <f>+MID('Input data'!$C$28,19,1)</f>
        <v/>
      </c>
      <c r="T28" s="441" t="str">
        <f>+MID('Input data'!$C$28,20,1)</f>
        <v/>
      </c>
      <c r="U28" s="441" t="str">
        <f>+MID('Input data'!$C$28,21,1)</f>
        <v/>
      </c>
      <c r="V28" s="441" t="str">
        <f>+MID('Input data'!$C$28,22,1)</f>
        <v/>
      </c>
      <c r="W28" s="441" t="str">
        <f>+MID('Input data'!$C$28,23,1)</f>
        <v/>
      </c>
      <c r="X28" s="441" t="str">
        <f>+MID('Input data'!$C$28,24,1)</f>
        <v/>
      </c>
      <c r="Y28" s="441" t="str">
        <f>+MID('Input data'!$C$28,25,1)</f>
        <v/>
      </c>
      <c r="Z28" s="441" t="str">
        <f>+MID('Input data'!$C$28,26,1)</f>
        <v/>
      </c>
      <c r="AA28" s="441" t="str">
        <f>+MID('Input data'!$C$28,27,1)</f>
        <v/>
      </c>
      <c r="AB28" s="441" t="str">
        <f>+MID('Input data'!$C$28,28,1)</f>
        <v/>
      </c>
      <c r="AC28" s="443"/>
      <c r="AD28" s="441" t="str">
        <f>+LEFT('Input data'!$C$30,1)</f>
        <v>5</v>
      </c>
      <c r="AE28" s="441" t="str">
        <f>+MID('Input data'!$C$30,2,1)</f>
        <v>2</v>
      </c>
      <c r="AF28" s="441" t="str">
        <f>+MID('Input data'!$C$30,3,1)</f>
        <v/>
      </c>
      <c r="AG28" s="441" t="str">
        <f>+MID('Input data'!$C$30,4,1)</f>
        <v/>
      </c>
      <c r="AH28" s="441" t="str">
        <f>+MID('Input data'!$C$30,5,1)</f>
        <v/>
      </c>
      <c r="AI28" s="441" t="str">
        <f>+MID('Input data'!$C$30,6,1)</f>
        <v/>
      </c>
      <c r="AJ28" s="441" t="str">
        <f>+MID('Input data'!$C$30,7,1)</f>
        <v/>
      </c>
      <c r="AK28" s="448" t="str">
        <f>+MID('Input data'!$C$30,8,1)</f>
        <v/>
      </c>
    </row>
    <row r="29" spans="1:37" ht="13">
      <c r="A29" s="446" t="s">
        <v>1088</v>
      </c>
      <c r="B29" s="1033"/>
      <c r="C29" s="1033"/>
      <c r="D29" s="1033"/>
      <c r="E29" s="1033"/>
      <c r="F29" s="1033"/>
      <c r="H29" s="445" t="s">
        <v>1089</v>
      </c>
      <c r="I29" s="445"/>
      <c r="J29" s="445"/>
      <c r="K29" s="445"/>
      <c r="L29" s="445"/>
      <c r="M29" s="445"/>
      <c r="N29" s="445"/>
      <c r="O29" s="445"/>
      <c r="P29" s="445"/>
      <c r="Q29" s="445"/>
      <c r="R29" s="445"/>
      <c r="S29" s="445"/>
      <c r="T29" s="445"/>
      <c r="U29" s="445"/>
      <c r="V29" s="445"/>
      <c r="W29" s="445"/>
      <c r="X29" s="445"/>
      <c r="Y29" s="445"/>
      <c r="Z29" s="445"/>
      <c r="AA29" s="445"/>
      <c r="AB29" s="445"/>
      <c r="AC29" s="445"/>
      <c r="AD29" s="445"/>
      <c r="AE29" s="399"/>
      <c r="AF29" s="399"/>
      <c r="AG29" s="399"/>
      <c r="AH29" s="399"/>
      <c r="AI29" s="399"/>
      <c r="AJ29" s="399"/>
      <c r="AK29" s="398"/>
    </row>
    <row r="30" spans="1:37" s="447" customFormat="1" ht="19.5" customHeight="1">
      <c r="A30" s="449" t="str">
        <f>+LEFT('Input data'!$C$32,1)</f>
        <v>8</v>
      </c>
      <c r="B30" s="441" t="str">
        <f>+MID('Input data'!$C$32,2,1)</f>
        <v>3</v>
      </c>
      <c r="C30" s="441" t="str">
        <f>+MID('Input data'!$C$32,3,1)</f>
        <v>1</v>
      </c>
      <c r="D30" s="441" t="str">
        <f>+MID('Input data'!$C$32,4,1)</f>
        <v xml:space="preserve"> </v>
      </c>
      <c r="E30" s="441" t="str">
        <f>+MID('Input data'!$C$32,5,1)</f>
        <v>0</v>
      </c>
      <c r="F30" s="441" t="str">
        <f>+MID('Input data'!$C$32,6,1)</f>
        <v>2</v>
      </c>
      <c r="H30" s="441" t="str">
        <f>+LEFT('Input data'!$C$34,1)</f>
        <v>B</v>
      </c>
      <c r="I30" s="441" t="str">
        <f>+MID('Input data'!$C$34,2,1)</f>
        <v>r</v>
      </c>
      <c r="J30" s="441" t="str">
        <f>+MID('Input data'!$C$34,3,1)</f>
        <v>a</v>
      </c>
      <c r="K30" s="441" t="str">
        <f>+MID('Input data'!$C$34,4,1)</f>
        <v>t</v>
      </c>
      <c r="L30" s="441" t="str">
        <f>+MID('Input data'!$C$34,5,1)</f>
        <v>i</v>
      </c>
      <c r="M30" s="441" t="str">
        <f>+MID('Input data'!$C$34,6,1)</f>
        <v>s</v>
      </c>
      <c r="N30" s="441" t="str">
        <f>+MID('Input data'!$C$34,7,1)</f>
        <v>l</v>
      </c>
      <c r="O30" s="441" t="str">
        <f>+MID('Input data'!$C$34,8,1)</f>
        <v>a</v>
      </c>
      <c r="P30" s="441" t="str">
        <f>+MID('Input data'!$C$34,9,1)</f>
        <v>v</v>
      </c>
      <c r="Q30" s="441" t="str">
        <f>+MID('Input data'!$C$34,10,1)</f>
        <v>a</v>
      </c>
      <c r="R30" s="441" t="str">
        <f>+MID('Input data'!$C$34,11,1)</f>
        <v xml:space="preserve"> </v>
      </c>
      <c r="S30" s="441" t="str">
        <f>+MID('Input data'!$C$34,13,1)</f>
        <v/>
      </c>
      <c r="T30" s="441" t="str">
        <f>+MID('Input data'!$C$34,14,1)</f>
        <v/>
      </c>
      <c r="U30" s="441" t="str">
        <f>+MID('Input data'!$C$34,15,1)</f>
        <v/>
      </c>
      <c r="V30" s="441" t="str">
        <f>+MID('Input data'!$C$34,16,1)</f>
        <v/>
      </c>
      <c r="W30" s="441" t="str">
        <f>+MID('Input data'!$C$34,17,1)</f>
        <v/>
      </c>
      <c r="X30" s="441" t="str">
        <f>+MID('Input data'!$C$34,18,1)</f>
        <v/>
      </c>
      <c r="Y30" s="441" t="str">
        <f>+MID('Input data'!$C$34,19,1)</f>
        <v/>
      </c>
      <c r="Z30" s="441" t="str">
        <f>+MID('Input data'!$C$34,20,1)</f>
        <v/>
      </c>
      <c r="AA30" s="441" t="str">
        <f>+MID('Input data'!$C$34,21,1)</f>
        <v/>
      </c>
      <c r="AB30" s="441" t="str">
        <f>+MID('Input data'!$C$34,22,1)</f>
        <v/>
      </c>
      <c r="AC30" s="441" t="str">
        <f>+MID('Input data'!$C$34,23,1)</f>
        <v/>
      </c>
      <c r="AD30" s="441" t="str">
        <f>+MID('Input data'!$C$34,24,1)</f>
        <v/>
      </c>
      <c r="AE30" s="441" t="str">
        <f>+MID('Input data'!$C$34,25,1)</f>
        <v/>
      </c>
      <c r="AF30" s="441" t="str">
        <f>+MID('Input data'!$C$34,26,1)</f>
        <v/>
      </c>
      <c r="AG30" s="441" t="str">
        <f>+MID('Input data'!$C$34,27,1)</f>
        <v/>
      </c>
      <c r="AH30" s="441" t="str">
        <f>+MID('Input data'!$C$34,28,1)</f>
        <v/>
      </c>
      <c r="AI30" s="441" t="str">
        <f>+MID('Input data'!$C$34,29,1)</f>
        <v/>
      </c>
      <c r="AJ30" s="441" t="str">
        <f>+MID('Input data'!$C$34,30,1)</f>
        <v/>
      </c>
      <c r="AK30" s="448" t="str">
        <f>+MID('Input data'!$C$34,31,1)</f>
        <v/>
      </c>
    </row>
    <row r="31" spans="1:37" s="447" customFormat="1" ht="13" customHeight="1">
      <c r="A31" s="446" t="s">
        <v>2240</v>
      </c>
      <c r="B31" s="441"/>
      <c r="C31" s="441"/>
      <c r="D31" s="441"/>
      <c r="E31" s="441"/>
      <c r="F31" s="441"/>
      <c r="G31" s="441"/>
      <c r="H31" s="441"/>
      <c r="I31" s="441"/>
      <c r="J31" s="441"/>
      <c r="K31" s="441"/>
      <c r="L31" s="441"/>
      <c r="M31" s="441"/>
      <c r="N31" s="441"/>
      <c r="O31" s="441"/>
      <c r="P31" s="441"/>
      <c r="Q31" s="441"/>
      <c r="R31" s="441"/>
      <c r="S31" s="441"/>
      <c r="T31" s="441"/>
      <c r="U31" s="441"/>
      <c r="V31" s="441"/>
      <c r="W31" s="441"/>
      <c r="X31" s="441"/>
      <c r="Y31" s="441"/>
      <c r="Z31" s="441"/>
      <c r="AA31" s="441"/>
      <c r="AB31" s="441"/>
      <c r="AC31" s="441"/>
      <c r="AD31" s="441"/>
      <c r="AE31" s="441"/>
      <c r="AF31" s="441"/>
      <c r="AG31" s="441"/>
      <c r="AH31" s="441"/>
      <c r="AI31" s="441"/>
      <c r="AJ31" s="441"/>
      <c r="AK31" s="448"/>
    </row>
    <row r="32" spans="1:37" s="447" customFormat="1" ht="19.5" customHeight="1">
      <c r="A32" s="449" t="str">
        <f>+LEFT('Input data'!$F$22,1)</f>
        <v>O</v>
      </c>
      <c r="B32" s="441" t="str">
        <f>+MID('Input data'!$F$22,2,1)</f>
        <v>k</v>
      </c>
      <c r="C32" s="441" t="str">
        <f>+MID('Input data'!$F$22,3,1)</f>
        <v>r</v>
      </c>
      <c r="D32" s="441" t="str">
        <f>+MID('Input data'!$F$22,4,1)</f>
        <v>e</v>
      </c>
      <c r="E32" s="441" t="str">
        <f>+MID('Input data'!$F$22,5,1)</f>
        <v>s</v>
      </c>
      <c r="F32" s="441" t="str">
        <f>+MID('Input data'!$F$22,6,1)</f>
        <v>n</v>
      </c>
      <c r="G32" s="441" t="str">
        <f>+MID('Input data'!$F$22,7,1)</f>
        <v>ý</v>
      </c>
      <c r="H32" s="441" t="str">
        <f>+MID('Input data'!$F$22,8,1)</f>
        <v xml:space="preserve"> </v>
      </c>
      <c r="I32" s="441" t="str">
        <f>+MID('Input data'!$F$22,9,1)</f>
        <v>s</v>
      </c>
      <c r="J32" s="441" t="str">
        <f>+MID('Input data'!$F$22,10,1)</f>
        <v>ú</v>
      </c>
      <c r="K32" s="441" t="str">
        <f>+MID('Input data'!$F$22,11,1)</f>
        <v>d</v>
      </c>
      <c r="L32" s="441" t="str">
        <f>+MID('Input data'!$F$22,12,1)</f>
        <v xml:space="preserve"> </v>
      </c>
      <c r="M32" s="441" t="str">
        <f>+MID('Input data'!$F$22,13,1)</f>
        <v>B</v>
      </c>
      <c r="N32" s="441" t="str">
        <f>+MID('Input data'!$F$22,14,1)</f>
        <v>r</v>
      </c>
      <c r="O32" s="441" t="str">
        <f>+MID('Input data'!$F$22,15,1)</f>
        <v>a</v>
      </c>
      <c r="P32" s="441" t="str">
        <f>+MID('Input data'!$F$22,16,1)</f>
        <v>t</v>
      </c>
      <c r="Q32" s="441" t="str">
        <f>+MID('Input data'!$F$22,17,1)</f>
        <v>i</v>
      </c>
      <c r="R32" s="441" t="str">
        <f>+MID('Input data'!$F$22,18,1)</f>
        <v>s</v>
      </c>
      <c r="S32" s="441" t="str">
        <f>+MID('Input data'!$F$22,19,1)</f>
        <v>l</v>
      </c>
      <c r="T32" s="441" t="str">
        <f>+MID('Input data'!$F$22,20,1)</f>
        <v>a</v>
      </c>
      <c r="U32" s="441" t="str">
        <f>+MID('Input data'!$F$22,21,1)</f>
        <v>v</v>
      </c>
      <c r="V32" s="441" t="str">
        <f>+MID('Input data'!$F$22,22,1)</f>
        <v>a</v>
      </c>
      <c r="W32" s="441" t="str">
        <f>+MID('Input data'!$F$22,23,1)</f>
        <v xml:space="preserve"> </v>
      </c>
      <c r="X32" s="441" t="str">
        <f>+MID('Input data'!$F$22,24,1)</f>
        <v>I</v>
      </c>
      <c r="Y32" s="441" t="str">
        <f>+MID('Input data'!$F$22,25,1)</f>
        <v>.</v>
      </c>
      <c r="Z32" s="441" t="str">
        <f>+MID('Input data'!$F$22,26,1)</f>
        <v xml:space="preserve">
</v>
      </c>
      <c r="AA32" s="441" t="str">
        <f>+MID('Input data'!$F$22,27,1)</f>
        <v>O</v>
      </c>
      <c r="AB32" s="441" t="str">
        <f>+MID('Input data'!$F$22,28,1)</f>
        <v>d</v>
      </c>
      <c r="AC32" s="441" t="str">
        <f>+MID('Input data'!$F$22,29,1)</f>
        <v>d</v>
      </c>
      <c r="AD32" s="441" t="str">
        <f>+MID('Input data'!$F$22,30,1)</f>
        <v>i</v>
      </c>
      <c r="AE32" s="441" t="str">
        <f>+MID('Input data'!$F$22,31,1)</f>
        <v>e</v>
      </c>
      <c r="AF32" s="441" t="str">
        <f>+MID('Input data'!$F$22,32,1)</f>
        <v>l</v>
      </c>
      <c r="AG32" s="441" t="str">
        <f>+MID('Input data'!$F$22,33,1)</f>
        <v xml:space="preserve"> </v>
      </c>
      <c r="AH32" s="441" t="str">
        <f>+MID('Input data'!$F$22,34,1)</f>
        <v>S</v>
      </c>
      <c r="AI32" s="441" t="str">
        <f>+MID('Input data'!$F$22,35,1)</f>
        <v>r</v>
      </c>
      <c r="AJ32" s="441" t="str">
        <f>+MID('Input data'!$F$22,36,1)</f>
        <v>o</v>
      </c>
      <c r="AK32" s="448" t="str">
        <f>+MID('Input data'!$F$22,37,1)</f>
        <v>,</v>
      </c>
    </row>
    <row r="33" spans="1:37" s="447" customFormat="1" ht="19.5" customHeight="1">
      <c r="A33" s="449" t="str">
        <f>+MID('Input data'!$F$22,38,1)</f>
        <v xml:space="preserve"> </v>
      </c>
      <c r="B33" s="441" t="str">
        <f>+MID('Input data'!$F$22,39,1)</f>
        <v>v</v>
      </c>
      <c r="C33" s="441" t="str">
        <f>+MID('Input data'!$F$22,40,1)</f>
        <v>l</v>
      </c>
      <c r="D33" s="441" t="str">
        <f>+MID('Input data'!$F$22,41,1)</f>
        <v>o</v>
      </c>
      <c r="E33" s="441" t="str">
        <f>+MID('Input data'!$F$22,42,1)</f>
        <v>ž</v>
      </c>
      <c r="F33" s="441" t="str">
        <f>+MID('Input data'!$F$22,43,1)</f>
        <v>k</v>
      </c>
      <c r="G33" s="441" t="str">
        <f>+MID('Input data'!$F$22,44,1)</f>
        <v>a</v>
      </c>
      <c r="H33" s="441" t="str">
        <f>+MID('Input data'!$F$22,45,1)</f>
        <v xml:space="preserve"> </v>
      </c>
      <c r="I33" s="441" t="str">
        <f>+MID('Input data'!$F$22,46,1)</f>
        <v>č</v>
      </c>
      <c r="J33" s="441" t="str">
        <f>+MID('Input data'!$F$22,47,1)</f>
        <v>.</v>
      </c>
      <c r="K33" s="441" t="str">
        <f>+MID('Input data'!$F$22,48,1)</f>
        <v xml:space="preserve"> </v>
      </c>
      <c r="L33" s="441" t="str">
        <f>+MID('Input data'!$F$22,49,1)</f>
        <v>6</v>
      </c>
      <c r="M33" s="441" t="str">
        <f>+MID('Input data'!$F$22,50,1)</f>
        <v>3</v>
      </c>
      <c r="N33" s="441" t="str">
        <f>+MID('Input data'!$F$22,51,1)</f>
        <v>7</v>
      </c>
      <c r="O33" s="441" t="str">
        <f>+MID('Input data'!$F$22,52,1)</f>
        <v>4</v>
      </c>
      <c r="P33" s="441" t="str">
        <f>+MID('Input data'!$F$22,53,1)</f>
        <v>/</v>
      </c>
      <c r="Q33" s="441" t="str">
        <f>+MID('Input data'!$F$22,54,1)</f>
        <v>B</v>
      </c>
      <c r="R33" s="441" t="str">
        <f>+MID('Input data'!$F$22,55,1)</f>
        <v/>
      </c>
      <c r="S33" s="441" t="str">
        <f>+MID('Input data'!$F$22,56,1)</f>
        <v/>
      </c>
      <c r="T33" s="441" t="str">
        <f>+MID('Input data'!$F$22,57,1)</f>
        <v/>
      </c>
      <c r="U33" s="441" t="str">
        <f>+MID('Input data'!$F$22,58,1)</f>
        <v/>
      </c>
      <c r="V33" s="441" t="str">
        <f>+MID('Input data'!$F$22,59,1)</f>
        <v/>
      </c>
      <c r="W33" s="441" t="str">
        <f>+MID('Input data'!$F$22,60,1)</f>
        <v/>
      </c>
      <c r="X33" s="441" t="str">
        <f>+MID('Input data'!$F$22,61,1)</f>
        <v/>
      </c>
      <c r="Y33" s="441" t="str">
        <f>+MID('Input data'!$F$22,62,1)</f>
        <v/>
      </c>
      <c r="Z33" s="441" t="str">
        <f>+MID('Input data'!$F$22,63,1)</f>
        <v/>
      </c>
      <c r="AA33" s="441" t="str">
        <f>+MID('Input data'!$F$22,64,1)</f>
        <v/>
      </c>
      <c r="AB33" s="441" t="str">
        <f>+MID('Input data'!$F$22,65,1)</f>
        <v/>
      </c>
      <c r="AC33" s="441" t="str">
        <f>+MID('Input data'!$F$22,66,1)</f>
        <v/>
      </c>
      <c r="AD33" s="441" t="str">
        <f>+MID('Input data'!$F$22,67,1)</f>
        <v/>
      </c>
      <c r="AE33" s="441" t="str">
        <f>+MID('Input data'!$F$22,68,1)</f>
        <v/>
      </c>
      <c r="AF33" s="441" t="str">
        <f>+MID('Input data'!$F$22,69,1)</f>
        <v/>
      </c>
      <c r="AG33" s="441" t="str">
        <f>+MID('Input data'!$F$22,70,1)</f>
        <v/>
      </c>
      <c r="AH33" s="441" t="str">
        <f>+MID('Input data'!$F$22,71,1)</f>
        <v/>
      </c>
      <c r="AI33" s="441" t="str">
        <f>+MID('Input data'!$F$22,72,1)</f>
        <v/>
      </c>
      <c r="AJ33" s="441" t="str">
        <f>+MID('Input data'!$F$22,73,1)</f>
        <v/>
      </c>
      <c r="AK33" s="448" t="str">
        <f>+MID('Input data'!$F$22,74,1)</f>
        <v/>
      </c>
    </row>
    <row r="34" spans="1:37" ht="13">
      <c r="A34" s="446" t="s">
        <v>2246</v>
      </c>
      <c r="B34" s="1033"/>
      <c r="C34" s="1033"/>
      <c r="D34" s="1033"/>
      <c r="E34" s="1033"/>
      <c r="F34" s="1033"/>
      <c r="G34" s="445"/>
      <c r="H34" s="445"/>
      <c r="I34" s="445"/>
      <c r="J34" s="445"/>
      <c r="K34" s="445"/>
      <c r="L34" s="445"/>
      <c r="M34" s="445"/>
      <c r="N34" s="1033"/>
      <c r="O34" s="445" t="s">
        <v>2247</v>
      </c>
      <c r="P34" s="445"/>
      <c r="Q34" s="445"/>
      <c r="R34" s="445"/>
      <c r="S34" s="445"/>
      <c r="T34" s="445"/>
      <c r="U34" s="445"/>
      <c r="V34" s="445"/>
      <c r="W34" s="445"/>
      <c r="X34" s="445"/>
      <c r="Y34" s="445"/>
      <c r="Z34" s="445"/>
      <c r="AA34" s="445"/>
      <c r="AB34" s="445"/>
      <c r="AC34" s="445"/>
      <c r="AD34" s="445"/>
      <c r="AE34" s="399"/>
      <c r="AF34" s="399"/>
      <c r="AG34" s="399"/>
      <c r="AH34" s="399"/>
      <c r="AI34" s="399"/>
      <c r="AJ34" s="399"/>
      <c r="AK34" s="398"/>
    </row>
    <row r="35" spans="1:37" ht="19.5" customHeight="1">
      <c r="A35" s="444">
        <v>0</v>
      </c>
      <c r="B35" s="441" t="str">
        <f>+LEFT('Input data'!$C$36,1)</f>
        <v>2</v>
      </c>
      <c r="C35" s="441" t="str">
        <f>+MID('Input data'!$C$36,2,1)</f>
        <v/>
      </c>
      <c r="D35" s="441" t="str">
        <f>+MID('Input data'!$C$36,3,1)</f>
        <v/>
      </c>
      <c r="E35" s="441" t="s">
        <v>1092</v>
      </c>
      <c r="F35" s="441" t="str">
        <f>+LEFT('Input data'!$C$38,1)</f>
        <v>4</v>
      </c>
      <c r="G35" s="441" t="str">
        <f>+MID('Input data'!$C$38,2,1)</f>
        <v>8</v>
      </c>
      <c r="H35" s="441" t="str">
        <f>+MID('Input data'!$C$38,3,1)</f>
        <v>2</v>
      </c>
      <c r="I35" s="441" t="str">
        <f>+MID('Input data'!$C$38,4,1)</f>
        <v>0</v>
      </c>
      <c r="J35" s="441" t="str">
        <f>+MID('Input data'!$C$38,5,1)</f>
        <v>5</v>
      </c>
      <c r="K35" s="441" t="str">
        <f>+MID('Input data'!$C$38,6,1)</f>
        <v>2</v>
      </c>
      <c r="L35" s="441" t="str">
        <f>+MID('Input data'!$C$38,7,1)</f>
        <v>0</v>
      </c>
      <c r="M35" s="441" t="str">
        <f>+MID('Input data'!$C$38,8,1)</f>
        <v>0</v>
      </c>
      <c r="N35" s="443"/>
      <c r="O35" s="442"/>
      <c r="P35" s="441"/>
      <c r="Q35" s="441" t="str">
        <f>+MID('Input data'!$C$36,2,1)</f>
        <v/>
      </c>
      <c r="R35" s="441" t="str">
        <f>+MID('Input data'!$C$36,3,1)</f>
        <v/>
      </c>
      <c r="S35" s="441" t="s">
        <v>1092</v>
      </c>
      <c r="T35" s="441" t="str">
        <f>+LEFT('Input data'!$C$40,1)</f>
        <v/>
      </c>
      <c r="U35" s="441" t="str">
        <f>+MID('Input data'!$C$40,2,1)</f>
        <v/>
      </c>
      <c r="V35" s="441" t="str">
        <f>+MID('Input data'!$C$40,3,1)</f>
        <v/>
      </c>
      <c r="W35" s="441" t="str">
        <f>+MID('Input data'!$C$40,4,1)</f>
        <v/>
      </c>
      <c r="X35" s="441" t="str">
        <f>+MID('Input data'!$C$40,5,1)</f>
        <v/>
      </c>
      <c r="Y35" s="441" t="str">
        <f>+MID('Input data'!$C$40,6,1)</f>
        <v/>
      </c>
      <c r="Z35" s="441" t="str">
        <f>+MID('Input data'!$C$40,7,1)</f>
        <v/>
      </c>
      <c r="AA35" s="441" t="str">
        <f>+MID('Input data'!$C$40,8,1)</f>
        <v/>
      </c>
      <c r="AB35" s="441"/>
      <c r="AC35" s="441"/>
      <c r="AD35" s="441"/>
      <c r="AE35" s="399"/>
      <c r="AF35" s="399"/>
      <c r="AG35" s="399" t="s">
        <v>1093</v>
      </c>
      <c r="AH35" s="399"/>
      <c r="AI35" s="399"/>
      <c r="AJ35" s="399"/>
      <c r="AK35" s="398"/>
    </row>
    <row r="36" spans="1:37" s="391" customFormat="1" ht="13">
      <c r="A36" s="403" t="s">
        <v>1094</v>
      </c>
      <c r="B36" s="402"/>
      <c r="C36" s="402"/>
      <c r="D36" s="402"/>
      <c r="E36" s="402"/>
      <c r="F36" s="402"/>
      <c r="G36" s="402"/>
      <c r="H36" s="402"/>
      <c r="I36" s="402"/>
      <c r="J36" s="402"/>
      <c r="K36" s="402"/>
      <c r="L36" s="402"/>
      <c r="M36" s="402"/>
      <c r="N36" s="402"/>
      <c r="O36" s="402"/>
      <c r="P36" s="402"/>
      <c r="Q36" s="402"/>
      <c r="R36" s="402"/>
      <c r="S36" s="402"/>
      <c r="T36" s="402"/>
      <c r="U36" s="402"/>
      <c r="V36" s="402"/>
      <c r="W36" s="399"/>
      <c r="X36" s="399"/>
      <c r="Y36" s="399"/>
      <c r="Z36" s="399"/>
      <c r="AA36" s="399"/>
      <c r="AB36" s="399"/>
      <c r="AC36" s="399"/>
      <c r="AD36" s="399"/>
      <c r="AE36" s="399"/>
      <c r="AF36" s="399"/>
      <c r="AG36" s="399"/>
      <c r="AH36" s="399"/>
      <c r="AI36" s="399"/>
      <c r="AJ36" s="399"/>
      <c r="AK36" s="398"/>
    </row>
    <row r="37" spans="1:37" ht="19.5" customHeight="1" thickBot="1">
      <c r="A37" s="440" t="str">
        <f>+LEFT('Input data'!$B$42,1)</f>
        <v>o</v>
      </c>
      <c r="B37" s="439" t="str">
        <f>+MID('Input data'!$B$42,2,1)</f>
        <v>f</v>
      </c>
      <c r="C37" s="439" t="str">
        <f>+MID('Input data'!$B$42,3,1)</f>
        <v>f</v>
      </c>
      <c r="D37" s="439" t="str">
        <f>+MID('Input data'!$B$42,4,1)</f>
        <v>i</v>
      </c>
      <c r="E37" s="439" t="str">
        <f>+MID('Input data'!$B$42,5,1)</f>
        <v>c</v>
      </c>
      <c r="F37" s="439" t="str">
        <f>+MID('Input data'!$B$42,6,1)</f>
        <v>e</v>
      </c>
      <c r="G37" s="439" t="str">
        <f>+MID('Input data'!$B$42,7,1)</f>
        <v>.</v>
      </c>
      <c r="H37" s="439" t="str">
        <f>+MID('Input data'!$B$42,8,1)</f>
        <v>s</v>
      </c>
      <c r="I37" s="439" t="str">
        <f>+MID('Input data'!$B$42,9,1)</f>
        <v>k</v>
      </c>
      <c r="J37" s="439" t="str">
        <f>+MID('Input data'!$B$42,10,1)</f>
        <v>@</v>
      </c>
      <c r="K37" s="439" t="str">
        <f>+MID('Input data'!$B$42,11,1)</f>
        <v>f</v>
      </c>
      <c r="L37" s="439" t="str">
        <f>+MID('Input data'!$B$42,12,1)</f>
        <v>o</v>
      </c>
      <c r="M37" s="439" t="str">
        <f>+MID('Input data'!$B$42,13,1)</f>
        <v>s</v>
      </c>
      <c r="N37" s="439" t="str">
        <f>+MID('Input data'!$B$42,14,1)</f>
        <v>s</v>
      </c>
      <c r="O37" s="439" t="str">
        <f>+MID('Input data'!$B$42,15,1)</f>
        <v>f</v>
      </c>
      <c r="P37" s="439" t="str">
        <f>+MID('Input data'!$B$42,16,1)</f>
        <v>i</v>
      </c>
      <c r="Q37" s="439" t="str">
        <f>+MID('Input data'!$B$42,17,1)</f>
        <v>b</v>
      </c>
      <c r="R37" s="439" t="str">
        <f>+MID('Input data'!$B$42,18,1)</f>
        <v>r</v>
      </c>
      <c r="S37" s="439" t="str">
        <f>+MID('Input data'!$B$42,19,1)</f>
        <v>e</v>
      </c>
      <c r="T37" s="439" t="str">
        <f>+MID('Input data'!$B$42,20,1)</f>
        <v>o</v>
      </c>
      <c r="U37" s="439" t="str">
        <f>+MID('Input data'!$B$42,21,1)</f>
        <v>p</v>
      </c>
      <c r="V37" s="439" t="str">
        <f>+MID('Input data'!$B$42,22,1)</f>
        <v>t</v>
      </c>
      <c r="W37" s="439" t="str">
        <f>+MID('Input data'!$B$42,23,1)</f>
        <v>i</v>
      </c>
      <c r="X37" s="439" t="str">
        <f>+MID('Input data'!$B$42,24,1)</f>
        <v>c</v>
      </c>
      <c r="Y37" s="439" t="str">
        <f>+MID('Input data'!$B$42,25,1)</f>
        <v>s</v>
      </c>
      <c r="Z37" s="439" t="str">
        <f>+MID('Input data'!$B$42,26,1)</f>
        <v>.</v>
      </c>
      <c r="AA37" s="439" t="str">
        <f>+MID('Input data'!$B$42,27,1)</f>
        <v>c</v>
      </c>
      <c r="AB37" s="439" t="str">
        <f>+MID('Input data'!$B$42,28,1)</f>
        <v>o</v>
      </c>
      <c r="AC37" s="439" t="str">
        <f>+MID('Input data'!$B$42,29,1)</f>
        <v>m</v>
      </c>
      <c r="AD37" s="439" t="str">
        <f>+MID('Input data'!$B$42,30,1)</f>
        <v/>
      </c>
      <c r="AE37" s="439" t="str">
        <f>+MID('Input data'!$B$42,31,1)</f>
        <v/>
      </c>
      <c r="AF37" s="439" t="str">
        <f>+MID('Input data'!$B$42,32,1)</f>
        <v/>
      </c>
      <c r="AG37" s="439" t="str">
        <f>+MID('Input data'!$B$42,33,1)</f>
        <v/>
      </c>
      <c r="AH37" s="439" t="str">
        <f>+MID('Input data'!$B$42,34,1)</f>
        <v/>
      </c>
      <c r="AI37" s="439" t="str">
        <f>+MID('Input data'!$B$42,35,1)</f>
        <v/>
      </c>
      <c r="AJ37" s="439" t="str">
        <f>+MID('Input data'!$B$42,36,1)</f>
        <v/>
      </c>
      <c r="AK37" s="438" t="str">
        <f>+MID('Input data'!$B$42,37,1)</f>
        <v/>
      </c>
    </row>
    <row r="38" spans="1:37" s="391" customFormat="1" ht="3.75" customHeight="1" thickBot="1">
      <c r="W38" s="392"/>
      <c r="X38" s="392"/>
      <c r="Y38" s="392"/>
      <c r="Z38" s="392"/>
      <c r="AA38" s="392"/>
      <c r="AB38" s="392"/>
      <c r="AC38" s="392"/>
      <c r="AD38" s="392"/>
      <c r="AE38" s="392"/>
      <c r="AF38" s="392"/>
      <c r="AG38" s="392"/>
      <c r="AH38" s="392"/>
      <c r="AI38" s="392"/>
      <c r="AJ38" s="392"/>
      <c r="AK38" s="392"/>
    </row>
    <row r="39" spans="1:37" s="434" customFormat="1" ht="13" customHeight="1">
      <c r="A39" s="437" t="s">
        <v>1095</v>
      </c>
      <c r="B39" s="436"/>
      <c r="C39" s="436"/>
      <c r="D39" s="436"/>
      <c r="E39" s="436"/>
      <c r="F39" s="436"/>
      <c r="G39" s="436"/>
      <c r="H39" s="436"/>
      <c r="I39" s="436"/>
      <c r="J39" s="436"/>
      <c r="K39" s="435"/>
      <c r="L39" s="1051" t="s">
        <v>1099</v>
      </c>
      <c r="M39" s="436"/>
      <c r="N39" s="436"/>
      <c r="O39" s="436"/>
      <c r="P39" s="436"/>
      <c r="Q39" s="436"/>
      <c r="R39" s="436"/>
      <c r="S39" s="436"/>
      <c r="T39" s="436"/>
      <c r="U39" s="436"/>
      <c r="V39" s="435"/>
      <c r="W39" s="1639" t="s">
        <v>2239</v>
      </c>
      <c r="X39" s="1639"/>
      <c r="Y39" s="1639"/>
      <c r="Z39" s="1639"/>
      <c r="AA39" s="1639"/>
      <c r="AB39" s="1639"/>
      <c r="AC39" s="1639"/>
      <c r="AD39" s="1639"/>
      <c r="AE39" s="1639"/>
      <c r="AF39" s="1639"/>
      <c r="AG39" s="1639"/>
      <c r="AH39" s="1639"/>
      <c r="AI39" s="1639"/>
      <c r="AJ39" s="1639"/>
      <c r="AK39" s="1640"/>
    </row>
    <row r="40" spans="1:37" s="391" customFormat="1" ht="31.5" customHeight="1">
      <c r="A40" s="420" t="str">
        <f>MID(TEXT('Input data'!$F$34,"dd.mm.yyyy"),1,1)</f>
        <v>1</v>
      </c>
      <c r="B40" s="419" t="str">
        <f>MID(TEXT('Input data'!$F$34,"dd.mm.yyyy"),2,1)</f>
        <v>5</v>
      </c>
      <c r="C40" s="418" t="s">
        <v>1063</v>
      </c>
      <c r="D40" s="419" t="str">
        <f>MID(TEXT('Input data'!$F$34,"dd.mm.yyyy"),4,1)</f>
        <v>0</v>
      </c>
      <c r="E40" s="419" t="str">
        <f>MID(TEXT('Input data'!$F$34,"dd.mm.yyyy"),5,1)</f>
        <v>5</v>
      </c>
      <c r="F40" s="418" t="s">
        <v>1063</v>
      </c>
      <c r="G40" s="417" t="str">
        <f>MID(TEXT('Input data'!$F$34,"dd.mm.yyyy"),7,1)</f>
        <v>2</v>
      </c>
      <c r="H40" s="417" t="str">
        <f>MID(TEXT('Input data'!$F$34,"dd.mm.yyyy"),8,1)</f>
        <v>0</v>
      </c>
      <c r="I40" s="417" t="str">
        <f>MID(TEXT('Input data'!$F$34,"dd.mm.yyyy"),9,1)</f>
        <v>1</v>
      </c>
      <c r="J40" s="417" t="str">
        <f>MID(TEXT('Input data'!$F$34,"dd.mm.yyyy"),10,1)</f>
        <v>9</v>
      </c>
      <c r="K40" s="433"/>
      <c r="L40" s="419" t="str">
        <f>IF('Input data'!$F$36="","",LEFT(TEXT('Input data'!$F$36,"dd.mm.yyyy"),1))</f>
        <v/>
      </c>
      <c r="M40" s="419" t="str">
        <f>IF('Input data'!$F$36="","",MID(TEXT('Input data'!$F$36,"dd.mm.yyyy"),2,1))</f>
        <v/>
      </c>
      <c r="N40" s="418" t="s">
        <v>1063</v>
      </c>
      <c r="O40" s="419" t="str">
        <f>IF('Input data'!$F$36="","",MID(TEXT('Input data'!$F$36,"dd.mm.yyyy"),4,1))</f>
        <v/>
      </c>
      <c r="P40" s="419" t="str">
        <f>IF('Input data'!$F$36="","",MID(TEXT('Input data'!$F$36,"dd.mm.yyyy"),5,1))</f>
        <v/>
      </c>
      <c r="Q40" s="418" t="s">
        <v>1063</v>
      </c>
      <c r="R40" s="417" t="str">
        <f>IF('Input data'!$F$36="","",MID(TEXT('Input data'!$F$36,"dd.mm.yyyy"),7,1))</f>
        <v/>
      </c>
      <c r="S40" s="417" t="str">
        <f>IF('Input data'!$F$36="","",MID(TEXT('Input data'!$F$36,"dd.mm.yyyy"),8,1))</f>
        <v/>
      </c>
      <c r="T40" s="417" t="str">
        <f>IF('Input data'!$F$36="","",MID(TEXT('Input data'!$F$36,"dd.mm.yyyy"),9,1))</f>
        <v/>
      </c>
      <c r="U40" s="417" t="str">
        <f>IF('Input data'!$F$36="","",MID(TEXT('Input data'!$F$36,"dd.mm.yyyy"),10,1))</f>
        <v/>
      </c>
      <c r="V40" s="433"/>
      <c r="W40" s="1641"/>
      <c r="X40" s="1641"/>
      <c r="Y40" s="1641"/>
      <c r="Z40" s="1641"/>
      <c r="AA40" s="1641"/>
      <c r="AB40" s="1641"/>
      <c r="AC40" s="1641"/>
      <c r="AD40" s="1641"/>
      <c r="AE40" s="1641"/>
      <c r="AF40" s="1641"/>
      <c r="AG40" s="1641"/>
      <c r="AH40" s="1641"/>
      <c r="AI40" s="1641"/>
      <c r="AJ40" s="1641"/>
      <c r="AK40" s="1642"/>
    </row>
    <row r="41" spans="1:37" s="391" customFormat="1" ht="13.5" customHeight="1">
      <c r="A41" s="403"/>
      <c r="B41" s="402"/>
      <c r="C41" s="402"/>
      <c r="D41" s="402"/>
      <c r="E41" s="402"/>
      <c r="F41" s="402"/>
      <c r="G41" s="428"/>
      <c r="H41" s="428"/>
      <c r="I41" s="428"/>
      <c r="J41" s="428"/>
      <c r="K41" s="427"/>
      <c r="L41" s="402"/>
      <c r="M41" s="402"/>
      <c r="N41" s="402"/>
      <c r="O41" s="402"/>
      <c r="P41" s="402"/>
      <c r="Q41" s="402"/>
      <c r="R41" s="428"/>
      <c r="S41" s="428"/>
      <c r="T41" s="428"/>
      <c r="U41" s="428"/>
      <c r="V41" s="427"/>
      <c r="W41" s="1643"/>
      <c r="X41" s="1644"/>
      <c r="Y41" s="1644"/>
      <c r="Z41" s="1644"/>
      <c r="AA41" s="1644"/>
      <c r="AB41" s="1644"/>
      <c r="AC41" s="1644"/>
      <c r="AD41" s="1644"/>
      <c r="AE41" s="1644"/>
      <c r="AF41" s="1644"/>
      <c r="AG41" s="1644"/>
      <c r="AH41" s="1644"/>
      <c r="AI41" s="1644"/>
      <c r="AJ41" s="1644"/>
      <c r="AK41" s="1645"/>
    </row>
    <row r="42" spans="1:37" s="391" customFormat="1" ht="15.75" customHeight="1" thickBot="1">
      <c r="A42" s="396"/>
      <c r="B42" s="395"/>
      <c r="C42" s="395"/>
      <c r="D42" s="395"/>
      <c r="E42" s="395"/>
      <c r="F42" s="395"/>
      <c r="G42" s="1052"/>
      <c r="H42" s="1052"/>
      <c r="I42" s="1052"/>
      <c r="J42" s="1052"/>
      <c r="K42" s="1053"/>
      <c r="L42" s="1054"/>
      <c r="M42" s="1054"/>
      <c r="N42" s="1054"/>
      <c r="O42" s="1054"/>
      <c r="P42" s="1054"/>
      <c r="Q42" s="1054"/>
      <c r="R42" s="1054"/>
      <c r="S42" s="395"/>
      <c r="T42" s="1055"/>
      <c r="U42" s="1055"/>
      <c r="V42" s="1056"/>
      <c r="W42" s="1646"/>
      <c r="X42" s="1647"/>
      <c r="Y42" s="1647"/>
      <c r="Z42" s="1647"/>
      <c r="AA42" s="1647"/>
      <c r="AB42" s="1647"/>
      <c r="AC42" s="1647"/>
      <c r="AD42" s="1647"/>
      <c r="AE42" s="1647"/>
      <c r="AF42" s="1647"/>
      <c r="AG42" s="1647"/>
      <c r="AH42" s="1647"/>
      <c r="AI42" s="1647"/>
      <c r="AJ42" s="1647"/>
      <c r="AK42" s="1648"/>
    </row>
    <row r="43" spans="1:37" s="397" customFormat="1" ht="5.25" customHeight="1" thickBot="1">
      <c r="A43" s="400"/>
      <c r="B43" s="400"/>
      <c r="C43" s="400"/>
      <c r="D43" s="400"/>
      <c r="E43" s="400"/>
      <c r="F43" s="400"/>
      <c r="G43" s="400"/>
      <c r="H43" s="400"/>
      <c r="I43" s="400"/>
      <c r="J43" s="400"/>
      <c r="K43" s="400"/>
      <c r="L43" s="1038"/>
      <c r="M43" s="1038"/>
      <c r="N43" s="1038"/>
      <c r="O43" s="1038"/>
      <c r="P43" s="1038"/>
      <c r="Q43" s="1038"/>
      <c r="R43" s="1038"/>
      <c r="S43" s="1038"/>
      <c r="T43" s="1038"/>
      <c r="U43" s="1038"/>
      <c r="V43" s="1038"/>
      <c r="W43" s="1038"/>
      <c r="X43" s="1038"/>
      <c r="Y43" s="1038"/>
      <c r="Z43" s="1038"/>
      <c r="AA43" s="1038"/>
      <c r="AB43" s="1038"/>
      <c r="AC43" s="1039"/>
      <c r="AD43" s="1039"/>
      <c r="AE43" s="1039"/>
      <c r="AF43" s="1039"/>
      <c r="AG43" s="1039"/>
      <c r="AH43" s="1039"/>
      <c r="AI43" s="1039"/>
      <c r="AJ43" s="1039"/>
      <c r="AK43" s="1039"/>
    </row>
    <row r="44" spans="1:37" s="397" customFormat="1" ht="13">
      <c r="B44" s="409" t="s">
        <v>1100</v>
      </c>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392"/>
    </row>
    <row r="45" spans="1:37" s="397" customFormat="1" ht="13">
      <c r="B45" s="401"/>
      <c r="C45" s="400"/>
      <c r="D45" s="400"/>
      <c r="E45" s="400"/>
      <c r="F45" s="400"/>
      <c r="G45" s="400"/>
      <c r="H45" s="400"/>
      <c r="I45" s="400"/>
      <c r="J45" s="400"/>
      <c r="K45" s="400"/>
      <c r="L45" s="400"/>
      <c r="M45" s="400"/>
      <c r="N45" s="400"/>
      <c r="O45" s="400"/>
      <c r="P45" s="400"/>
      <c r="Q45" s="400"/>
      <c r="R45" s="400"/>
      <c r="S45" s="400"/>
      <c r="T45" s="400"/>
      <c r="U45" s="400"/>
      <c r="V45" s="400"/>
      <c r="W45" s="399"/>
      <c r="X45" s="399"/>
      <c r="Y45" s="399"/>
      <c r="Z45" s="399"/>
      <c r="AA45" s="399"/>
      <c r="AB45" s="399"/>
      <c r="AC45" s="399"/>
      <c r="AD45" s="399"/>
      <c r="AE45" s="399"/>
      <c r="AF45" s="399"/>
      <c r="AG45" s="399"/>
      <c r="AH45" s="399"/>
      <c r="AI45" s="399"/>
      <c r="AJ45" s="398"/>
      <c r="AK45" s="392"/>
    </row>
    <row r="46" spans="1:37" ht="13" customHeight="1">
      <c r="B46" s="405"/>
      <c r="C46" s="1033"/>
      <c r="D46" s="1033"/>
      <c r="E46" s="1033"/>
      <c r="F46" s="1033"/>
      <c r="G46" s="1033"/>
      <c r="H46" s="1033"/>
      <c r="I46" s="1033"/>
      <c r="J46" s="1033"/>
      <c r="K46" s="1033"/>
      <c r="L46" s="1033"/>
      <c r="M46" s="1033"/>
      <c r="N46" s="1033"/>
      <c r="O46" s="1033"/>
      <c r="P46" s="1033"/>
      <c r="Q46" s="1033"/>
      <c r="R46" s="1033"/>
      <c r="S46" s="1033"/>
      <c r="T46" s="1033"/>
      <c r="U46" s="1033"/>
      <c r="V46" s="1033"/>
      <c r="W46" s="399"/>
      <c r="X46" s="399"/>
      <c r="Y46" s="399"/>
      <c r="Z46" s="399"/>
      <c r="AA46" s="399"/>
      <c r="AB46" s="399"/>
      <c r="AC46" s="399"/>
      <c r="AD46" s="399"/>
      <c r="AE46" s="399"/>
      <c r="AF46" s="399"/>
      <c r="AG46" s="399"/>
      <c r="AH46" s="399"/>
      <c r="AI46" s="399"/>
      <c r="AJ46" s="398"/>
      <c r="AK46" s="392"/>
    </row>
    <row r="47" spans="1:37" s="391" customFormat="1" ht="13">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7" s="391" customFormat="1" ht="13">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ht="13">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ht="13">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7" customFormat="1" ht="13.5" thickBot="1">
      <c r="B53" s="412"/>
      <c r="C53" s="411"/>
      <c r="D53" s="411"/>
      <c r="E53" s="411"/>
      <c r="F53" s="411"/>
      <c r="G53" s="395" t="s">
        <v>1101</v>
      </c>
      <c r="H53" s="411"/>
      <c r="I53" s="411"/>
      <c r="J53" s="411"/>
      <c r="K53" s="411"/>
      <c r="L53" s="411"/>
      <c r="M53" s="411"/>
      <c r="N53" s="411"/>
      <c r="O53" s="411"/>
      <c r="P53" s="411"/>
      <c r="Q53" s="411"/>
      <c r="R53" s="411"/>
      <c r="S53" s="411"/>
      <c r="T53" s="411"/>
      <c r="U53" s="395" t="s">
        <v>1102</v>
      </c>
      <c r="V53" s="411"/>
      <c r="W53" s="394"/>
      <c r="X53" s="394"/>
      <c r="Y53" s="394"/>
      <c r="Z53" s="394"/>
      <c r="AA53" s="394"/>
      <c r="AB53" s="394"/>
      <c r="AC53" s="394"/>
      <c r="AD53" s="394"/>
      <c r="AE53" s="394"/>
      <c r="AF53" s="394"/>
      <c r="AG53" s="394"/>
      <c r="AH53" s="394"/>
      <c r="AI53" s="394"/>
      <c r="AJ53" s="393"/>
      <c r="AK53" s="392"/>
    </row>
    <row r="54" spans="2:37" s="391" customFormat="1" ht="4.5" customHeight="1">
      <c r="B54" s="402"/>
      <c r="C54" s="402"/>
      <c r="D54" s="402"/>
      <c r="E54" s="402"/>
      <c r="F54" s="402"/>
      <c r="G54" s="402"/>
      <c r="H54" s="402"/>
      <c r="I54" s="402"/>
      <c r="J54" s="402"/>
      <c r="K54" s="402"/>
      <c r="L54" s="402"/>
      <c r="M54" s="402"/>
      <c r="N54" s="402"/>
      <c r="O54" s="402"/>
      <c r="P54" s="402"/>
      <c r="Q54" s="402"/>
      <c r="R54" s="402"/>
      <c r="S54" s="402"/>
      <c r="T54" s="402"/>
      <c r="U54" s="402"/>
      <c r="V54" s="402"/>
      <c r="W54" s="399"/>
      <c r="X54" s="399"/>
      <c r="Y54" s="399"/>
      <c r="Z54" s="399"/>
      <c r="AA54" s="399"/>
      <c r="AB54" s="399"/>
      <c r="AC54" s="399"/>
      <c r="AD54" s="399"/>
      <c r="AE54" s="399"/>
      <c r="AF54" s="399"/>
      <c r="AG54" s="399"/>
      <c r="AH54" s="399"/>
      <c r="AI54" s="399"/>
      <c r="AJ54" s="399"/>
      <c r="AK54" s="392"/>
    </row>
  </sheetData>
  <mergeCells count="2">
    <mergeCell ref="W39:AK40"/>
    <mergeCell ref="W41:AK42"/>
  </mergeCells>
  <pageMargins left="0.39370078740157483" right="0.39370078740157483" top="0.35433070866141736" bottom="0.35433070866141736" header="0.23622047244094491" footer="0.23622047244094491"/>
  <pageSetup scale="92" orientation="portrait" r:id="rId1"/>
  <headerFooter alignWithMargins="0">
    <oddFooter>&amp;LMF SR č. 18009/2014&amp;RStrana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sheetPr>
  <dimension ref="A1:O252"/>
  <sheetViews>
    <sheetView showGridLines="0" view="pageBreakPreview" topLeftCell="A175" zoomScale="80" zoomScaleNormal="100" zoomScaleSheetLayoutView="80" workbookViewId="0">
      <selection activeCell="K188" sqref="K188:L188"/>
    </sheetView>
  </sheetViews>
  <sheetFormatPr defaultColWidth="9.1796875" defaultRowHeight="11"/>
  <cols>
    <col min="1" max="1" width="5.54296875" style="1179" customWidth="1"/>
    <col min="2" max="2" width="16.81640625" style="1179" customWidth="1"/>
    <col min="3" max="3" width="0.81640625" style="1179" customWidth="1"/>
    <col min="4" max="4" width="3.7265625" style="1179" customWidth="1"/>
    <col min="5" max="5" width="3.54296875" style="1179" customWidth="1"/>
    <col min="6" max="6" width="12.453125" style="1179" customWidth="1"/>
    <col min="7" max="7" width="12.1796875" style="1179" customWidth="1"/>
    <col min="8" max="8" width="0.81640625" style="1179" customWidth="1"/>
    <col min="9" max="9" width="14.7265625" style="1179" customWidth="1"/>
    <col min="10" max="10" width="3.54296875" style="1179" customWidth="1"/>
    <col min="11" max="11" width="10.54296875" style="1179" customWidth="1"/>
    <col min="12" max="12" width="14.453125" style="1179" customWidth="1"/>
    <col min="13" max="16384" width="9.1796875" style="1179"/>
  </cols>
  <sheetData>
    <row r="1" spans="1:15" ht="15" customHeight="1">
      <c r="A1" s="1178"/>
      <c r="B1" s="502"/>
      <c r="C1" s="445"/>
      <c r="G1" s="1180"/>
      <c r="H1" s="1180"/>
      <c r="I1" s="1180"/>
      <c r="J1" s="1180"/>
      <c r="K1" s="1180"/>
    </row>
    <row r="2" spans="1:15" ht="21.75" customHeight="1">
      <c r="A2" s="1178"/>
      <c r="B2" s="1166" t="s">
        <v>2394</v>
      </c>
      <c r="C2" s="1169"/>
      <c r="D2" s="525" t="s">
        <v>1231</v>
      </c>
      <c r="E2" s="1322"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3"/>
      <c r="G2" s="522"/>
      <c r="H2" s="1205"/>
      <c r="I2" s="1213" t="s">
        <v>1074</v>
      </c>
      <c r="J2" s="1210" t="str">
        <f>"  "&amp;'SK Cover sheet'!A13&amp;"  "&amp;'SK Cover sheet'!B13&amp;"  "&amp;'SK Cover sheet'!C13&amp;"  "&amp;'SK Cover sheet'!D13&amp;"  "&amp;'SK Cover sheet'!E13&amp;"  "&amp;'SK Cover sheet'!F13&amp;"  "&amp;'SK Cover sheet'!G13&amp;"  "&amp;'SK Cover sheet'!H13&amp;" "</f>
        <v xml:space="preserve">  3  1  3  6  5  5  0  7 </v>
      </c>
      <c r="K2" s="1211"/>
      <c r="L2" s="1212"/>
    </row>
    <row r="3" spans="1:15" ht="2.25" customHeight="1" thickBot="1">
      <c r="A3" s="1356"/>
      <c r="B3" s="1180"/>
      <c r="C3" s="1180"/>
      <c r="D3" s="1180"/>
      <c r="E3" s="1180"/>
      <c r="F3" s="1180"/>
      <c r="G3" s="1180"/>
      <c r="H3" s="1180"/>
      <c r="I3" s="1180"/>
      <c r="J3" s="1180"/>
      <c r="K3" s="1180"/>
      <c r="L3" s="1180"/>
    </row>
    <row r="4" spans="1:15" s="1181" customFormat="1" ht="11.25" customHeight="1">
      <c r="A4" s="1660" t="s">
        <v>1137</v>
      </c>
      <c r="B4" s="1662" t="s">
        <v>1181</v>
      </c>
      <c r="C4" s="1324"/>
      <c r="D4" s="1664" t="s">
        <v>1135</v>
      </c>
      <c r="E4" s="1667" t="s">
        <v>2</v>
      </c>
      <c r="F4" s="1668"/>
      <c r="G4" s="1668"/>
      <c r="H4" s="1668"/>
      <c r="I4" s="1668"/>
      <c r="J4" s="1669"/>
      <c r="K4" s="1670" t="s">
        <v>1180</v>
      </c>
      <c r="L4" s="1671"/>
    </row>
    <row r="5" spans="1:15" s="1181" customFormat="1" ht="11.25" customHeight="1">
      <c r="A5" s="1661"/>
      <c r="B5" s="1663"/>
      <c r="C5" s="1317"/>
      <c r="D5" s="1665"/>
      <c r="E5" s="1674">
        <v>1</v>
      </c>
      <c r="F5" s="1663" t="s">
        <v>1179</v>
      </c>
      <c r="G5" s="1649"/>
      <c r="H5" s="1299"/>
      <c r="I5" s="1675" t="s">
        <v>1178</v>
      </c>
      <c r="J5" s="1676"/>
      <c r="K5" s="1672"/>
      <c r="L5" s="1673"/>
    </row>
    <row r="6" spans="1:15" s="1181" customFormat="1" ht="12" customHeight="1">
      <c r="A6" s="1661"/>
      <c r="B6" s="1663"/>
      <c r="C6" s="1295"/>
      <c r="D6" s="1666"/>
      <c r="E6" s="1674"/>
      <c r="F6" s="1663" t="s">
        <v>1177</v>
      </c>
      <c r="G6" s="1649"/>
      <c r="H6" s="1299"/>
      <c r="I6" s="1675"/>
      <c r="J6" s="1676"/>
      <c r="K6" s="1649" t="s">
        <v>1176</v>
      </c>
      <c r="L6" s="1650"/>
    </row>
    <row r="7" spans="1:15" s="1183" customFormat="1" ht="28" customHeight="1">
      <c r="A7" s="1651"/>
      <c r="B7" s="1652" t="s">
        <v>2398</v>
      </c>
      <c r="C7" s="1309"/>
      <c r="D7" s="1653" t="s">
        <v>522</v>
      </c>
      <c r="E7" s="1655">
        <f>BS!D10</f>
        <v>5884865</v>
      </c>
      <c r="F7" s="1655"/>
      <c r="G7" s="1656"/>
      <c r="H7" s="1300"/>
      <c r="I7" s="1657">
        <f>E7-E8</f>
        <v>4356932</v>
      </c>
      <c r="J7" s="1657"/>
      <c r="K7" s="1658"/>
      <c r="L7" s="1182"/>
    </row>
    <row r="8" spans="1:15" s="1183" customFormat="1" ht="28" customHeight="1">
      <c r="A8" s="1651"/>
      <c r="B8" s="1652"/>
      <c r="C8" s="1310"/>
      <c r="D8" s="1654"/>
      <c r="E8" s="1655">
        <f>BS!E10</f>
        <v>1527933</v>
      </c>
      <c r="F8" s="1655"/>
      <c r="G8" s="1656"/>
      <c r="H8" s="1300"/>
      <c r="I8" s="1300"/>
      <c r="J8" s="1656">
        <f>BS!G10</f>
        <v>4805868</v>
      </c>
      <c r="K8" s="1657"/>
      <c r="L8" s="1659"/>
      <c r="O8" s="1183" t="s">
        <v>1093</v>
      </c>
    </row>
    <row r="9" spans="1:15" s="1183" customFormat="1" ht="28" customHeight="1">
      <c r="A9" s="1651" t="s">
        <v>523</v>
      </c>
      <c r="B9" s="1652" t="s">
        <v>2396</v>
      </c>
      <c r="C9" s="1309"/>
      <c r="D9" s="1653" t="s">
        <v>525</v>
      </c>
      <c r="E9" s="1655">
        <f>BS!D11</f>
        <v>3150896</v>
      </c>
      <c r="F9" s="1655"/>
      <c r="G9" s="1656"/>
      <c r="H9" s="1300"/>
      <c r="I9" s="1657">
        <f>E9-E10</f>
        <v>1654944</v>
      </c>
      <c r="J9" s="1657"/>
      <c r="K9" s="1658"/>
      <c r="L9" s="1182"/>
    </row>
    <row r="10" spans="1:15" s="1183" customFormat="1" ht="28" customHeight="1">
      <c r="A10" s="1651"/>
      <c r="B10" s="1652"/>
      <c r="C10" s="1310"/>
      <c r="D10" s="1654"/>
      <c r="E10" s="1655">
        <f>BS!E11</f>
        <v>1495952</v>
      </c>
      <c r="F10" s="1655"/>
      <c r="G10" s="1656"/>
      <c r="H10" s="1300"/>
      <c r="I10" s="1300"/>
      <c r="J10" s="1656">
        <f>BS!G11</f>
        <v>2030208</v>
      </c>
      <c r="K10" s="1657"/>
      <c r="L10" s="1659"/>
    </row>
    <row r="11" spans="1:15" s="1183" customFormat="1" ht="28" customHeight="1">
      <c r="A11" s="1677" t="s">
        <v>526</v>
      </c>
      <c r="B11" s="1679" t="s">
        <v>2397</v>
      </c>
      <c r="C11" s="1214"/>
      <c r="D11" s="1653" t="s">
        <v>528</v>
      </c>
      <c r="E11" s="1655">
        <f>BS!D12</f>
        <v>2251280</v>
      </c>
      <c r="F11" s="1655"/>
      <c r="G11" s="1656"/>
      <c r="H11" s="1300"/>
      <c r="I11" s="1657">
        <f>E11-E12</f>
        <v>1200388</v>
      </c>
      <c r="J11" s="1657"/>
      <c r="K11" s="1658"/>
      <c r="L11" s="1182"/>
    </row>
    <row r="12" spans="1:15" s="1183" customFormat="1" ht="28" customHeight="1">
      <c r="A12" s="1678"/>
      <c r="B12" s="1680"/>
      <c r="C12" s="1215"/>
      <c r="D12" s="1654"/>
      <c r="E12" s="1655">
        <f>BS!E12</f>
        <v>1050892</v>
      </c>
      <c r="F12" s="1655"/>
      <c r="G12" s="1656"/>
      <c r="H12" s="1300"/>
      <c r="I12" s="1300"/>
      <c r="J12" s="1656">
        <f>BS!G12</f>
        <v>1524352</v>
      </c>
      <c r="K12" s="1657"/>
      <c r="L12" s="1659"/>
    </row>
    <row r="13" spans="1:15" s="1181" customFormat="1" ht="28" customHeight="1">
      <c r="A13" s="1692" t="s">
        <v>529</v>
      </c>
      <c r="B13" s="1683" t="s">
        <v>2399</v>
      </c>
      <c r="C13" s="1303"/>
      <c r="D13" s="1685" t="s">
        <v>531</v>
      </c>
      <c r="E13" s="1687">
        <f>BS!D13</f>
        <v>39396</v>
      </c>
      <c r="F13" s="1687"/>
      <c r="G13" s="1688"/>
      <c r="H13" s="1298"/>
      <c r="I13" s="1689">
        <f>E13-E14</f>
        <v>15744</v>
      </c>
      <c r="J13" s="1689"/>
      <c r="K13" s="1690"/>
      <c r="L13" s="1185"/>
    </row>
    <row r="14" spans="1:15" s="1181" customFormat="1" ht="28" customHeight="1">
      <c r="A14" s="1693"/>
      <c r="B14" s="1684"/>
      <c r="C14" s="1304"/>
      <c r="D14" s="1686"/>
      <c r="E14" s="1687">
        <f>BS!E13</f>
        <v>23652</v>
      </c>
      <c r="F14" s="1687"/>
      <c r="G14" s="1688"/>
      <c r="H14" s="1298"/>
      <c r="I14" s="1298"/>
      <c r="J14" s="1688">
        <f>BS!G13</f>
        <v>23628</v>
      </c>
      <c r="K14" s="1689"/>
      <c r="L14" s="1691"/>
    </row>
    <row r="15" spans="1:15" s="1181" customFormat="1" ht="28" customHeight="1">
      <c r="A15" s="1681" t="s">
        <v>532</v>
      </c>
      <c r="B15" s="1683" t="s">
        <v>2400</v>
      </c>
      <c r="C15" s="1303"/>
      <c r="D15" s="1685" t="s">
        <v>534</v>
      </c>
      <c r="E15" s="1687">
        <f>BS!D14</f>
        <v>0</v>
      </c>
      <c r="F15" s="1687"/>
      <c r="G15" s="1688"/>
      <c r="H15" s="1298"/>
      <c r="I15" s="1689">
        <f>E15-E16</f>
        <v>0</v>
      </c>
      <c r="J15" s="1689"/>
      <c r="K15" s="1690"/>
      <c r="L15" s="1185"/>
    </row>
    <row r="16" spans="1:15" s="1181" customFormat="1" ht="28" customHeight="1">
      <c r="A16" s="1682"/>
      <c r="B16" s="1684"/>
      <c r="C16" s="1304"/>
      <c r="D16" s="1686"/>
      <c r="E16" s="1687">
        <f>BS!E14</f>
        <v>0</v>
      </c>
      <c r="F16" s="1687"/>
      <c r="G16" s="1688"/>
      <c r="H16" s="1298"/>
      <c r="I16" s="1298"/>
      <c r="J16" s="1688">
        <f>BS!G14</f>
        <v>0</v>
      </c>
      <c r="K16" s="1689"/>
      <c r="L16" s="1691"/>
    </row>
    <row r="17" spans="1:12" s="1181" customFormat="1" ht="28" customHeight="1">
      <c r="A17" s="1681" t="s">
        <v>535</v>
      </c>
      <c r="B17" s="1683" t="s">
        <v>2401</v>
      </c>
      <c r="C17" s="1303"/>
      <c r="D17" s="1685" t="s">
        <v>537</v>
      </c>
      <c r="E17" s="1687">
        <f>BS!D15</f>
        <v>0</v>
      </c>
      <c r="F17" s="1687"/>
      <c r="G17" s="1688"/>
      <c r="H17" s="1298"/>
      <c r="I17" s="1689">
        <f>E17-E18</f>
        <v>0</v>
      </c>
      <c r="J17" s="1689"/>
      <c r="K17" s="1690"/>
      <c r="L17" s="1185"/>
    </row>
    <row r="18" spans="1:12" s="1181" customFormat="1" ht="28" customHeight="1">
      <c r="A18" s="1682"/>
      <c r="B18" s="1684"/>
      <c r="C18" s="1304"/>
      <c r="D18" s="1686"/>
      <c r="E18" s="1687">
        <f>BS!E15</f>
        <v>0</v>
      </c>
      <c r="F18" s="1687"/>
      <c r="G18" s="1688"/>
      <c r="H18" s="1298"/>
      <c r="I18" s="1298"/>
      <c r="J18" s="1688">
        <f>BS!G15</f>
        <v>0</v>
      </c>
      <c r="K18" s="1689"/>
      <c r="L18" s="1691"/>
    </row>
    <row r="19" spans="1:12" s="1181" customFormat="1" ht="28" customHeight="1">
      <c r="A19" s="1681" t="s">
        <v>538</v>
      </c>
      <c r="B19" s="1683" t="s">
        <v>2402</v>
      </c>
      <c r="C19" s="1303"/>
      <c r="D19" s="1685" t="s">
        <v>540</v>
      </c>
      <c r="E19" s="1687">
        <f>BS!D16</f>
        <v>2211884</v>
      </c>
      <c r="F19" s="1687"/>
      <c r="G19" s="1688"/>
      <c r="H19" s="1298"/>
      <c r="I19" s="1689">
        <f>E19-E20</f>
        <v>1184644</v>
      </c>
      <c r="J19" s="1689"/>
      <c r="K19" s="1690"/>
      <c r="L19" s="1185"/>
    </row>
    <row r="20" spans="1:12" s="1181" customFormat="1" ht="28" customHeight="1">
      <c r="A20" s="1682"/>
      <c r="B20" s="1684"/>
      <c r="C20" s="1304"/>
      <c r="D20" s="1686"/>
      <c r="E20" s="1687">
        <f>BS!E16</f>
        <v>1027240</v>
      </c>
      <c r="F20" s="1687"/>
      <c r="G20" s="1688"/>
      <c r="H20" s="1298"/>
      <c r="I20" s="1298"/>
      <c r="J20" s="1688">
        <f>BS!G16</f>
        <v>1500724</v>
      </c>
      <c r="K20" s="1689"/>
      <c r="L20" s="1691"/>
    </row>
    <row r="21" spans="1:12" s="1181" customFormat="1" ht="28" customHeight="1">
      <c r="A21" s="1681" t="s">
        <v>541</v>
      </c>
      <c r="B21" s="1683" t="s">
        <v>2403</v>
      </c>
      <c r="C21" s="1303"/>
      <c r="D21" s="1685" t="s">
        <v>543</v>
      </c>
      <c r="E21" s="1687">
        <f>BS!D17</f>
        <v>0</v>
      </c>
      <c r="F21" s="1687"/>
      <c r="G21" s="1688"/>
      <c r="H21" s="1298"/>
      <c r="I21" s="1689">
        <f>E21-E22</f>
        <v>0</v>
      </c>
      <c r="J21" s="1689"/>
      <c r="K21" s="1690"/>
      <c r="L21" s="1185"/>
    </row>
    <row r="22" spans="1:12" s="1181" customFormat="1" ht="28" customHeight="1">
      <c r="A22" s="1682"/>
      <c r="B22" s="1684"/>
      <c r="C22" s="1304"/>
      <c r="D22" s="1686"/>
      <c r="E22" s="1687">
        <f>BS!E17</f>
        <v>0</v>
      </c>
      <c r="F22" s="1687"/>
      <c r="G22" s="1688"/>
      <c r="H22" s="1298"/>
      <c r="I22" s="1298"/>
      <c r="J22" s="1688">
        <f>BS!G17</f>
        <v>0</v>
      </c>
      <c r="K22" s="1689"/>
      <c r="L22" s="1691"/>
    </row>
    <row r="23" spans="1:12" s="1181" customFormat="1" ht="28" customHeight="1">
      <c r="A23" s="1681" t="s">
        <v>544</v>
      </c>
      <c r="B23" s="1683" t="s">
        <v>2404</v>
      </c>
      <c r="C23" s="1303"/>
      <c r="D23" s="1685" t="s">
        <v>546</v>
      </c>
      <c r="E23" s="1687">
        <f>BS!D18</f>
        <v>0</v>
      </c>
      <c r="F23" s="1687"/>
      <c r="G23" s="1688"/>
      <c r="H23" s="1298"/>
      <c r="I23" s="1689">
        <f>E23-E24</f>
        <v>0</v>
      </c>
      <c r="J23" s="1689"/>
      <c r="K23" s="1690"/>
      <c r="L23" s="1185"/>
    </row>
    <row r="24" spans="1:12" s="1181" customFormat="1" ht="28" customHeight="1">
      <c r="A24" s="1682"/>
      <c r="B24" s="1684"/>
      <c r="C24" s="1304"/>
      <c r="D24" s="1686"/>
      <c r="E24" s="1687">
        <f>BS!E18</f>
        <v>0</v>
      </c>
      <c r="F24" s="1687"/>
      <c r="G24" s="1688"/>
      <c r="H24" s="1298"/>
      <c r="I24" s="1298"/>
      <c r="J24" s="1688">
        <f>BS!G18</f>
        <v>0</v>
      </c>
      <c r="K24" s="1689"/>
      <c r="L24" s="1691"/>
    </row>
    <row r="25" spans="1:12" s="1181" customFormat="1" ht="28" customHeight="1">
      <c r="A25" s="1681" t="s">
        <v>547</v>
      </c>
      <c r="B25" s="1683" t="s">
        <v>2405</v>
      </c>
      <c r="C25" s="1303"/>
      <c r="D25" s="1685" t="s">
        <v>549</v>
      </c>
      <c r="E25" s="1687">
        <f>BS!D19</f>
        <v>0</v>
      </c>
      <c r="F25" s="1687"/>
      <c r="G25" s="1688"/>
      <c r="H25" s="1298"/>
      <c r="I25" s="1689">
        <f>E25-E26</f>
        <v>0</v>
      </c>
      <c r="J25" s="1689"/>
      <c r="K25" s="1690"/>
      <c r="L25" s="1185"/>
    </row>
    <row r="26" spans="1:12" s="1181" customFormat="1" ht="28" customHeight="1">
      <c r="A26" s="1682"/>
      <c r="B26" s="1684"/>
      <c r="C26" s="1304"/>
      <c r="D26" s="1686"/>
      <c r="E26" s="1687">
        <f>BS!E19</f>
        <v>0</v>
      </c>
      <c r="F26" s="1687"/>
      <c r="G26" s="1688"/>
      <c r="H26" s="1298"/>
      <c r="I26" s="1298"/>
      <c r="J26" s="1688">
        <f>BS!G19</f>
        <v>0</v>
      </c>
      <c r="K26" s="1689"/>
      <c r="L26" s="1691"/>
    </row>
    <row r="27" spans="1:12" s="1183" customFormat="1" ht="28" customHeight="1">
      <c r="A27" s="1694" t="s">
        <v>550</v>
      </c>
      <c r="B27" s="1696" t="s">
        <v>2406</v>
      </c>
      <c r="C27" s="1309"/>
      <c r="D27" s="1653" t="s">
        <v>552</v>
      </c>
      <c r="E27" s="1655">
        <f>BS!D20</f>
        <v>899616</v>
      </c>
      <c r="F27" s="1655"/>
      <c r="G27" s="1656"/>
      <c r="H27" s="1300"/>
      <c r="I27" s="1657">
        <f>E27-E28</f>
        <v>454556</v>
      </c>
      <c r="J27" s="1657"/>
      <c r="K27" s="1658"/>
      <c r="L27" s="1182"/>
    </row>
    <row r="28" spans="1:12" s="1183" customFormat="1" ht="28" customHeight="1">
      <c r="A28" s="1695"/>
      <c r="B28" s="1697"/>
      <c r="C28" s="1310"/>
      <c r="D28" s="1654"/>
      <c r="E28" s="1655">
        <f>BS!E20</f>
        <v>445060</v>
      </c>
      <c r="F28" s="1655"/>
      <c r="G28" s="1656"/>
      <c r="H28" s="1300"/>
      <c r="I28" s="1300"/>
      <c r="J28" s="1656">
        <f>BS!G20</f>
        <v>505856</v>
      </c>
      <c r="K28" s="1657"/>
      <c r="L28" s="1659"/>
    </row>
    <row r="29" spans="1:12" s="1181" customFormat="1" ht="28" customHeight="1">
      <c r="A29" s="1692" t="s">
        <v>553</v>
      </c>
      <c r="B29" s="1683" t="s">
        <v>2634</v>
      </c>
      <c r="C29" s="1303"/>
      <c r="D29" s="1685" t="s">
        <v>555</v>
      </c>
      <c r="E29" s="1687">
        <f>BS!D21</f>
        <v>0</v>
      </c>
      <c r="F29" s="1687"/>
      <c r="G29" s="1688"/>
      <c r="H29" s="1298"/>
      <c r="I29" s="1689">
        <f>E29-E30</f>
        <v>0</v>
      </c>
      <c r="J29" s="1689"/>
      <c r="K29" s="1690"/>
      <c r="L29" s="1185"/>
    </row>
    <row r="30" spans="1:12" s="1181" customFormat="1" ht="28" customHeight="1">
      <c r="A30" s="1693"/>
      <c r="B30" s="1684"/>
      <c r="C30" s="1304"/>
      <c r="D30" s="1686"/>
      <c r="E30" s="1687">
        <f>BS!E21</f>
        <v>0</v>
      </c>
      <c r="F30" s="1687"/>
      <c r="G30" s="1688"/>
      <c r="H30" s="1298"/>
      <c r="I30" s="1298"/>
      <c r="J30" s="1688">
        <f>BS!G21</f>
        <v>0</v>
      </c>
      <c r="K30" s="1689"/>
      <c r="L30" s="1691"/>
    </row>
    <row r="31" spans="1:12" s="1181" customFormat="1" ht="28" customHeight="1">
      <c r="A31" s="1681" t="s">
        <v>532</v>
      </c>
      <c r="B31" s="1683" t="s">
        <v>2407</v>
      </c>
      <c r="C31" s="1303"/>
      <c r="D31" s="1685" t="s">
        <v>557</v>
      </c>
      <c r="E31" s="1687">
        <f>BS!D22</f>
        <v>374726</v>
      </c>
      <c r="F31" s="1687"/>
      <c r="G31" s="1688"/>
      <c r="H31" s="1298"/>
      <c r="I31" s="1689">
        <f>E31-E32</f>
        <v>331639</v>
      </c>
      <c r="J31" s="1689"/>
      <c r="K31" s="1690"/>
      <c r="L31" s="1185"/>
    </row>
    <row r="32" spans="1:12" s="1181" customFormat="1" ht="28" customHeight="1">
      <c r="A32" s="1682"/>
      <c r="B32" s="1684"/>
      <c r="C32" s="1304"/>
      <c r="D32" s="1686"/>
      <c r="E32" s="1687">
        <f>BS!E22</f>
        <v>43087</v>
      </c>
      <c r="F32" s="1687"/>
      <c r="G32" s="1688"/>
      <c r="H32" s="1298"/>
      <c r="I32" s="1298"/>
      <c r="J32" s="1688">
        <f>BS!G22</f>
        <v>358240</v>
      </c>
      <c r="K32" s="1689"/>
      <c r="L32" s="1691"/>
    </row>
    <row r="33" spans="1:12" ht="28" customHeight="1">
      <c r="A33" s="1682" t="s">
        <v>535</v>
      </c>
      <c r="B33" s="1683" t="s">
        <v>2408</v>
      </c>
      <c r="C33" s="1303"/>
      <c r="D33" s="1685" t="s">
        <v>559</v>
      </c>
      <c r="E33" s="1687">
        <f>BS!D23</f>
        <v>521446</v>
      </c>
      <c r="F33" s="1687"/>
      <c r="G33" s="1688"/>
      <c r="H33" s="1298"/>
      <c r="I33" s="1689">
        <f>E33-E34</f>
        <v>119473</v>
      </c>
      <c r="J33" s="1689"/>
      <c r="K33" s="1690"/>
      <c r="L33" s="1185"/>
    </row>
    <row r="34" spans="1:12" ht="33" customHeight="1" thickBot="1">
      <c r="A34" s="1699"/>
      <c r="B34" s="1700"/>
      <c r="C34" s="1351"/>
      <c r="D34" s="1701"/>
      <c r="E34" s="1702">
        <f>BS!E23</f>
        <v>401973</v>
      </c>
      <c r="F34" s="1702"/>
      <c r="G34" s="1703"/>
      <c r="H34" s="1352"/>
      <c r="I34" s="1352"/>
      <c r="J34" s="1703">
        <f>BS!G23</f>
        <v>147616</v>
      </c>
      <c r="K34" s="1704"/>
      <c r="L34" s="1705"/>
    </row>
    <row r="35" spans="1:12" ht="11.25" customHeight="1">
      <c r="A35" s="1660" t="s">
        <v>1137</v>
      </c>
      <c r="B35" s="1662" t="s">
        <v>1181</v>
      </c>
      <c r="C35" s="1324"/>
      <c r="D35" s="1664" t="s">
        <v>1135</v>
      </c>
      <c r="E35" s="1668" t="s">
        <v>2</v>
      </c>
      <c r="F35" s="1668"/>
      <c r="G35" s="1668"/>
      <c r="H35" s="1668"/>
      <c r="I35" s="1668"/>
      <c r="J35" s="1669"/>
      <c r="K35" s="1670" t="s">
        <v>1180</v>
      </c>
      <c r="L35" s="1671"/>
    </row>
    <row r="36" spans="1:12" ht="11.25" customHeight="1">
      <c r="A36" s="1661"/>
      <c r="B36" s="1663"/>
      <c r="C36" s="1317"/>
      <c r="D36" s="1665"/>
      <c r="E36" s="1706">
        <v>1</v>
      </c>
      <c r="F36" s="1663" t="s">
        <v>1179</v>
      </c>
      <c r="G36" s="1649"/>
      <c r="H36" s="1299"/>
      <c r="I36" s="1675" t="s">
        <v>1178</v>
      </c>
      <c r="J36" s="1676"/>
      <c r="K36" s="1672"/>
      <c r="L36" s="1673"/>
    </row>
    <row r="37" spans="1:12" ht="12" customHeight="1">
      <c r="A37" s="1661"/>
      <c r="B37" s="1663"/>
      <c r="C37" s="1295"/>
      <c r="D37" s="1666"/>
      <c r="E37" s="1706"/>
      <c r="F37" s="1663" t="s">
        <v>1177</v>
      </c>
      <c r="G37" s="1649"/>
      <c r="H37" s="1299"/>
      <c r="I37" s="1675"/>
      <c r="J37" s="1676"/>
      <c r="K37" s="1649" t="s">
        <v>1176</v>
      </c>
      <c r="L37" s="1650"/>
    </row>
    <row r="38" spans="1:12" ht="28" customHeight="1">
      <c r="A38" s="1698" t="s">
        <v>538</v>
      </c>
      <c r="B38" s="1683" t="s">
        <v>2409</v>
      </c>
      <c r="C38" s="1303"/>
      <c r="D38" s="1685" t="s">
        <v>561</v>
      </c>
      <c r="E38" s="1687">
        <f>BS!D24</f>
        <v>0</v>
      </c>
      <c r="F38" s="1687"/>
      <c r="G38" s="1688"/>
      <c r="H38" s="1314"/>
      <c r="I38" s="1688">
        <f>E38-E39</f>
        <v>0</v>
      </c>
      <c r="J38" s="1689"/>
      <c r="K38" s="1690"/>
      <c r="L38" s="1353"/>
    </row>
    <row r="39" spans="1:12" ht="28" customHeight="1">
      <c r="A39" s="1698"/>
      <c r="B39" s="1684"/>
      <c r="C39" s="1304"/>
      <c r="D39" s="1686"/>
      <c r="E39" s="1690">
        <f>BS!E24</f>
        <v>0</v>
      </c>
      <c r="F39" s="1687"/>
      <c r="G39" s="1688"/>
      <c r="H39" s="1298"/>
      <c r="I39" s="1306"/>
      <c r="J39" s="1688">
        <f>BS!G24</f>
        <v>0</v>
      </c>
      <c r="K39" s="1689"/>
      <c r="L39" s="1691"/>
    </row>
    <row r="40" spans="1:12" ht="28" customHeight="1">
      <c r="A40" s="1682" t="s">
        <v>541</v>
      </c>
      <c r="B40" s="1707" t="s">
        <v>2410</v>
      </c>
      <c r="C40" s="1303"/>
      <c r="D40" s="1685" t="s">
        <v>563</v>
      </c>
      <c r="E40" s="1690">
        <f>BS!D25</f>
        <v>0</v>
      </c>
      <c r="F40" s="1687"/>
      <c r="G40" s="1688"/>
      <c r="H40" s="1307"/>
      <c r="I40" s="1688">
        <f>E40-E41</f>
        <v>0</v>
      </c>
      <c r="J40" s="1689"/>
      <c r="K40" s="1690"/>
      <c r="L40" s="1185"/>
    </row>
    <row r="41" spans="1:12" ht="28" customHeight="1">
      <c r="A41" s="1698"/>
      <c r="B41" s="1708"/>
      <c r="C41" s="1304"/>
      <c r="D41" s="1686"/>
      <c r="E41" s="1690">
        <f>BS!E25</f>
        <v>0</v>
      </c>
      <c r="F41" s="1687"/>
      <c r="G41" s="1688"/>
      <c r="H41" s="1298"/>
      <c r="I41" s="1306"/>
      <c r="J41" s="1688">
        <f>BS!G25</f>
        <v>0</v>
      </c>
      <c r="K41" s="1689"/>
      <c r="L41" s="1691"/>
    </row>
    <row r="42" spans="1:12" ht="28" customHeight="1">
      <c r="A42" s="1682" t="s">
        <v>544</v>
      </c>
      <c r="B42" s="1707" t="s">
        <v>2411</v>
      </c>
      <c r="C42" s="1303"/>
      <c r="D42" s="1685" t="s">
        <v>565</v>
      </c>
      <c r="E42" s="1690">
        <f>BS!D26</f>
        <v>0</v>
      </c>
      <c r="F42" s="1687"/>
      <c r="G42" s="1688"/>
      <c r="H42" s="1307"/>
      <c r="I42" s="1688">
        <f>E42-E43</f>
        <v>0</v>
      </c>
      <c r="J42" s="1689"/>
      <c r="K42" s="1690"/>
      <c r="L42" s="1185"/>
    </row>
    <row r="43" spans="1:12" ht="28" customHeight="1">
      <c r="A43" s="1698"/>
      <c r="B43" s="1708"/>
      <c r="C43" s="1304"/>
      <c r="D43" s="1686"/>
      <c r="E43" s="1690">
        <f>BS!E26</f>
        <v>0</v>
      </c>
      <c r="F43" s="1687"/>
      <c r="G43" s="1688"/>
      <c r="H43" s="1298"/>
      <c r="I43" s="1306"/>
      <c r="J43" s="1688">
        <f>BS!G26</f>
        <v>0</v>
      </c>
      <c r="K43" s="1689"/>
      <c r="L43" s="1691"/>
    </row>
    <row r="44" spans="1:12" ht="28" customHeight="1">
      <c r="A44" s="1682" t="s">
        <v>547</v>
      </c>
      <c r="B44" s="1707" t="s">
        <v>2637</v>
      </c>
      <c r="C44" s="1303"/>
      <c r="D44" s="1685" t="s">
        <v>567</v>
      </c>
      <c r="E44" s="1690">
        <f>BS!D27</f>
        <v>3444</v>
      </c>
      <c r="F44" s="1687"/>
      <c r="G44" s="1688"/>
      <c r="H44" s="1307"/>
      <c r="I44" s="1688">
        <f>E44-E45</f>
        <v>3444</v>
      </c>
      <c r="J44" s="1689"/>
      <c r="K44" s="1690"/>
      <c r="L44" s="1185"/>
    </row>
    <row r="45" spans="1:12" ht="28" customHeight="1">
      <c r="A45" s="1698"/>
      <c r="B45" s="1708"/>
      <c r="C45" s="1304"/>
      <c r="D45" s="1686"/>
      <c r="E45" s="1690">
        <f>BS!E27</f>
        <v>0</v>
      </c>
      <c r="F45" s="1687"/>
      <c r="G45" s="1688"/>
      <c r="H45" s="1298"/>
      <c r="I45" s="1306"/>
      <c r="J45" s="1688">
        <f>BS!G27</f>
        <v>0</v>
      </c>
      <c r="K45" s="1689"/>
      <c r="L45" s="1691"/>
    </row>
    <row r="46" spans="1:12" ht="28" customHeight="1">
      <c r="A46" s="1682" t="s">
        <v>568</v>
      </c>
      <c r="B46" s="1707" t="s">
        <v>2638</v>
      </c>
      <c r="C46" s="1303"/>
      <c r="D46" s="1685" t="s">
        <v>570</v>
      </c>
      <c r="E46" s="1690">
        <f>BS!D28</f>
        <v>0</v>
      </c>
      <c r="F46" s="1687"/>
      <c r="G46" s="1688"/>
      <c r="H46" s="1307"/>
      <c r="I46" s="1688">
        <f>E46-E47</f>
        <v>0</v>
      </c>
      <c r="J46" s="1689"/>
      <c r="K46" s="1690"/>
      <c r="L46" s="1185"/>
    </row>
    <row r="47" spans="1:12" ht="28" customHeight="1">
      <c r="A47" s="1698"/>
      <c r="B47" s="1708"/>
      <c r="C47" s="1304"/>
      <c r="D47" s="1686"/>
      <c r="E47" s="1690">
        <f>BS!E28</f>
        <v>0</v>
      </c>
      <c r="F47" s="1687"/>
      <c r="G47" s="1688"/>
      <c r="H47" s="1298"/>
      <c r="I47" s="1306"/>
      <c r="J47" s="1688">
        <f>BS!G28</f>
        <v>0</v>
      </c>
      <c r="K47" s="1689"/>
      <c r="L47" s="1691"/>
    </row>
    <row r="48" spans="1:12" ht="28" customHeight="1">
      <c r="A48" s="1682" t="s">
        <v>571</v>
      </c>
      <c r="B48" s="1707" t="s">
        <v>2412</v>
      </c>
      <c r="C48" s="1303"/>
      <c r="D48" s="1685" t="s">
        <v>573</v>
      </c>
      <c r="E48" s="1690">
        <f>BS!D29</f>
        <v>0</v>
      </c>
      <c r="F48" s="1687"/>
      <c r="G48" s="1688"/>
      <c r="H48" s="1307"/>
      <c r="I48" s="1688">
        <f>E48-E49</f>
        <v>0</v>
      </c>
      <c r="J48" s="1689"/>
      <c r="K48" s="1690"/>
      <c r="L48" s="1185"/>
    </row>
    <row r="49" spans="1:12" ht="28" customHeight="1">
      <c r="A49" s="1698"/>
      <c r="B49" s="1708"/>
      <c r="C49" s="1304"/>
      <c r="D49" s="1686"/>
      <c r="E49" s="1690">
        <f>BS!E29</f>
        <v>0</v>
      </c>
      <c r="F49" s="1687"/>
      <c r="G49" s="1688"/>
      <c r="H49" s="1298"/>
      <c r="I49" s="1306"/>
      <c r="J49" s="1688">
        <f>BS!G29</f>
        <v>0</v>
      </c>
      <c r="K49" s="1689"/>
      <c r="L49" s="1691"/>
    </row>
    <row r="50" spans="1:12" ht="28" customHeight="1">
      <c r="A50" s="1709" t="s">
        <v>574</v>
      </c>
      <c r="B50" s="1679" t="s">
        <v>2413</v>
      </c>
      <c r="C50" s="1221"/>
      <c r="D50" s="1653" t="s">
        <v>576</v>
      </c>
      <c r="E50" s="1655">
        <f>BS!D30</f>
        <v>0</v>
      </c>
      <c r="F50" s="1655"/>
      <c r="G50" s="1656"/>
      <c r="H50" s="1313"/>
      <c r="I50" s="1656">
        <f>E50-E51</f>
        <v>0</v>
      </c>
      <c r="J50" s="1657"/>
      <c r="K50" s="1658"/>
      <c r="L50" s="1182"/>
    </row>
    <row r="51" spans="1:12" ht="28" customHeight="1">
      <c r="A51" s="1710"/>
      <c r="B51" s="1680"/>
      <c r="C51" s="1215"/>
      <c r="D51" s="1654"/>
      <c r="E51" s="1655">
        <f>BS!E30</f>
        <v>0</v>
      </c>
      <c r="F51" s="1655"/>
      <c r="G51" s="1656"/>
      <c r="H51" s="1300"/>
      <c r="I51" s="1312"/>
      <c r="J51" s="1656">
        <f>BS!G30</f>
        <v>0</v>
      </c>
      <c r="K51" s="1657"/>
      <c r="L51" s="1659"/>
    </row>
    <row r="52" spans="1:12" s="1187" customFormat="1" ht="28" customHeight="1">
      <c r="A52" s="1682" t="s">
        <v>577</v>
      </c>
      <c r="B52" s="1683" t="s">
        <v>2414</v>
      </c>
      <c r="C52" s="1303"/>
      <c r="D52" s="1685" t="s">
        <v>579</v>
      </c>
      <c r="E52" s="1687">
        <f>BS!D31</f>
        <v>0</v>
      </c>
      <c r="F52" s="1687"/>
      <c r="G52" s="1688"/>
      <c r="H52" s="1307"/>
      <c r="I52" s="1688">
        <f>E52-E53</f>
        <v>0</v>
      </c>
      <c r="J52" s="1689"/>
      <c r="K52" s="1690"/>
      <c r="L52" s="1185"/>
    </row>
    <row r="53" spans="1:12" s="1187" customFormat="1" ht="28" customHeight="1">
      <c r="A53" s="1698"/>
      <c r="B53" s="1684"/>
      <c r="C53" s="1304"/>
      <c r="D53" s="1686"/>
      <c r="E53" s="1687">
        <f>BS!E31</f>
        <v>0</v>
      </c>
      <c r="F53" s="1687"/>
      <c r="G53" s="1688"/>
      <c r="H53" s="1298"/>
      <c r="I53" s="1306"/>
      <c r="J53" s="1688">
        <f>BS!G31</f>
        <v>0</v>
      </c>
      <c r="K53" s="1689"/>
      <c r="L53" s="1691"/>
    </row>
    <row r="54" spans="1:12" ht="28" customHeight="1">
      <c r="A54" s="1682" t="s">
        <v>532</v>
      </c>
      <c r="B54" s="1683" t="s">
        <v>2415</v>
      </c>
      <c r="C54" s="1303"/>
      <c r="D54" s="1685" t="s">
        <v>581</v>
      </c>
      <c r="E54" s="1687">
        <f>BS!D32</f>
        <v>0</v>
      </c>
      <c r="F54" s="1687"/>
      <c r="G54" s="1688"/>
      <c r="H54" s="1307"/>
      <c r="I54" s="1688">
        <f>E54-E55</f>
        <v>0</v>
      </c>
      <c r="J54" s="1689"/>
      <c r="K54" s="1690"/>
      <c r="L54" s="1185"/>
    </row>
    <row r="55" spans="1:12" ht="28" customHeight="1">
      <c r="A55" s="1698"/>
      <c r="B55" s="1684"/>
      <c r="C55" s="1304"/>
      <c r="D55" s="1686"/>
      <c r="E55" s="1687">
        <f>BS!E32</f>
        <v>0</v>
      </c>
      <c r="F55" s="1687"/>
      <c r="G55" s="1688"/>
      <c r="H55" s="1298"/>
      <c r="I55" s="1306"/>
      <c r="J55" s="1688">
        <f>BS!G32</f>
        <v>0</v>
      </c>
      <c r="K55" s="1689"/>
      <c r="L55" s="1691"/>
    </row>
    <row r="56" spans="1:12" ht="28" customHeight="1">
      <c r="A56" s="1682" t="s">
        <v>535</v>
      </c>
      <c r="B56" s="1683" t="s">
        <v>2416</v>
      </c>
      <c r="C56" s="1303"/>
      <c r="D56" s="1685" t="s">
        <v>583</v>
      </c>
      <c r="E56" s="1687">
        <f>BS!D33</f>
        <v>0</v>
      </c>
      <c r="F56" s="1687"/>
      <c r="G56" s="1688"/>
      <c r="H56" s="1307"/>
      <c r="I56" s="1688">
        <f>E56-E57</f>
        <v>0</v>
      </c>
      <c r="J56" s="1689"/>
      <c r="K56" s="1690"/>
      <c r="L56" s="1185"/>
    </row>
    <row r="57" spans="1:12" ht="28" customHeight="1">
      <c r="A57" s="1698"/>
      <c r="B57" s="1684"/>
      <c r="C57" s="1304"/>
      <c r="D57" s="1686"/>
      <c r="E57" s="1687">
        <f>BS!E33</f>
        <v>0</v>
      </c>
      <c r="F57" s="1687"/>
      <c r="G57" s="1688"/>
      <c r="H57" s="1298"/>
      <c r="I57" s="1306"/>
      <c r="J57" s="1688">
        <f>BS!G33</f>
        <v>0</v>
      </c>
      <c r="K57" s="1689"/>
      <c r="L57" s="1691"/>
    </row>
    <row r="58" spans="1:12" ht="28" customHeight="1">
      <c r="A58" s="1682" t="s">
        <v>538</v>
      </c>
      <c r="B58" s="1683" t="s">
        <v>2417</v>
      </c>
      <c r="C58" s="1303"/>
      <c r="D58" s="1685" t="s">
        <v>585</v>
      </c>
      <c r="E58" s="1687">
        <f>BS!D34</f>
        <v>0</v>
      </c>
      <c r="F58" s="1687"/>
      <c r="G58" s="1688"/>
      <c r="H58" s="1307"/>
      <c r="I58" s="1688">
        <f>E58-E59</f>
        <v>0</v>
      </c>
      <c r="J58" s="1689"/>
      <c r="K58" s="1690"/>
      <c r="L58" s="1185"/>
    </row>
    <row r="59" spans="1:12" ht="28" customHeight="1">
      <c r="A59" s="1698"/>
      <c r="B59" s="1684"/>
      <c r="C59" s="1304"/>
      <c r="D59" s="1686"/>
      <c r="E59" s="1687">
        <f>BS!E34</f>
        <v>0</v>
      </c>
      <c r="F59" s="1687"/>
      <c r="G59" s="1688"/>
      <c r="H59" s="1298"/>
      <c r="I59" s="1306"/>
      <c r="J59" s="1688">
        <f>BS!G34</f>
        <v>0</v>
      </c>
      <c r="K59" s="1689"/>
      <c r="L59" s="1691"/>
    </row>
    <row r="60" spans="1:12" ht="28" customHeight="1">
      <c r="A60" s="1682" t="s">
        <v>541</v>
      </c>
      <c r="B60" s="1683" t="s">
        <v>2418</v>
      </c>
      <c r="C60" s="1303"/>
      <c r="D60" s="1685" t="s">
        <v>587</v>
      </c>
      <c r="E60" s="1687">
        <f>BS!D35</f>
        <v>0</v>
      </c>
      <c r="F60" s="1687"/>
      <c r="G60" s="1688"/>
      <c r="H60" s="1307"/>
      <c r="I60" s="1688">
        <f>E60-E61</f>
        <v>0</v>
      </c>
      <c r="J60" s="1689"/>
      <c r="K60" s="1690"/>
      <c r="L60" s="1185"/>
    </row>
    <row r="61" spans="1:12" ht="28" customHeight="1">
      <c r="A61" s="1698"/>
      <c r="B61" s="1684"/>
      <c r="C61" s="1304"/>
      <c r="D61" s="1686"/>
      <c r="E61" s="1687">
        <f>BS!E35</f>
        <v>0</v>
      </c>
      <c r="F61" s="1687"/>
      <c r="G61" s="1688"/>
      <c r="H61" s="1298"/>
      <c r="I61" s="1306"/>
      <c r="J61" s="1688">
        <f>BS!G35</f>
        <v>0</v>
      </c>
      <c r="K61" s="1689"/>
      <c r="L61" s="1691"/>
    </row>
    <row r="62" spans="1:12" ht="28" customHeight="1">
      <c r="A62" s="1682" t="s">
        <v>544</v>
      </c>
      <c r="B62" s="1683" t="s">
        <v>2419</v>
      </c>
      <c r="C62" s="1303"/>
      <c r="D62" s="1685" t="s">
        <v>589</v>
      </c>
      <c r="E62" s="1687">
        <f>BS!D36</f>
        <v>0</v>
      </c>
      <c r="F62" s="1687"/>
      <c r="G62" s="1688"/>
      <c r="H62" s="1307"/>
      <c r="I62" s="1688">
        <f>E62-E63</f>
        <v>0</v>
      </c>
      <c r="J62" s="1689"/>
      <c r="K62" s="1690"/>
      <c r="L62" s="1185"/>
    </row>
    <row r="63" spans="1:12" ht="28" customHeight="1">
      <c r="A63" s="1698"/>
      <c r="B63" s="1684"/>
      <c r="C63" s="1304"/>
      <c r="D63" s="1686"/>
      <c r="E63" s="1687">
        <f>BS!E36</f>
        <v>0</v>
      </c>
      <c r="F63" s="1687"/>
      <c r="G63" s="1688"/>
      <c r="H63" s="1298"/>
      <c r="I63" s="1306"/>
      <c r="J63" s="1688">
        <f>BS!G36</f>
        <v>0</v>
      </c>
      <c r="K63" s="1689"/>
      <c r="L63" s="1691"/>
    </row>
    <row r="64" spans="1:12" ht="28" customHeight="1">
      <c r="A64" s="1698" t="s">
        <v>547</v>
      </c>
      <c r="B64" s="1683" t="s">
        <v>2639</v>
      </c>
      <c r="C64" s="1303"/>
      <c r="D64" s="1685" t="s">
        <v>591</v>
      </c>
      <c r="E64" s="1687">
        <f>BS!D37</f>
        <v>0</v>
      </c>
      <c r="F64" s="1687"/>
      <c r="G64" s="1688"/>
      <c r="H64" s="1307"/>
      <c r="I64" s="1688">
        <f>E64-E65</f>
        <v>0</v>
      </c>
      <c r="J64" s="1689"/>
      <c r="K64" s="1690"/>
      <c r="L64" s="1185"/>
    </row>
    <row r="65" spans="1:12" ht="27.75" customHeight="1" thickBot="1">
      <c r="A65" s="1699"/>
      <c r="B65" s="1700"/>
      <c r="C65" s="1351"/>
      <c r="D65" s="1701"/>
      <c r="E65" s="1702">
        <f>BS!E37</f>
        <v>0</v>
      </c>
      <c r="F65" s="1702"/>
      <c r="G65" s="1703"/>
      <c r="H65" s="1352"/>
      <c r="I65" s="1354"/>
      <c r="J65" s="1703">
        <f>BS!G37</f>
        <v>0</v>
      </c>
      <c r="K65" s="1704"/>
      <c r="L65" s="1705"/>
    </row>
    <row r="66" spans="1:12" ht="11.25" customHeight="1">
      <c r="A66" s="1660" t="s">
        <v>1137</v>
      </c>
      <c r="B66" s="1662" t="s">
        <v>1181</v>
      </c>
      <c r="C66" s="1324"/>
      <c r="D66" s="1664" t="s">
        <v>1135</v>
      </c>
      <c r="E66" s="1668" t="s">
        <v>2</v>
      </c>
      <c r="F66" s="1668"/>
      <c r="G66" s="1668"/>
      <c r="H66" s="1668"/>
      <c r="I66" s="1668"/>
      <c r="J66" s="1669"/>
      <c r="K66" s="1670" t="s">
        <v>1180</v>
      </c>
      <c r="L66" s="1671"/>
    </row>
    <row r="67" spans="1:12" ht="11.25" customHeight="1">
      <c r="A67" s="1661"/>
      <c r="B67" s="1663"/>
      <c r="C67" s="1317"/>
      <c r="D67" s="1665"/>
      <c r="E67" s="1706">
        <v>1</v>
      </c>
      <c r="F67" s="1663" t="s">
        <v>1179</v>
      </c>
      <c r="G67" s="1649"/>
      <c r="H67" s="1299"/>
      <c r="I67" s="1675" t="s">
        <v>1178</v>
      </c>
      <c r="J67" s="1676"/>
      <c r="K67" s="1672"/>
      <c r="L67" s="1673"/>
    </row>
    <row r="68" spans="1:12" ht="12" customHeight="1">
      <c r="A68" s="1661"/>
      <c r="B68" s="1663"/>
      <c r="C68" s="1295"/>
      <c r="D68" s="1666"/>
      <c r="E68" s="1706"/>
      <c r="F68" s="1663" t="s">
        <v>1177</v>
      </c>
      <c r="G68" s="1649"/>
      <c r="H68" s="1299"/>
      <c r="I68" s="1675"/>
      <c r="J68" s="1676"/>
      <c r="K68" s="1649" t="s">
        <v>1176</v>
      </c>
      <c r="L68" s="1650"/>
    </row>
    <row r="69" spans="1:12" ht="28" customHeight="1">
      <c r="A69" s="1698" t="s">
        <v>568</v>
      </c>
      <c r="B69" s="1713" t="s">
        <v>2421</v>
      </c>
      <c r="C69" s="1303"/>
      <c r="D69" s="1685" t="s">
        <v>593</v>
      </c>
      <c r="E69" s="1687">
        <f>BS!D38</f>
        <v>0</v>
      </c>
      <c r="F69" s="1687"/>
      <c r="G69" s="1688"/>
      <c r="H69" s="1307"/>
      <c r="I69" s="1688">
        <f>E69-E70</f>
        <v>0</v>
      </c>
      <c r="J69" s="1689"/>
      <c r="K69" s="1690"/>
      <c r="L69" s="1185"/>
    </row>
    <row r="70" spans="1:12" ht="31" customHeight="1">
      <c r="A70" s="1698"/>
      <c r="B70" s="1714"/>
      <c r="C70" s="1304"/>
      <c r="D70" s="1686"/>
      <c r="E70" s="1687">
        <f>BS!E38</f>
        <v>0</v>
      </c>
      <c r="F70" s="1687"/>
      <c r="G70" s="1688"/>
      <c r="H70" s="1298"/>
      <c r="I70" s="1306"/>
      <c r="J70" s="1688">
        <f>BS!G38</f>
        <v>0</v>
      </c>
      <c r="K70" s="1689"/>
      <c r="L70" s="1691"/>
    </row>
    <row r="71" spans="1:12" ht="28" customHeight="1">
      <c r="A71" s="1698" t="s">
        <v>571</v>
      </c>
      <c r="B71" s="1711" t="s">
        <v>2422</v>
      </c>
      <c r="C71" s="1245"/>
      <c r="D71" s="1685" t="s">
        <v>596</v>
      </c>
      <c r="E71" s="1687">
        <f>BS!D39</f>
        <v>0</v>
      </c>
      <c r="F71" s="1687"/>
      <c r="G71" s="1688"/>
      <c r="H71" s="1307"/>
      <c r="I71" s="1688">
        <f>E71-E72</f>
        <v>0</v>
      </c>
      <c r="J71" s="1689"/>
      <c r="K71" s="1690"/>
      <c r="L71" s="1185"/>
    </row>
    <row r="72" spans="1:12" ht="28" customHeight="1">
      <c r="A72" s="1698"/>
      <c r="B72" s="1712"/>
      <c r="C72" s="1246"/>
      <c r="D72" s="1686"/>
      <c r="E72" s="1687">
        <f>BS!E39</f>
        <v>0</v>
      </c>
      <c r="F72" s="1687"/>
      <c r="G72" s="1688"/>
      <c r="H72" s="1298"/>
      <c r="I72" s="1306"/>
      <c r="J72" s="1688">
        <f>BS!G39</f>
        <v>0</v>
      </c>
      <c r="K72" s="1689"/>
      <c r="L72" s="1691"/>
    </row>
    <row r="73" spans="1:12" s="1187" customFormat="1" ht="28" customHeight="1">
      <c r="A73" s="1698" t="s">
        <v>758</v>
      </c>
      <c r="B73" s="1711" t="s">
        <v>2423</v>
      </c>
      <c r="C73" s="1245"/>
      <c r="D73" s="1685" t="s">
        <v>599</v>
      </c>
      <c r="E73" s="1687">
        <f>BS!D40</f>
        <v>0</v>
      </c>
      <c r="F73" s="1687"/>
      <c r="G73" s="1688"/>
      <c r="H73" s="1307"/>
      <c r="I73" s="1688">
        <f>E73-E74</f>
        <v>0</v>
      </c>
      <c r="J73" s="1689"/>
      <c r="K73" s="1690"/>
      <c r="L73" s="1185"/>
    </row>
    <row r="74" spans="1:12" s="1187" customFormat="1" ht="28" customHeight="1">
      <c r="A74" s="1698"/>
      <c r="B74" s="1712"/>
      <c r="C74" s="1246"/>
      <c r="D74" s="1686"/>
      <c r="E74" s="1687">
        <f>BS!E40</f>
        <v>0</v>
      </c>
      <c r="F74" s="1687"/>
      <c r="G74" s="1688"/>
      <c r="H74" s="1298"/>
      <c r="I74" s="1306"/>
      <c r="J74" s="1688">
        <f>BS!G40</f>
        <v>0</v>
      </c>
      <c r="K74" s="1689"/>
      <c r="L74" s="1691"/>
    </row>
    <row r="75" spans="1:12" s="1187" customFormat="1" ht="28" customHeight="1">
      <c r="A75" s="1698" t="s">
        <v>761</v>
      </c>
      <c r="B75" s="1683" t="s">
        <v>2424</v>
      </c>
      <c r="C75" s="1303"/>
      <c r="D75" s="1685" t="s">
        <v>602</v>
      </c>
      <c r="E75" s="1687">
        <f>BS!D41</f>
        <v>0</v>
      </c>
      <c r="F75" s="1687"/>
      <c r="G75" s="1688"/>
      <c r="H75" s="1307"/>
      <c r="I75" s="1688">
        <f>E75-E76</f>
        <v>0</v>
      </c>
      <c r="J75" s="1689"/>
      <c r="K75" s="1690"/>
      <c r="L75" s="1185"/>
    </row>
    <row r="76" spans="1:12" s="1187" customFormat="1" ht="28" customHeight="1">
      <c r="A76" s="1698"/>
      <c r="B76" s="1684"/>
      <c r="C76" s="1304"/>
      <c r="D76" s="1686"/>
      <c r="E76" s="1687">
        <f>BS!E41</f>
        <v>0</v>
      </c>
      <c r="F76" s="1687"/>
      <c r="G76" s="1688"/>
      <c r="H76" s="1298"/>
      <c r="I76" s="1306"/>
      <c r="J76" s="1688">
        <f>BS!G41</f>
        <v>0</v>
      </c>
      <c r="K76" s="1689"/>
      <c r="L76" s="1691"/>
    </row>
    <row r="77" spans="1:12" ht="28" customHeight="1">
      <c r="A77" s="1710" t="s">
        <v>594</v>
      </c>
      <c r="B77" s="1696" t="s">
        <v>2425</v>
      </c>
      <c r="C77" s="1309"/>
      <c r="D77" s="1653" t="s">
        <v>604</v>
      </c>
      <c r="E77" s="1655">
        <f>BS!D42</f>
        <v>2725791</v>
      </c>
      <c r="F77" s="1655"/>
      <c r="G77" s="1656"/>
      <c r="H77" s="1313"/>
      <c r="I77" s="1656">
        <f>E77-E78</f>
        <v>2693810</v>
      </c>
      <c r="J77" s="1657"/>
      <c r="K77" s="1658"/>
      <c r="L77" s="1182"/>
    </row>
    <row r="78" spans="1:12" ht="28" customHeight="1">
      <c r="A78" s="1710"/>
      <c r="B78" s="1697"/>
      <c r="C78" s="1310"/>
      <c r="D78" s="1654"/>
      <c r="E78" s="1655">
        <f>BS!E42</f>
        <v>31981</v>
      </c>
      <c r="F78" s="1655"/>
      <c r="G78" s="1656"/>
      <c r="H78" s="1300"/>
      <c r="I78" s="1312"/>
      <c r="J78" s="1656">
        <f>BS!G42</f>
        <v>2769602</v>
      </c>
      <c r="K78" s="1657"/>
      <c r="L78" s="1659"/>
    </row>
    <row r="79" spans="1:12" ht="28" customHeight="1">
      <c r="A79" s="1710" t="s">
        <v>597</v>
      </c>
      <c r="B79" s="1696" t="s">
        <v>2426</v>
      </c>
      <c r="C79" s="1309"/>
      <c r="D79" s="1653" t="s">
        <v>606</v>
      </c>
      <c r="E79" s="1655">
        <f>BS!D43</f>
        <v>983058</v>
      </c>
      <c r="F79" s="1655"/>
      <c r="G79" s="1656"/>
      <c r="H79" s="1313"/>
      <c r="I79" s="1656">
        <f>E79-E80</f>
        <v>960272</v>
      </c>
      <c r="J79" s="1657"/>
      <c r="K79" s="1658"/>
      <c r="L79" s="1182"/>
    </row>
    <row r="80" spans="1:12" ht="28" customHeight="1">
      <c r="A80" s="1710"/>
      <c r="B80" s="1697"/>
      <c r="C80" s="1310"/>
      <c r="D80" s="1654"/>
      <c r="E80" s="1655">
        <f>BS!E43</f>
        <v>22786</v>
      </c>
      <c r="F80" s="1655"/>
      <c r="G80" s="1656"/>
      <c r="H80" s="1300"/>
      <c r="I80" s="1312"/>
      <c r="J80" s="1656">
        <f>BS!G43</f>
        <v>1028966</v>
      </c>
      <c r="K80" s="1657"/>
      <c r="L80" s="1659"/>
    </row>
    <row r="81" spans="1:14" ht="28" customHeight="1">
      <c r="A81" s="1698" t="s">
        <v>600</v>
      </c>
      <c r="B81" s="1683" t="s">
        <v>2427</v>
      </c>
      <c r="C81" s="1303"/>
      <c r="D81" s="1685" t="s">
        <v>608</v>
      </c>
      <c r="E81" s="1687">
        <f>BS!D44</f>
        <v>548015</v>
      </c>
      <c r="F81" s="1687"/>
      <c r="G81" s="1688"/>
      <c r="H81" s="1307"/>
      <c r="I81" s="1688">
        <f>E81-E82</f>
        <v>525229</v>
      </c>
      <c r="J81" s="1689"/>
      <c r="K81" s="1690"/>
      <c r="L81" s="1185"/>
    </row>
    <row r="82" spans="1:14" ht="28" customHeight="1">
      <c r="A82" s="1698"/>
      <c r="B82" s="1684"/>
      <c r="C82" s="1304"/>
      <c r="D82" s="1686"/>
      <c r="E82" s="1687">
        <f>BS!E44</f>
        <v>22786</v>
      </c>
      <c r="F82" s="1687"/>
      <c r="G82" s="1688"/>
      <c r="H82" s="1298"/>
      <c r="I82" s="1306"/>
      <c r="J82" s="1688">
        <f>BS!G44</f>
        <v>487487</v>
      </c>
      <c r="K82" s="1689"/>
      <c r="L82" s="1691"/>
    </row>
    <row r="83" spans="1:14" ht="28" customHeight="1">
      <c r="A83" s="1698" t="s">
        <v>532</v>
      </c>
      <c r="B83" s="1683" t="s">
        <v>2428</v>
      </c>
      <c r="C83" s="1303"/>
      <c r="D83" s="1685" t="s">
        <v>610</v>
      </c>
      <c r="E83" s="1687">
        <f>BS!D45</f>
        <v>0</v>
      </c>
      <c r="F83" s="1687"/>
      <c r="G83" s="1688"/>
      <c r="H83" s="1307"/>
      <c r="I83" s="1688">
        <f>E83-E84</f>
        <v>0</v>
      </c>
      <c r="J83" s="1689"/>
      <c r="K83" s="1690"/>
      <c r="L83" s="1185"/>
    </row>
    <row r="84" spans="1:14" ht="28" customHeight="1">
      <c r="A84" s="1698"/>
      <c r="B84" s="1684"/>
      <c r="C84" s="1304"/>
      <c r="D84" s="1686"/>
      <c r="E84" s="1687">
        <f>BS!E45</f>
        <v>0</v>
      </c>
      <c r="F84" s="1687"/>
      <c r="G84" s="1688"/>
      <c r="H84" s="1298"/>
      <c r="I84" s="1306"/>
      <c r="J84" s="1688">
        <f>BS!G45</f>
        <v>3950</v>
      </c>
      <c r="K84" s="1689"/>
      <c r="L84" s="1691"/>
    </row>
    <row r="85" spans="1:14" ht="28" customHeight="1">
      <c r="A85" s="1698" t="s">
        <v>535</v>
      </c>
      <c r="B85" s="1683" t="s">
        <v>2429</v>
      </c>
      <c r="C85" s="1303"/>
      <c r="D85" s="1685" t="s">
        <v>612</v>
      </c>
      <c r="E85" s="1687">
        <f>BS!D46</f>
        <v>5542</v>
      </c>
      <c r="F85" s="1687"/>
      <c r="G85" s="1688"/>
      <c r="H85" s="1307"/>
      <c r="I85" s="1688">
        <f>E85-E86</f>
        <v>5542</v>
      </c>
      <c r="J85" s="1689"/>
      <c r="K85" s="1690"/>
      <c r="L85" s="1185"/>
    </row>
    <row r="86" spans="1:14" ht="28" customHeight="1">
      <c r="A86" s="1698"/>
      <c r="B86" s="1684"/>
      <c r="C86" s="1304"/>
      <c r="D86" s="1686"/>
      <c r="E86" s="1687">
        <f>BS!E46</f>
        <v>0</v>
      </c>
      <c r="F86" s="1687"/>
      <c r="G86" s="1688"/>
      <c r="H86" s="1298"/>
      <c r="I86" s="1306"/>
      <c r="J86" s="1688">
        <f>BS!G46</f>
        <v>2326</v>
      </c>
      <c r="K86" s="1689"/>
      <c r="L86" s="1691"/>
    </row>
    <row r="87" spans="1:14" ht="28" customHeight="1">
      <c r="A87" s="1698" t="s">
        <v>538</v>
      </c>
      <c r="B87" s="1683" t="s">
        <v>2430</v>
      </c>
      <c r="C87" s="1303"/>
      <c r="D87" s="1685" t="s">
        <v>615</v>
      </c>
      <c r="E87" s="1687">
        <f>BS!D47</f>
        <v>0</v>
      </c>
      <c r="F87" s="1687"/>
      <c r="G87" s="1688"/>
      <c r="H87" s="1307"/>
      <c r="I87" s="1688">
        <f>E87-E88</f>
        <v>0</v>
      </c>
      <c r="J87" s="1689"/>
      <c r="K87" s="1690"/>
      <c r="L87" s="1185"/>
    </row>
    <row r="88" spans="1:14" ht="28" customHeight="1">
      <c r="A88" s="1698"/>
      <c r="B88" s="1684"/>
      <c r="C88" s="1304"/>
      <c r="D88" s="1686"/>
      <c r="E88" s="1687">
        <f>BS!E47</f>
        <v>0</v>
      </c>
      <c r="F88" s="1687"/>
      <c r="G88" s="1688"/>
      <c r="H88" s="1298"/>
      <c r="I88" s="1306"/>
      <c r="J88" s="1688">
        <f>BS!G47</f>
        <v>0</v>
      </c>
      <c r="K88" s="1689"/>
      <c r="L88" s="1691"/>
    </row>
    <row r="89" spans="1:14" s="1187" customFormat="1" ht="28" customHeight="1">
      <c r="A89" s="1698" t="s">
        <v>541</v>
      </c>
      <c r="B89" s="1683" t="s">
        <v>2431</v>
      </c>
      <c r="C89" s="1303"/>
      <c r="D89" s="1685" t="s">
        <v>618</v>
      </c>
      <c r="E89" s="1687">
        <f>BS!D48</f>
        <v>429501</v>
      </c>
      <c r="F89" s="1687"/>
      <c r="G89" s="1688"/>
      <c r="H89" s="1307"/>
      <c r="I89" s="1688">
        <f>E89-E90</f>
        <v>429501</v>
      </c>
      <c r="J89" s="1689"/>
      <c r="K89" s="1690"/>
      <c r="L89" s="1185"/>
    </row>
    <row r="90" spans="1:14" s="1187" customFormat="1" ht="28" customHeight="1">
      <c r="A90" s="1698"/>
      <c r="B90" s="1684"/>
      <c r="C90" s="1304"/>
      <c r="D90" s="1686"/>
      <c r="E90" s="1687">
        <f>BS!E48</f>
        <v>0</v>
      </c>
      <c r="F90" s="1687"/>
      <c r="G90" s="1688"/>
      <c r="H90" s="1298"/>
      <c r="I90" s="1306"/>
      <c r="J90" s="1688">
        <f>BS!G48</f>
        <v>535203</v>
      </c>
      <c r="K90" s="1689"/>
      <c r="L90" s="1691"/>
    </row>
    <row r="91" spans="1:14" s="1187" customFormat="1" ht="28" customHeight="1">
      <c r="A91" s="1698" t="s">
        <v>544</v>
      </c>
      <c r="B91" s="1683" t="s">
        <v>2432</v>
      </c>
      <c r="C91" s="1303"/>
      <c r="D91" s="1685" t="s">
        <v>620</v>
      </c>
      <c r="E91" s="1687">
        <f>BS!D49</f>
        <v>0</v>
      </c>
      <c r="F91" s="1687"/>
      <c r="G91" s="1688"/>
      <c r="H91" s="1307"/>
      <c r="I91" s="1688">
        <f>E91-E92</f>
        <v>0</v>
      </c>
      <c r="J91" s="1689"/>
      <c r="K91" s="1690"/>
      <c r="L91" s="1185"/>
    </row>
    <row r="92" spans="1:14" s="1187" customFormat="1" ht="28" customHeight="1">
      <c r="A92" s="1698"/>
      <c r="B92" s="1684"/>
      <c r="C92" s="1304"/>
      <c r="D92" s="1686"/>
      <c r="E92" s="1687">
        <f>BS!E49</f>
        <v>0</v>
      </c>
      <c r="F92" s="1687"/>
      <c r="G92" s="1688"/>
      <c r="H92" s="1298"/>
      <c r="I92" s="1306"/>
      <c r="J92" s="1688">
        <f>BS!G49</f>
        <v>0</v>
      </c>
      <c r="K92" s="1689"/>
      <c r="L92" s="1691"/>
    </row>
    <row r="93" spans="1:14" ht="28" customHeight="1">
      <c r="A93" s="1710" t="s">
        <v>613</v>
      </c>
      <c r="B93" s="1696" t="s">
        <v>2433</v>
      </c>
      <c r="C93" s="1309"/>
      <c r="D93" s="1653" t="s">
        <v>622</v>
      </c>
      <c r="E93" s="1655">
        <f>BS!D50</f>
        <v>0</v>
      </c>
      <c r="F93" s="1655"/>
      <c r="G93" s="1656"/>
      <c r="H93" s="1313"/>
      <c r="I93" s="1656">
        <f>E93-E94</f>
        <v>0</v>
      </c>
      <c r="J93" s="1657"/>
      <c r="K93" s="1658"/>
      <c r="L93" s="1182"/>
    </row>
    <row r="94" spans="1:14" ht="28" customHeight="1">
      <c r="A94" s="1710"/>
      <c r="B94" s="1697"/>
      <c r="C94" s="1247"/>
      <c r="D94" s="1654"/>
      <c r="E94" s="1655">
        <f>BS!E50</f>
        <v>0</v>
      </c>
      <c r="F94" s="1655"/>
      <c r="G94" s="1656"/>
      <c r="H94" s="1300"/>
      <c r="I94" s="1312"/>
      <c r="J94" s="1656">
        <f>BS!G50</f>
        <v>0</v>
      </c>
      <c r="K94" s="1657"/>
      <c r="L94" s="1659"/>
    </row>
    <row r="95" spans="1:14" ht="28" customHeight="1">
      <c r="A95" s="1710" t="s">
        <v>616</v>
      </c>
      <c r="B95" s="1696" t="s">
        <v>2434</v>
      </c>
      <c r="C95" s="1309"/>
      <c r="D95" s="1653" t="s">
        <v>624</v>
      </c>
      <c r="E95" s="1687">
        <f>BS!D51</f>
        <v>0</v>
      </c>
      <c r="F95" s="1687"/>
      <c r="G95" s="1688"/>
      <c r="H95" s="1307"/>
      <c r="I95" s="1688">
        <f>E95-E96</f>
        <v>0</v>
      </c>
      <c r="J95" s="1689"/>
      <c r="K95" s="1690"/>
      <c r="L95" s="1185"/>
      <c r="N95" s="1179" t="s">
        <v>1093</v>
      </c>
    </row>
    <row r="96" spans="1:14" ht="28" customHeight="1" thickBot="1">
      <c r="A96" s="1770"/>
      <c r="B96" s="1771"/>
      <c r="C96" s="1355"/>
      <c r="D96" s="1772"/>
      <c r="E96" s="1702">
        <f>BS!E51</f>
        <v>0</v>
      </c>
      <c r="F96" s="1702"/>
      <c r="G96" s="1703"/>
      <c r="H96" s="1352"/>
      <c r="I96" s="1354"/>
      <c r="J96" s="1703">
        <f>BS!G51</f>
        <v>0</v>
      </c>
      <c r="K96" s="1704"/>
      <c r="L96" s="1705"/>
    </row>
    <row r="97" spans="1:12" ht="11.25" customHeight="1">
      <c r="A97" s="1760" t="s">
        <v>1137</v>
      </c>
      <c r="B97" s="1762" t="s">
        <v>1181</v>
      </c>
      <c r="C97" s="1357"/>
      <c r="D97" s="1664" t="s">
        <v>1135</v>
      </c>
      <c r="E97" s="1667" t="s">
        <v>2</v>
      </c>
      <c r="F97" s="1668"/>
      <c r="G97" s="1668"/>
      <c r="H97" s="1668"/>
      <c r="I97" s="1668"/>
      <c r="J97" s="1669"/>
      <c r="K97" s="1670" t="s">
        <v>1180</v>
      </c>
      <c r="L97" s="1671"/>
    </row>
    <row r="98" spans="1:12" ht="11.25" customHeight="1">
      <c r="A98" s="1761"/>
      <c r="B98" s="1763"/>
      <c r="C98" s="1218"/>
      <c r="D98" s="1665"/>
      <c r="E98" s="1765">
        <v>1</v>
      </c>
      <c r="F98" s="1649" t="s">
        <v>1179</v>
      </c>
      <c r="G98" s="1767"/>
      <c r="H98" s="1296"/>
      <c r="I98" s="1768" t="s">
        <v>1178</v>
      </c>
      <c r="J98" s="1769"/>
      <c r="K98" s="1672"/>
      <c r="L98" s="1673"/>
    </row>
    <row r="99" spans="1:12" ht="12" customHeight="1">
      <c r="A99" s="1731"/>
      <c r="B99" s="1764"/>
      <c r="C99" s="1296"/>
      <c r="D99" s="1666"/>
      <c r="E99" s="1766"/>
      <c r="F99" s="1649" t="s">
        <v>1177</v>
      </c>
      <c r="G99" s="1767"/>
      <c r="H99" s="1218"/>
      <c r="I99" s="1768"/>
      <c r="J99" s="1769"/>
      <c r="K99" s="1649" t="s">
        <v>1176</v>
      </c>
      <c r="L99" s="1650"/>
    </row>
    <row r="100" spans="1:12" ht="28" customHeight="1">
      <c r="A100" s="1698" t="s">
        <v>2265</v>
      </c>
      <c r="B100" s="1683" t="s">
        <v>2435</v>
      </c>
      <c r="C100" s="1249"/>
      <c r="D100" s="1685" t="s">
        <v>626</v>
      </c>
      <c r="E100" s="1687">
        <f>BS!D52</f>
        <v>0</v>
      </c>
      <c r="F100" s="1687"/>
      <c r="G100" s="1688"/>
      <c r="H100" s="1307"/>
      <c r="I100" s="1688">
        <f>E100-E101</f>
        <v>0</v>
      </c>
      <c r="J100" s="1689"/>
      <c r="K100" s="1690"/>
      <c r="L100" s="1185"/>
    </row>
    <row r="101" spans="1:12" ht="28" customHeight="1">
      <c r="A101" s="1698"/>
      <c r="B101" s="1684"/>
      <c r="C101" s="1222"/>
      <c r="D101" s="1686"/>
      <c r="E101" s="1687">
        <f>BS!E52</f>
        <v>0</v>
      </c>
      <c r="F101" s="1687"/>
      <c r="G101" s="1688"/>
      <c r="H101" s="1298"/>
      <c r="I101" s="1306"/>
      <c r="J101" s="1688">
        <f>BS!G52</f>
        <v>0</v>
      </c>
      <c r="K101" s="1689"/>
      <c r="L101" s="1691"/>
    </row>
    <row r="102" spans="1:12" ht="28" customHeight="1">
      <c r="A102" s="1698" t="s">
        <v>2266</v>
      </c>
      <c r="B102" s="1713" t="s">
        <v>2447</v>
      </c>
      <c r="C102" s="1303"/>
      <c r="D102" s="1685" t="s">
        <v>628</v>
      </c>
      <c r="E102" s="1687">
        <f>BS!D53</f>
        <v>0</v>
      </c>
      <c r="F102" s="1687"/>
      <c r="G102" s="1688"/>
      <c r="H102" s="1307"/>
      <c r="I102" s="1688">
        <f>E102-E103</f>
        <v>0</v>
      </c>
      <c r="J102" s="1689"/>
      <c r="K102" s="1690"/>
      <c r="L102" s="1185"/>
    </row>
    <row r="103" spans="1:12" ht="42" customHeight="1">
      <c r="A103" s="1698"/>
      <c r="B103" s="1714"/>
      <c r="C103" s="1304"/>
      <c r="D103" s="1686"/>
      <c r="E103" s="1687">
        <f>BS!E53</f>
        <v>0</v>
      </c>
      <c r="F103" s="1687"/>
      <c r="G103" s="1688"/>
      <c r="H103" s="1298"/>
      <c r="I103" s="1306"/>
      <c r="J103" s="1688">
        <f>BS!G53</f>
        <v>0</v>
      </c>
      <c r="K103" s="1689"/>
      <c r="L103" s="1691"/>
    </row>
    <row r="104" spans="1:12" ht="28" customHeight="1">
      <c r="A104" s="1698" t="s">
        <v>2267</v>
      </c>
      <c r="B104" s="1713" t="s">
        <v>2437</v>
      </c>
      <c r="C104" s="1303"/>
      <c r="D104" s="1685" t="s">
        <v>630</v>
      </c>
      <c r="E104" s="1687">
        <f>BS!D54</f>
        <v>0</v>
      </c>
      <c r="F104" s="1687"/>
      <c r="G104" s="1688"/>
      <c r="H104" s="1307"/>
      <c r="I104" s="1688">
        <f>E104-E105</f>
        <v>0</v>
      </c>
      <c r="J104" s="1689"/>
      <c r="K104" s="1690"/>
      <c r="L104" s="1185"/>
    </row>
    <row r="105" spans="1:12" ht="27.75" customHeight="1">
      <c r="A105" s="1698"/>
      <c r="B105" s="1714"/>
      <c r="C105" s="1304"/>
      <c r="D105" s="1686"/>
      <c r="E105" s="1687">
        <f>BS!E54</f>
        <v>0</v>
      </c>
      <c r="F105" s="1687"/>
      <c r="G105" s="1688"/>
      <c r="H105" s="1298"/>
      <c r="I105" s="1306"/>
      <c r="J105" s="1688">
        <f>BS!G54</f>
        <v>0</v>
      </c>
      <c r="K105" s="1689"/>
      <c r="L105" s="1691"/>
    </row>
    <row r="106" spans="1:12" ht="28" customHeight="1">
      <c r="A106" s="1698" t="s">
        <v>532</v>
      </c>
      <c r="B106" s="1711" t="s">
        <v>1120</v>
      </c>
      <c r="C106" s="1245"/>
      <c r="D106" s="1685" t="s">
        <v>633</v>
      </c>
      <c r="E106" s="1687">
        <f>BS!D55</f>
        <v>0</v>
      </c>
      <c r="F106" s="1687"/>
      <c r="G106" s="1688"/>
      <c r="H106" s="1307"/>
      <c r="I106" s="1688">
        <f>E106-E107</f>
        <v>0</v>
      </c>
      <c r="J106" s="1689"/>
      <c r="K106" s="1690"/>
      <c r="L106" s="1185"/>
    </row>
    <row r="107" spans="1:12" ht="28" customHeight="1">
      <c r="A107" s="1698"/>
      <c r="B107" s="1712"/>
      <c r="C107" s="1246"/>
      <c r="D107" s="1686"/>
      <c r="E107" s="1687">
        <f>BS!E55</f>
        <v>0</v>
      </c>
      <c r="F107" s="1687"/>
      <c r="G107" s="1688"/>
      <c r="H107" s="1298"/>
      <c r="I107" s="1306"/>
      <c r="J107" s="1688">
        <f>BS!G55</f>
        <v>0</v>
      </c>
      <c r="K107" s="1689"/>
      <c r="L107" s="1691"/>
    </row>
    <row r="108" spans="1:12" s="1187" customFormat="1" ht="28" customHeight="1">
      <c r="A108" s="1698" t="s">
        <v>535</v>
      </c>
      <c r="B108" s="1683" t="s">
        <v>2438</v>
      </c>
      <c r="C108" s="1303"/>
      <c r="D108" s="1685" t="s">
        <v>636</v>
      </c>
      <c r="E108" s="1687">
        <f>BS!D56</f>
        <v>0</v>
      </c>
      <c r="F108" s="1687"/>
      <c r="G108" s="1688"/>
      <c r="H108" s="1307"/>
      <c r="I108" s="1688">
        <f>E108-E109</f>
        <v>0</v>
      </c>
      <c r="J108" s="1689"/>
      <c r="K108" s="1690"/>
      <c r="L108" s="1185"/>
    </row>
    <row r="109" spans="1:12" s="1187" customFormat="1" ht="28" customHeight="1">
      <c r="A109" s="1698"/>
      <c r="B109" s="1684"/>
      <c r="C109" s="1304"/>
      <c r="D109" s="1686"/>
      <c r="E109" s="1687">
        <f>BS!E56</f>
        <v>0</v>
      </c>
      <c r="F109" s="1687"/>
      <c r="G109" s="1688"/>
      <c r="H109" s="1298"/>
      <c r="I109" s="1306"/>
      <c r="J109" s="1688">
        <f>BS!G56</f>
        <v>0</v>
      </c>
      <c r="K109" s="1689"/>
      <c r="L109" s="1691"/>
    </row>
    <row r="110" spans="1:12" s="1187" customFormat="1" ht="28" customHeight="1">
      <c r="A110" s="1698" t="s">
        <v>538</v>
      </c>
      <c r="B110" s="1683" t="s">
        <v>2439</v>
      </c>
      <c r="C110" s="1303"/>
      <c r="D110" s="1685" t="s">
        <v>637</v>
      </c>
      <c r="E110" s="1687">
        <f>BS!D57</f>
        <v>0</v>
      </c>
      <c r="F110" s="1687"/>
      <c r="G110" s="1688"/>
      <c r="H110" s="1307"/>
      <c r="I110" s="1688">
        <f>E110-E111</f>
        <v>0</v>
      </c>
      <c r="J110" s="1689"/>
      <c r="K110" s="1690"/>
      <c r="L110" s="1185"/>
    </row>
    <row r="111" spans="1:12" s="1187" customFormat="1" ht="28" customHeight="1">
      <c r="A111" s="1698"/>
      <c r="B111" s="1684"/>
      <c r="C111" s="1304"/>
      <c r="D111" s="1686"/>
      <c r="E111" s="1687">
        <f>BS!E57</f>
        <v>0</v>
      </c>
      <c r="F111" s="1687"/>
      <c r="G111" s="1688"/>
      <c r="H111" s="1298"/>
      <c r="I111" s="1306"/>
      <c r="J111" s="1688">
        <f>BS!G57</f>
        <v>0</v>
      </c>
      <c r="K111" s="1689"/>
      <c r="L111" s="1691"/>
    </row>
    <row r="112" spans="1:12" ht="28" customHeight="1">
      <c r="A112" s="1698" t="s">
        <v>541</v>
      </c>
      <c r="B112" s="1683" t="s">
        <v>2640</v>
      </c>
      <c r="C112" s="1303"/>
      <c r="D112" s="1685" t="s">
        <v>639</v>
      </c>
      <c r="E112" s="1687">
        <f>BS!D58</f>
        <v>0</v>
      </c>
      <c r="F112" s="1687"/>
      <c r="G112" s="1688"/>
      <c r="H112" s="1307"/>
      <c r="I112" s="1688">
        <f>E112-E113</f>
        <v>0</v>
      </c>
      <c r="J112" s="1689"/>
      <c r="K112" s="1690"/>
      <c r="L112" s="1185"/>
    </row>
    <row r="113" spans="1:12" ht="28" customHeight="1">
      <c r="A113" s="1698"/>
      <c r="B113" s="1684"/>
      <c r="C113" s="1304"/>
      <c r="D113" s="1686"/>
      <c r="E113" s="1687">
        <f>BS!E58</f>
        <v>0</v>
      </c>
      <c r="F113" s="1687"/>
      <c r="G113" s="1688"/>
      <c r="H113" s="1298"/>
      <c r="I113" s="1306"/>
      <c r="J113" s="1688">
        <f>BS!G58</f>
        <v>0</v>
      </c>
      <c r="K113" s="1689"/>
      <c r="L113" s="1691"/>
    </row>
    <row r="114" spans="1:12" ht="28" customHeight="1">
      <c r="A114" s="1698" t="s">
        <v>544</v>
      </c>
      <c r="B114" s="1683" t="s">
        <v>2441</v>
      </c>
      <c r="C114" s="1303"/>
      <c r="D114" s="1685" t="s">
        <v>640</v>
      </c>
      <c r="E114" s="1687">
        <f>BS!D59</f>
        <v>0</v>
      </c>
      <c r="F114" s="1687"/>
      <c r="G114" s="1688"/>
      <c r="H114" s="1307"/>
      <c r="I114" s="1688">
        <f>E114-E115</f>
        <v>0</v>
      </c>
      <c r="J114" s="1689"/>
      <c r="K114" s="1690"/>
      <c r="L114" s="1185"/>
    </row>
    <row r="115" spans="1:12" ht="28" customHeight="1">
      <c r="A115" s="1698"/>
      <c r="B115" s="1684"/>
      <c r="C115" s="1304"/>
      <c r="D115" s="1686"/>
      <c r="E115" s="1687">
        <f>BS!E59</f>
        <v>0</v>
      </c>
      <c r="F115" s="1687"/>
      <c r="G115" s="1688"/>
      <c r="H115" s="1298"/>
      <c r="I115" s="1306"/>
      <c r="J115" s="1688">
        <f>BS!G59</f>
        <v>0</v>
      </c>
      <c r="K115" s="1689"/>
      <c r="L115" s="1691"/>
    </row>
    <row r="116" spans="1:12" ht="28" customHeight="1">
      <c r="A116" s="1698" t="s">
        <v>547</v>
      </c>
      <c r="B116" s="1683" t="s">
        <v>2442</v>
      </c>
      <c r="C116" s="1303"/>
      <c r="D116" s="1685" t="s">
        <v>642</v>
      </c>
      <c r="E116" s="1687">
        <f>BS!D60</f>
        <v>0</v>
      </c>
      <c r="F116" s="1687"/>
      <c r="G116" s="1688"/>
      <c r="H116" s="1307"/>
      <c r="I116" s="1688">
        <f>E116-E117</f>
        <v>0</v>
      </c>
      <c r="J116" s="1689"/>
      <c r="K116" s="1690"/>
      <c r="L116" s="1185"/>
    </row>
    <row r="117" spans="1:12" ht="28" customHeight="1">
      <c r="A117" s="1698"/>
      <c r="B117" s="1684"/>
      <c r="C117" s="1304"/>
      <c r="D117" s="1686"/>
      <c r="E117" s="1687">
        <f>BS!E60</f>
        <v>0</v>
      </c>
      <c r="F117" s="1687"/>
      <c r="G117" s="1688"/>
      <c r="H117" s="1298"/>
      <c r="I117" s="1306"/>
      <c r="J117" s="1688">
        <f>BS!G60</f>
        <v>0</v>
      </c>
      <c r="K117" s="1689"/>
      <c r="L117" s="1691"/>
    </row>
    <row r="118" spans="1:12" ht="28" customHeight="1">
      <c r="A118" s="1698" t="s">
        <v>568</v>
      </c>
      <c r="B118" s="1683" t="s">
        <v>2443</v>
      </c>
      <c r="C118" s="1303"/>
      <c r="D118" s="1685" t="s">
        <v>644</v>
      </c>
      <c r="E118" s="1687">
        <f>BS!D61</f>
        <v>0</v>
      </c>
      <c r="F118" s="1687"/>
      <c r="G118" s="1688"/>
      <c r="H118" s="1307"/>
      <c r="I118" s="1688">
        <f>E118-E119</f>
        <v>0</v>
      </c>
      <c r="J118" s="1689"/>
      <c r="K118" s="1690"/>
      <c r="L118" s="1185"/>
    </row>
    <row r="119" spans="1:12" ht="28" customHeight="1">
      <c r="A119" s="1698"/>
      <c r="B119" s="1684"/>
      <c r="C119" s="1304"/>
      <c r="D119" s="1686"/>
      <c r="E119" s="1687">
        <f>BS!E61</f>
        <v>0</v>
      </c>
      <c r="F119" s="1687"/>
      <c r="G119" s="1688"/>
      <c r="H119" s="1298"/>
      <c r="I119" s="1306"/>
      <c r="J119" s="1688">
        <f>BS!G61</f>
        <v>0</v>
      </c>
      <c r="K119" s="1689"/>
      <c r="L119" s="1691"/>
    </row>
    <row r="120" spans="1:12" ht="28" customHeight="1">
      <c r="A120" s="1710" t="s">
        <v>631</v>
      </c>
      <c r="B120" s="1696" t="s">
        <v>2444</v>
      </c>
      <c r="C120" s="1309"/>
      <c r="D120" s="1653" t="s">
        <v>646</v>
      </c>
      <c r="E120" s="1655">
        <f>BS!D62</f>
        <v>644749</v>
      </c>
      <c r="F120" s="1655"/>
      <c r="G120" s="1656"/>
      <c r="H120" s="1313"/>
      <c r="I120" s="1656">
        <f>E120-E121</f>
        <v>635554</v>
      </c>
      <c r="J120" s="1657"/>
      <c r="K120" s="1658"/>
      <c r="L120" s="1182"/>
    </row>
    <row r="121" spans="1:12" ht="28" customHeight="1">
      <c r="A121" s="1710"/>
      <c r="B121" s="1697"/>
      <c r="C121" s="1310"/>
      <c r="D121" s="1654"/>
      <c r="E121" s="1655">
        <f>BS!E62</f>
        <v>9195</v>
      </c>
      <c r="F121" s="1655"/>
      <c r="G121" s="1656"/>
      <c r="H121" s="1300"/>
      <c r="I121" s="1312"/>
      <c r="J121" s="1656">
        <f>BS!G62</f>
        <v>1440723</v>
      </c>
      <c r="K121" s="1657"/>
      <c r="L121" s="1659"/>
    </row>
    <row r="122" spans="1:12" ht="28" customHeight="1">
      <c r="A122" s="1710" t="s">
        <v>634</v>
      </c>
      <c r="B122" s="1696" t="s">
        <v>2445</v>
      </c>
      <c r="C122" s="1309"/>
      <c r="D122" s="1653" t="s">
        <v>648</v>
      </c>
      <c r="E122" s="1687">
        <f>BS!D63</f>
        <v>625303</v>
      </c>
      <c r="F122" s="1687"/>
      <c r="G122" s="1688"/>
      <c r="H122" s="1307"/>
      <c r="I122" s="1688">
        <f>E122-E123</f>
        <v>625303</v>
      </c>
      <c r="J122" s="1689"/>
      <c r="K122" s="1690"/>
      <c r="L122" s="1185"/>
    </row>
    <row r="123" spans="1:12" ht="28" customHeight="1">
      <c r="A123" s="1710"/>
      <c r="B123" s="1697"/>
      <c r="C123" s="1310"/>
      <c r="D123" s="1654"/>
      <c r="E123" s="1687">
        <f>BS!E63</f>
        <v>0</v>
      </c>
      <c r="F123" s="1687"/>
      <c r="G123" s="1688"/>
      <c r="H123" s="1298"/>
      <c r="I123" s="1306"/>
      <c r="J123" s="1688">
        <f>BS!G63</f>
        <v>1395498</v>
      </c>
      <c r="K123" s="1689"/>
      <c r="L123" s="1691"/>
    </row>
    <row r="124" spans="1:12" ht="28" customHeight="1">
      <c r="A124" s="1698" t="s">
        <v>2265</v>
      </c>
      <c r="B124" s="1711" t="s">
        <v>2446</v>
      </c>
      <c r="C124" s="1245"/>
      <c r="D124" s="1685" t="s">
        <v>651</v>
      </c>
      <c r="E124" s="1687">
        <f>BS!D64</f>
        <v>0</v>
      </c>
      <c r="F124" s="1687"/>
      <c r="G124" s="1688"/>
      <c r="H124" s="1307"/>
      <c r="I124" s="1688">
        <f>BS!F64</f>
        <v>0</v>
      </c>
      <c r="J124" s="1689"/>
      <c r="K124" s="1690"/>
      <c r="L124" s="1185"/>
    </row>
    <row r="125" spans="1:12" ht="28" customHeight="1">
      <c r="A125" s="1698"/>
      <c r="B125" s="1712"/>
      <c r="C125" s="1246"/>
      <c r="D125" s="1686"/>
      <c r="E125" s="1687">
        <f>BS!E64</f>
        <v>0</v>
      </c>
      <c r="F125" s="1687"/>
      <c r="G125" s="1688"/>
      <c r="H125" s="1298"/>
      <c r="I125" s="1306"/>
      <c r="J125" s="1688">
        <f>BS!G64</f>
        <v>134342</v>
      </c>
      <c r="K125" s="1689"/>
      <c r="L125" s="1691"/>
    </row>
    <row r="126" spans="1:12" s="1187" customFormat="1" ht="28" customHeight="1">
      <c r="A126" s="1698" t="s">
        <v>2266</v>
      </c>
      <c r="B126" s="1713" t="s">
        <v>2447</v>
      </c>
      <c r="C126" s="1303"/>
      <c r="D126" s="1685" t="s">
        <v>654</v>
      </c>
      <c r="E126" s="1687">
        <f>BS!D65</f>
        <v>0</v>
      </c>
      <c r="F126" s="1687"/>
      <c r="G126" s="1688"/>
      <c r="H126" s="1307"/>
      <c r="I126" s="1688">
        <f>E126-E127</f>
        <v>0</v>
      </c>
      <c r="J126" s="1689"/>
      <c r="K126" s="1690"/>
      <c r="L126" s="1185"/>
    </row>
    <row r="127" spans="1:12" s="1187" customFormat="1" ht="41.25" customHeight="1" thickBot="1">
      <c r="A127" s="1699"/>
      <c r="B127" s="1715"/>
      <c r="C127" s="1351"/>
      <c r="D127" s="1701"/>
      <c r="E127" s="1702">
        <f>BS!E65</f>
        <v>0</v>
      </c>
      <c r="F127" s="1702"/>
      <c r="G127" s="1703"/>
      <c r="H127" s="1352"/>
      <c r="I127" s="1354"/>
      <c r="J127" s="1703">
        <f>BS!G65</f>
        <v>0</v>
      </c>
      <c r="K127" s="1704"/>
      <c r="L127" s="1705"/>
    </row>
    <row r="128" spans="1:12" ht="11.25" customHeight="1">
      <c r="A128" s="1660" t="s">
        <v>1137</v>
      </c>
      <c r="B128" s="1667" t="s">
        <v>1181</v>
      </c>
      <c r="C128" s="1358"/>
      <c r="D128" s="1718" t="s">
        <v>1135</v>
      </c>
      <c r="E128" s="1667" t="s">
        <v>2</v>
      </c>
      <c r="F128" s="1668"/>
      <c r="G128" s="1668"/>
      <c r="H128" s="1668"/>
      <c r="I128" s="1668"/>
      <c r="J128" s="1669"/>
      <c r="K128" s="1670" t="s">
        <v>1180</v>
      </c>
      <c r="L128" s="1671"/>
    </row>
    <row r="129" spans="1:12" ht="11.25" customHeight="1">
      <c r="A129" s="1661"/>
      <c r="B129" s="1649"/>
      <c r="C129" s="1254"/>
      <c r="D129" s="1719"/>
      <c r="E129" s="1674">
        <v>1</v>
      </c>
      <c r="F129" s="1663" t="s">
        <v>1179</v>
      </c>
      <c r="G129" s="1649"/>
      <c r="H129" s="1296"/>
      <c r="I129" s="1720" t="s">
        <v>1178</v>
      </c>
      <c r="J129" s="1676"/>
      <c r="K129" s="1672"/>
      <c r="L129" s="1673"/>
    </row>
    <row r="130" spans="1:12" ht="11.25" customHeight="1">
      <c r="A130" s="1661"/>
      <c r="B130" s="1649"/>
      <c r="C130" s="1297"/>
      <c r="D130" s="1719"/>
      <c r="E130" s="1674"/>
      <c r="F130" s="1663" t="s">
        <v>1177</v>
      </c>
      <c r="G130" s="1649"/>
      <c r="H130" s="1296"/>
      <c r="I130" s="1720"/>
      <c r="J130" s="1676"/>
      <c r="K130" s="1649" t="s">
        <v>1176</v>
      </c>
      <c r="L130" s="1650"/>
    </row>
    <row r="131" spans="1:12" s="1181" customFormat="1" ht="28" customHeight="1">
      <c r="A131" s="1698" t="s">
        <v>2267</v>
      </c>
      <c r="B131" s="1707" t="s">
        <v>2437</v>
      </c>
      <c r="C131" s="1248"/>
      <c r="D131" s="1716" t="s">
        <v>656</v>
      </c>
      <c r="E131" s="1687">
        <f>BS!D66</f>
        <v>625303</v>
      </c>
      <c r="F131" s="1687"/>
      <c r="G131" s="1688"/>
      <c r="H131" s="1307"/>
      <c r="I131" s="1688">
        <f>E131-E132</f>
        <v>625303</v>
      </c>
      <c r="J131" s="1689"/>
      <c r="K131" s="1690"/>
      <c r="L131" s="1185"/>
    </row>
    <row r="132" spans="1:12" s="1181" customFormat="1" ht="28" customHeight="1">
      <c r="A132" s="1698"/>
      <c r="B132" s="1708"/>
      <c r="C132" s="1244"/>
      <c r="D132" s="1717"/>
      <c r="E132" s="1687">
        <f>BS!E66</f>
        <v>0</v>
      </c>
      <c r="F132" s="1687"/>
      <c r="G132" s="1688"/>
      <c r="H132" s="1298"/>
      <c r="I132" s="1306"/>
      <c r="J132" s="1688">
        <f>BS!G66</f>
        <v>1261156</v>
      </c>
      <c r="K132" s="1689"/>
      <c r="L132" s="1691"/>
    </row>
    <row r="133" spans="1:12" s="1181" customFormat="1" ht="28" customHeight="1">
      <c r="A133" s="1698" t="s">
        <v>532</v>
      </c>
      <c r="B133" s="1707" t="s">
        <v>2448</v>
      </c>
      <c r="C133" s="1248"/>
      <c r="D133" s="1716" t="s">
        <v>658</v>
      </c>
      <c r="E133" s="1687">
        <f>BS!D67</f>
        <v>0</v>
      </c>
      <c r="F133" s="1687"/>
      <c r="G133" s="1688"/>
      <c r="H133" s="1307"/>
      <c r="I133" s="1688">
        <f>E133-E134</f>
        <v>0</v>
      </c>
      <c r="J133" s="1689"/>
      <c r="K133" s="1690"/>
      <c r="L133" s="1185"/>
    </row>
    <row r="134" spans="1:12" ht="28" customHeight="1">
      <c r="A134" s="1698"/>
      <c r="B134" s="1708"/>
      <c r="C134" s="1244"/>
      <c r="D134" s="1717"/>
      <c r="E134" s="1687">
        <f>BS!E67</f>
        <v>0</v>
      </c>
      <c r="F134" s="1687"/>
      <c r="G134" s="1688"/>
      <c r="H134" s="1298"/>
      <c r="I134" s="1306"/>
      <c r="J134" s="1688">
        <f>BS!G67</f>
        <v>0</v>
      </c>
      <c r="K134" s="1689"/>
      <c r="L134" s="1691"/>
    </row>
    <row r="135" spans="1:12" ht="28" customHeight="1">
      <c r="A135" s="1698" t="s">
        <v>535</v>
      </c>
      <c r="B135" s="1707" t="s">
        <v>2438</v>
      </c>
      <c r="C135" s="1248"/>
      <c r="D135" s="1716" t="s">
        <v>660</v>
      </c>
      <c r="E135" s="1687">
        <f>BS!D68</f>
        <v>0</v>
      </c>
      <c r="F135" s="1687"/>
      <c r="G135" s="1688"/>
      <c r="H135" s="1307"/>
      <c r="I135" s="1688">
        <f>E135-E136</f>
        <v>0</v>
      </c>
      <c r="J135" s="1689"/>
      <c r="K135" s="1690"/>
      <c r="L135" s="1185"/>
    </row>
    <row r="136" spans="1:12" ht="28" customHeight="1">
      <c r="A136" s="1698"/>
      <c r="B136" s="1708"/>
      <c r="C136" s="1244"/>
      <c r="D136" s="1717"/>
      <c r="E136" s="1687">
        <f>BS!E68</f>
        <v>0</v>
      </c>
      <c r="F136" s="1687"/>
      <c r="G136" s="1688"/>
      <c r="H136" s="1298"/>
      <c r="I136" s="1306"/>
      <c r="J136" s="1688">
        <f>BS!G68</f>
        <v>0</v>
      </c>
      <c r="K136" s="1689"/>
      <c r="L136" s="1691"/>
    </row>
    <row r="137" spans="1:12" ht="28" customHeight="1">
      <c r="A137" s="1698" t="s">
        <v>538</v>
      </c>
      <c r="B137" s="1721" t="s">
        <v>2449</v>
      </c>
      <c r="C137" s="1248"/>
      <c r="D137" s="1716" t="s">
        <v>662</v>
      </c>
      <c r="E137" s="1687">
        <f>BS!D69</f>
        <v>0</v>
      </c>
      <c r="F137" s="1687"/>
      <c r="G137" s="1688"/>
      <c r="H137" s="1307"/>
      <c r="I137" s="1688">
        <f>E137-E138</f>
        <v>0</v>
      </c>
      <c r="J137" s="1689"/>
      <c r="K137" s="1690"/>
      <c r="L137" s="1185"/>
    </row>
    <row r="138" spans="1:12" ht="31" customHeight="1">
      <c r="A138" s="1698"/>
      <c r="B138" s="1722"/>
      <c r="C138" s="1244"/>
      <c r="D138" s="1717"/>
      <c r="E138" s="1687">
        <f>BS!E69</f>
        <v>0</v>
      </c>
      <c r="F138" s="1687"/>
      <c r="G138" s="1688"/>
      <c r="H138" s="1298"/>
      <c r="I138" s="1306"/>
      <c r="J138" s="1688">
        <f>BS!G69</f>
        <v>0</v>
      </c>
      <c r="K138" s="1689"/>
      <c r="L138" s="1691"/>
    </row>
    <row r="139" spans="1:12" ht="28" customHeight="1">
      <c r="A139" s="1698" t="s">
        <v>541</v>
      </c>
      <c r="B139" s="1707" t="s">
        <v>2450</v>
      </c>
      <c r="C139" s="1248"/>
      <c r="D139" s="1716" t="s">
        <v>665</v>
      </c>
      <c r="E139" s="1687">
        <f>BS!D70</f>
        <v>0</v>
      </c>
      <c r="F139" s="1687"/>
      <c r="G139" s="1688"/>
      <c r="H139" s="1307"/>
      <c r="I139" s="1688">
        <f>E139-E140</f>
        <v>0</v>
      </c>
      <c r="J139" s="1689"/>
      <c r="K139" s="1690"/>
      <c r="L139" s="1185"/>
    </row>
    <row r="140" spans="1:12" ht="28" customHeight="1">
      <c r="A140" s="1698"/>
      <c r="B140" s="1708"/>
      <c r="C140" s="1244"/>
      <c r="D140" s="1717"/>
      <c r="E140" s="1687">
        <f>BS!E70</f>
        <v>0</v>
      </c>
      <c r="F140" s="1687"/>
      <c r="G140" s="1688"/>
      <c r="H140" s="1298"/>
      <c r="I140" s="1306"/>
      <c r="J140" s="1688">
        <f>BS!G70</f>
        <v>0</v>
      </c>
      <c r="K140" s="1689"/>
      <c r="L140" s="1691"/>
    </row>
    <row r="141" spans="1:12" ht="28" customHeight="1">
      <c r="A141" s="1698" t="s">
        <v>544</v>
      </c>
      <c r="B141" s="1707" t="s">
        <v>2451</v>
      </c>
      <c r="C141" s="1248"/>
      <c r="D141" s="1716" t="s">
        <v>668</v>
      </c>
      <c r="E141" s="1687">
        <f>BS!D71</f>
        <v>0</v>
      </c>
      <c r="F141" s="1687"/>
      <c r="G141" s="1688"/>
      <c r="H141" s="1307"/>
      <c r="I141" s="1688">
        <f>E141-E142</f>
        <v>0</v>
      </c>
      <c r="J141" s="1689"/>
      <c r="K141" s="1690"/>
      <c r="L141" s="1185"/>
    </row>
    <row r="142" spans="1:12" ht="28" customHeight="1">
      <c r="A142" s="1698"/>
      <c r="B142" s="1708"/>
      <c r="C142" s="1244"/>
      <c r="D142" s="1717"/>
      <c r="E142" s="1687">
        <f>BS!E71</f>
        <v>0</v>
      </c>
      <c r="F142" s="1687"/>
      <c r="G142" s="1688"/>
      <c r="H142" s="1298"/>
      <c r="I142" s="1306"/>
      <c r="J142" s="1688">
        <f>BS!G71</f>
        <v>0</v>
      </c>
      <c r="K142" s="1689"/>
      <c r="L142" s="1691"/>
    </row>
    <row r="143" spans="1:12" ht="28" customHeight="1">
      <c r="A143" s="1698" t="s">
        <v>547</v>
      </c>
      <c r="B143" s="1707" t="s">
        <v>2452</v>
      </c>
      <c r="C143" s="1248"/>
      <c r="D143" s="1716" t="s">
        <v>670</v>
      </c>
      <c r="E143" s="1687">
        <f>BS!D72</f>
        <v>0</v>
      </c>
      <c r="F143" s="1687"/>
      <c r="G143" s="1688"/>
      <c r="H143" s="1307"/>
      <c r="I143" s="1688">
        <f>E143-E144</f>
        <v>0</v>
      </c>
      <c r="J143" s="1689"/>
      <c r="K143" s="1690"/>
      <c r="L143" s="1185"/>
    </row>
    <row r="144" spans="1:12" s="1187" customFormat="1" ht="28" customHeight="1">
      <c r="A144" s="1698"/>
      <c r="B144" s="1708"/>
      <c r="C144" s="1244"/>
      <c r="D144" s="1717"/>
      <c r="E144" s="1687">
        <f>BS!E72</f>
        <v>0</v>
      </c>
      <c r="F144" s="1687"/>
      <c r="G144" s="1688"/>
      <c r="H144" s="1298"/>
      <c r="I144" s="1306"/>
      <c r="J144" s="1688">
        <f>BS!G72</f>
        <v>41600</v>
      </c>
      <c r="K144" s="1689"/>
      <c r="L144" s="1691"/>
    </row>
    <row r="145" spans="1:12" s="1187" customFormat="1" ht="28" customHeight="1">
      <c r="A145" s="1698" t="s">
        <v>568</v>
      </c>
      <c r="B145" s="1707" t="s">
        <v>2441</v>
      </c>
      <c r="C145" s="1248"/>
      <c r="D145" s="1716" t="s">
        <v>672</v>
      </c>
      <c r="E145" s="1687">
        <f>BS!D73</f>
        <v>0</v>
      </c>
      <c r="F145" s="1687"/>
      <c r="G145" s="1688"/>
      <c r="H145" s="1307"/>
      <c r="I145" s="1688">
        <f>E145-E146</f>
        <v>0</v>
      </c>
      <c r="J145" s="1689"/>
      <c r="K145" s="1690"/>
      <c r="L145" s="1185"/>
    </row>
    <row r="146" spans="1:12" ht="28" customHeight="1">
      <c r="A146" s="1698"/>
      <c r="B146" s="1708"/>
      <c r="C146" s="1244"/>
      <c r="D146" s="1717"/>
      <c r="E146" s="1687">
        <f>BS!E73</f>
        <v>0</v>
      </c>
      <c r="F146" s="1687"/>
      <c r="G146" s="1688"/>
      <c r="H146" s="1298"/>
      <c r="I146" s="1306"/>
      <c r="J146" s="1688">
        <f>BS!G73</f>
        <v>0</v>
      </c>
      <c r="K146" s="1689"/>
      <c r="L146" s="1691"/>
    </row>
    <row r="147" spans="1:12" ht="28" customHeight="1">
      <c r="A147" s="1698" t="s">
        <v>571</v>
      </c>
      <c r="B147" s="1723" t="s">
        <v>2453</v>
      </c>
      <c r="C147" s="1256"/>
      <c r="D147" s="1716" t="s">
        <v>674</v>
      </c>
      <c r="E147" s="1687">
        <f>BS!D74</f>
        <v>19446</v>
      </c>
      <c r="F147" s="1687"/>
      <c r="G147" s="1688"/>
      <c r="H147" s="1307"/>
      <c r="I147" s="1688">
        <f>E147-E148</f>
        <v>10251</v>
      </c>
      <c r="J147" s="1689"/>
      <c r="K147" s="1690"/>
      <c r="L147" s="1185"/>
    </row>
    <row r="148" spans="1:12" s="1188" customFormat="1" ht="28" customHeight="1">
      <c r="A148" s="1698"/>
      <c r="B148" s="1724"/>
      <c r="C148" s="1257"/>
      <c r="D148" s="1717"/>
      <c r="E148" s="1687">
        <f>BS!E74</f>
        <v>9195</v>
      </c>
      <c r="F148" s="1687"/>
      <c r="G148" s="1688"/>
      <c r="H148" s="1298"/>
      <c r="I148" s="1306"/>
      <c r="J148" s="1688">
        <f>BS!G74</f>
        <v>3625</v>
      </c>
      <c r="K148" s="1689"/>
      <c r="L148" s="1691"/>
    </row>
    <row r="149" spans="1:12" s="1181" customFormat="1" ht="28" customHeight="1">
      <c r="A149" s="1710" t="s">
        <v>649</v>
      </c>
      <c r="B149" s="1725" t="s">
        <v>2454</v>
      </c>
      <c r="C149" s="1255"/>
      <c r="D149" s="1727" t="s">
        <v>681</v>
      </c>
      <c r="E149" s="1655">
        <f>BS!D75</f>
        <v>0</v>
      </c>
      <c r="F149" s="1655"/>
      <c r="G149" s="1656"/>
      <c r="H149" s="1313"/>
      <c r="I149" s="1656">
        <f>E149-E150</f>
        <v>0</v>
      </c>
      <c r="J149" s="1657"/>
      <c r="K149" s="1658"/>
      <c r="L149" s="1182"/>
    </row>
    <row r="150" spans="1:12" s="1181" customFormat="1" ht="28" customHeight="1">
      <c r="A150" s="1710"/>
      <c r="B150" s="1726"/>
      <c r="C150" s="1319"/>
      <c r="D150" s="1728"/>
      <c r="E150" s="1655">
        <f>BS!E75</f>
        <v>0</v>
      </c>
      <c r="F150" s="1655"/>
      <c r="G150" s="1656"/>
      <c r="H150" s="1300"/>
      <c r="I150" s="1312"/>
      <c r="J150" s="1656">
        <f>BS!G75</f>
        <v>0</v>
      </c>
      <c r="K150" s="1657"/>
      <c r="L150" s="1659"/>
    </row>
    <row r="151" spans="1:12" s="1181" customFormat="1" ht="28" customHeight="1">
      <c r="A151" s="1698" t="s">
        <v>652</v>
      </c>
      <c r="B151" s="1707" t="s">
        <v>2455</v>
      </c>
      <c r="C151" s="1248"/>
      <c r="D151" s="1716" t="s">
        <v>683</v>
      </c>
      <c r="E151" s="1687">
        <f>BS!D76</f>
        <v>0</v>
      </c>
      <c r="F151" s="1687"/>
      <c r="G151" s="1688"/>
      <c r="H151" s="1307"/>
      <c r="I151" s="1688">
        <f>E151-E152</f>
        <v>0</v>
      </c>
      <c r="J151" s="1689"/>
      <c r="K151" s="1690"/>
      <c r="L151" s="1185"/>
    </row>
    <row r="152" spans="1:12" ht="28" customHeight="1">
      <c r="A152" s="1698"/>
      <c r="B152" s="1708"/>
      <c r="C152" s="1244"/>
      <c r="D152" s="1717"/>
      <c r="E152" s="1687">
        <f>BS!E76</f>
        <v>0</v>
      </c>
      <c r="F152" s="1687"/>
      <c r="G152" s="1688"/>
      <c r="H152" s="1298"/>
      <c r="I152" s="1306"/>
      <c r="J152" s="1688">
        <f>BS!G76</f>
        <v>0</v>
      </c>
      <c r="K152" s="1689"/>
      <c r="L152" s="1691"/>
    </row>
    <row r="153" spans="1:12" ht="28" customHeight="1">
      <c r="A153" s="1698" t="s">
        <v>532</v>
      </c>
      <c r="B153" s="1721" t="s">
        <v>2456</v>
      </c>
      <c r="C153" s="1248"/>
      <c r="D153" s="1716" t="s">
        <v>685</v>
      </c>
      <c r="E153" s="1687">
        <f>BS!D77</f>
        <v>0</v>
      </c>
      <c r="F153" s="1687"/>
      <c r="G153" s="1688"/>
      <c r="H153" s="1307"/>
      <c r="I153" s="1688">
        <f>E153-E154</f>
        <v>0</v>
      </c>
      <c r="J153" s="1689"/>
      <c r="K153" s="1690"/>
      <c r="L153" s="1185"/>
    </row>
    <row r="154" spans="1:12" ht="39.75" customHeight="1">
      <c r="A154" s="1698"/>
      <c r="B154" s="1722"/>
      <c r="C154" s="1244"/>
      <c r="D154" s="1717"/>
      <c r="E154" s="1687">
        <f>BS!E78</f>
        <v>0</v>
      </c>
      <c r="F154" s="1687"/>
      <c r="G154" s="1688"/>
      <c r="H154" s="1298"/>
      <c r="I154" s="1306"/>
      <c r="J154" s="1688">
        <f>BS!G77</f>
        <v>0</v>
      </c>
      <c r="K154" s="1689"/>
      <c r="L154" s="1691"/>
    </row>
    <row r="155" spans="1:12" ht="28" customHeight="1">
      <c r="A155" s="1698" t="s">
        <v>535</v>
      </c>
      <c r="B155" s="1707" t="s">
        <v>2457</v>
      </c>
      <c r="C155" s="1248"/>
      <c r="D155" s="1716" t="s">
        <v>687</v>
      </c>
      <c r="E155" s="1687">
        <f>BS!D78</f>
        <v>0</v>
      </c>
      <c r="F155" s="1687"/>
      <c r="G155" s="1688"/>
      <c r="H155" s="1307"/>
      <c r="I155" s="1688">
        <f>E155-E156</f>
        <v>0</v>
      </c>
      <c r="J155" s="1689"/>
      <c r="K155" s="1690"/>
      <c r="L155" s="1185"/>
    </row>
    <row r="156" spans="1:12" ht="28" customHeight="1">
      <c r="A156" s="1698"/>
      <c r="B156" s="1708"/>
      <c r="C156" s="1244"/>
      <c r="D156" s="1717"/>
      <c r="E156" s="1687">
        <f>BS!E78</f>
        <v>0</v>
      </c>
      <c r="F156" s="1687"/>
      <c r="G156" s="1688"/>
      <c r="H156" s="1298"/>
      <c r="I156" s="1306"/>
      <c r="J156" s="1688">
        <f>BS!G78</f>
        <v>0</v>
      </c>
      <c r="K156" s="1689"/>
      <c r="L156" s="1691"/>
    </row>
    <row r="157" spans="1:12" ht="28" customHeight="1">
      <c r="A157" s="1698" t="s">
        <v>538</v>
      </c>
      <c r="B157" s="1707" t="s">
        <v>2458</v>
      </c>
      <c r="C157" s="1248"/>
      <c r="D157" s="1716" t="s">
        <v>689</v>
      </c>
      <c r="E157" s="1687">
        <f>BS!D79</f>
        <v>0</v>
      </c>
      <c r="F157" s="1687"/>
      <c r="G157" s="1688"/>
      <c r="H157" s="1307"/>
      <c r="I157" s="1688">
        <f>E157-E158</f>
        <v>0</v>
      </c>
      <c r="J157" s="1689"/>
      <c r="K157" s="1690"/>
      <c r="L157" s="1185"/>
    </row>
    <row r="158" spans="1:12" ht="28" customHeight="1" thickBot="1">
      <c r="A158" s="1699"/>
      <c r="B158" s="1729"/>
      <c r="C158" s="1359"/>
      <c r="D158" s="1730"/>
      <c r="E158" s="1702">
        <f>BS!E79</f>
        <v>0</v>
      </c>
      <c r="F158" s="1702"/>
      <c r="G158" s="1703"/>
      <c r="H158" s="1352"/>
      <c r="I158" s="1354"/>
      <c r="J158" s="1703">
        <f>BS!G79</f>
        <v>0</v>
      </c>
      <c r="K158" s="1704"/>
      <c r="L158" s="1705"/>
    </row>
    <row r="159" spans="1:12" ht="11.25" customHeight="1">
      <c r="A159" s="1731" t="s">
        <v>1137</v>
      </c>
      <c r="B159" s="1672" t="s">
        <v>1181</v>
      </c>
      <c r="C159" s="1253"/>
      <c r="D159" s="1732" t="s">
        <v>1135</v>
      </c>
      <c r="E159" s="1672" t="s">
        <v>2</v>
      </c>
      <c r="F159" s="1733"/>
      <c r="G159" s="1733"/>
      <c r="H159" s="1733"/>
      <c r="I159" s="1733"/>
      <c r="J159" s="1734"/>
      <c r="K159" s="1735" t="s">
        <v>1180</v>
      </c>
      <c r="L159" s="1736"/>
    </row>
    <row r="160" spans="1:12" ht="11.25" customHeight="1">
      <c r="A160" s="1661"/>
      <c r="B160" s="1649"/>
      <c r="C160" s="1254"/>
      <c r="D160" s="1719"/>
      <c r="E160" s="1674">
        <v>1</v>
      </c>
      <c r="F160" s="1663" t="s">
        <v>1179</v>
      </c>
      <c r="G160" s="1649"/>
      <c r="H160" s="1203"/>
      <c r="I160" s="1720" t="s">
        <v>1178</v>
      </c>
      <c r="J160" s="1676"/>
      <c r="K160" s="1672"/>
      <c r="L160" s="1673"/>
    </row>
    <row r="161" spans="1:12" ht="12" customHeight="1">
      <c r="A161" s="1661"/>
      <c r="B161" s="1649"/>
      <c r="C161" s="1204"/>
      <c r="D161" s="1719"/>
      <c r="E161" s="1674"/>
      <c r="F161" s="1663" t="s">
        <v>1177</v>
      </c>
      <c r="G161" s="1649"/>
      <c r="H161" s="1203"/>
      <c r="I161" s="1720"/>
      <c r="J161" s="1676"/>
      <c r="K161" s="1649" t="s">
        <v>1176</v>
      </c>
      <c r="L161" s="1650"/>
    </row>
    <row r="162" spans="1:12" ht="28" customHeight="1">
      <c r="A162" s="1710" t="s">
        <v>787</v>
      </c>
      <c r="B162" s="1725" t="s">
        <v>2459</v>
      </c>
      <c r="C162" s="1255"/>
      <c r="D162" s="1727" t="s">
        <v>691</v>
      </c>
      <c r="E162" s="1655">
        <f>BS!D80</f>
        <v>1097984</v>
      </c>
      <c r="F162" s="1655"/>
      <c r="G162" s="1656"/>
      <c r="H162" s="1220"/>
      <c r="I162" s="1656">
        <f>E162-E163</f>
        <v>1097984</v>
      </c>
      <c r="J162" s="1657"/>
      <c r="K162" s="1658"/>
      <c r="L162" s="1415"/>
    </row>
    <row r="163" spans="1:12" ht="28" customHeight="1">
      <c r="A163" s="1710"/>
      <c r="B163" s="1726"/>
      <c r="C163" s="1237"/>
      <c r="D163" s="1728"/>
      <c r="E163" s="1739">
        <f>BS!E80</f>
        <v>0</v>
      </c>
      <c r="F163" s="1739"/>
      <c r="G163" s="1740"/>
      <c r="H163" s="1258"/>
      <c r="I163" s="1189"/>
      <c r="J163" s="1656">
        <f>BS!G80</f>
        <v>299913</v>
      </c>
      <c r="K163" s="1657"/>
      <c r="L163" s="1659"/>
    </row>
    <row r="164" spans="1:12" ht="28" customHeight="1">
      <c r="A164" s="1698" t="s">
        <v>790</v>
      </c>
      <c r="B164" s="1707" t="s">
        <v>2460</v>
      </c>
      <c r="C164" s="1248"/>
      <c r="D164" s="1716" t="s">
        <v>693</v>
      </c>
      <c r="E164" s="1687">
        <f>BS!D81</f>
        <v>354</v>
      </c>
      <c r="F164" s="1687"/>
      <c r="G164" s="1688"/>
      <c r="H164" s="1202"/>
      <c r="I164" s="1688">
        <f>E164-E165</f>
        <v>354</v>
      </c>
      <c r="J164" s="1737"/>
      <c r="K164" s="1738"/>
      <c r="L164" s="1416"/>
    </row>
    <row r="165" spans="1:12" s="1187" customFormat="1" ht="28" customHeight="1">
      <c r="A165" s="1698"/>
      <c r="B165" s="1708"/>
      <c r="C165" s="1244"/>
      <c r="D165" s="1717"/>
      <c r="E165" s="1687">
        <f>BS!E81</f>
        <v>0</v>
      </c>
      <c r="F165" s="1687"/>
      <c r="G165" s="1688"/>
      <c r="H165" s="1217"/>
      <c r="I165" s="1186"/>
      <c r="J165" s="1688">
        <f>BS!G81</f>
        <v>1088</v>
      </c>
      <c r="K165" s="1689"/>
      <c r="L165" s="1691"/>
    </row>
    <row r="166" spans="1:12" s="1187" customFormat="1" ht="28" customHeight="1">
      <c r="A166" s="1698" t="s">
        <v>532</v>
      </c>
      <c r="B166" s="1707" t="s">
        <v>2461</v>
      </c>
      <c r="C166" s="1248"/>
      <c r="D166" s="1716" t="s">
        <v>695</v>
      </c>
      <c r="E166" s="1687">
        <f>BS!D82</f>
        <v>1097630</v>
      </c>
      <c r="F166" s="1687"/>
      <c r="G166" s="1688"/>
      <c r="H166" s="1202"/>
      <c r="I166" s="1688">
        <f>E166-E167</f>
        <v>1097630</v>
      </c>
      <c r="J166" s="1689"/>
      <c r="K166" s="1690"/>
      <c r="L166" s="1416"/>
    </row>
    <row r="167" spans="1:12" ht="28" customHeight="1">
      <c r="A167" s="1698"/>
      <c r="B167" s="1708"/>
      <c r="C167" s="1244"/>
      <c r="D167" s="1717"/>
      <c r="E167" s="1687">
        <f>BS!E82</f>
        <v>0</v>
      </c>
      <c r="F167" s="1687"/>
      <c r="G167" s="1688"/>
      <c r="H167" s="1217"/>
      <c r="I167" s="1186"/>
      <c r="J167" s="1688">
        <f>BS!G82</f>
        <v>298825</v>
      </c>
      <c r="K167" s="1689"/>
      <c r="L167" s="1691"/>
    </row>
    <row r="168" spans="1:12" ht="28" customHeight="1">
      <c r="A168" s="1710" t="s">
        <v>663</v>
      </c>
      <c r="B168" s="1725" t="s">
        <v>2462</v>
      </c>
      <c r="C168" s="1255"/>
      <c r="D168" s="1727" t="s">
        <v>697</v>
      </c>
      <c r="E168" s="1655">
        <f>BS!D83</f>
        <v>8178</v>
      </c>
      <c r="F168" s="1655"/>
      <c r="G168" s="1656"/>
      <c r="H168" s="1220"/>
      <c r="I168" s="1656">
        <f>E168-E169</f>
        <v>8178</v>
      </c>
      <c r="J168" s="1657"/>
      <c r="K168" s="1658"/>
      <c r="L168" s="1415"/>
    </row>
    <row r="169" spans="1:12" s="1188" customFormat="1" ht="28" customHeight="1">
      <c r="A169" s="1710"/>
      <c r="B169" s="1726"/>
      <c r="C169" s="1237"/>
      <c r="D169" s="1728"/>
      <c r="E169" s="1655">
        <f>BS!E83</f>
        <v>0</v>
      </c>
      <c r="F169" s="1655"/>
      <c r="G169" s="1656"/>
      <c r="H169" s="1216"/>
      <c r="I169" s="1184"/>
      <c r="J169" s="1656">
        <f>BS!G83</f>
        <v>6058</v>
      </c>
      <c r="K169" s="1657"/>
      <c r="L169" s="1659"/>
    </row>
    <row r="170" spans="1:12" ht="28" customHeight="1">
      <c r="A170" s="1698" t="s">
        <v>666</v>
      </c>
      <c r="B170" s="1707" t="s">
        <v>2463</v>
      </c>
      <c r="C170" s="1248"/>
      <c r="D170" s="1716" t="s">
        <v>699</v>
      </c>
      <c r="E170" s="1687">
        <f>BS!D84</f>
        <v>0</v>
      </c>
      <c r="F170" s="1687"/>
      <c r="G170" s="1688"/>
      <c r="H170" s="1202"/>
      <c r="I170" s="1688">
        <f>E170-E171</f>
        <v>0</v>
      </c>
      <c r="J170" s="1689"/>
      <c r="K170" s="1690"/>
      <c r="L170" s="1185"/>
    </row>
    <row r="171" spans="1:12" s="1187" customFormat="1" ht="28" customHeight="1">
      <c r="A171" s="1698"/>
      <c r="B171" s="1708"/>
      <c r="C171" s="1244"/>
      <c r="D171" s="1717"/>
      <c r="E171" s="1687">
        <f>BS!E84</f>
        <v>0</v>
      </c>
      <c r="F171" s="1687"/>
      <c r="G171" s="1688"/>
      <c r="H171" s="1217"/>
      <c r="I171" s="1186"/>
      <c r="J171" s="1688">
        <f>BS!G84</f>
        <v>0</v>
      </c>
      <c r="K171" s="1689"/>
      <c r="L171" s="1691"/>
    </row>
    <row r="172" spans="1:12" s="1187" customFormat="1" ht="28" customHeight="1">
      <c r="A172" s="1698" t="s">
        <v>532</v>
      </c>
      <c r="B172" s="1707" t="s">
        <v>2464</v>
      </c>
      <c r="C172" s="1248"/>
      <c r="D172" s="1716" t="s">
        <v>701</v>
      </c>
      <c r="E172" s="1687">
        <f>BS!D85</f>
        <v>8178</v>
      </c>
      <c r="F172" s="1687"/>
      <c r="G172" s="1688"/>
      <c r="H172" s="1202"/>
      <c r="I172" s="1688">
        <f>E172-E173</f>
        <v>8178</v>
      </c>
      <c r="J172" s="1689"/>
      <c r="K172" s="1690"/>
      <c r="L172" s="1185"/>
    </row>
    <row r="173" spans="1:12" ht="28" customHeight="1">
      <c r="A173" s="1698"/>
      <c r="B173" s="1708"/>
      <c r="C173" s="1244"/>
      <c r="D173" s="1717"/>
      <c r="E173" s="1687">
        <f>BS!E85</f>
        <v>0</v>
      </c>
      <c r="F173" s="1687"/>
      <c r="G173" s="1688"/>
      <c r="H173" s="1217"/>
      <c r="I173" s="1186"/>
      <c r="J173" s="1688">
        <f>BS!G85</f>
        <v>6058</v>
      </c>
      <c r="K173" s="1689"/>
      <c r="L173" s="1691"/>
    </row>
    <row r="174" spans="1:12" ht="28" customHeight="1">
      <c r="A174" s="1698" t="s">
        <v>535</v>
      </c>
      <c r="B174" s="1707" t="s">
        <v>2465</v>
      </c>
      <c r="C174" s="1248"/>
      <c r="D174" s="1716" t="s">
        <v>703</v>
      </c>
      <c r="E174" s="1687">
        <f>BS!D86</f>
        <v>0</v>
      </c>
      <c r="F174" s="1687"/>
      <c r="G174" s="1688"/>
      <c r="H174" s="1202"/>
      <c r="I174" s="1688">
        <f>E174-E175</f>
        <v>0</v>
      </c>
      <c r="J174" s="1689"/>
      <c r="K174" s="1690"/>
      <c r="L174" s="1185"/>
    </row>
    <row r="175" spans="1:12" s="1188" customFormat="1" ht="28" customHeight="1">
      <c r="A175" s="1698"/>
      <c r="B175" s="1708"/>
      <c r="C175" s="1244"/>
      <c r="D175" s="1717"/>
      <c r="E175" s="1687">
        <f>BS!E86</f>
        <v>0</v>
      </c>
      <c r="F175" s="1687"/>
      <c r="G175" s="1688"/>
      <c r="H175" s="1217"/>
      <c r="I175" s="1186"/>
      <c r="J175" s="1688">
        <f>BS!G86</f>
        <v>0</v>
      </c>
      <c r="K175" s="1689"/>
      <c r="L175" s="1691"/>
    </row>
    <row r="176" spans="1:12" ht="28" customHeight="1">
      <c r="A176" s="1698" t="s">
        <v>538</v>
      </c>
      <c r="B176" s="1707" t="s">
        <v>2466</v>
      </c>
      <c r="C176" s="1248"/>
      <c r="D176" s="1716" t="s">
        <v>705</v>
      </c>
      <c r="E176" s="1687">
        <f>BS!D87</f>
        <v>0</v>
      </c>
      <c r="F176" s="1687"/>
      <c r="G176" s="1688"/>
      <c r="H176" s="1202"/>
      <c r="I176" s="1688">
        <f>E176-E177</f>
        <v>0</v>
      </c>
      <c r="J176" s="1689"/>
      <c r="K176" s="1690"/>
      <c r="L176" s="1185"/>
    </row>
    <row r="177" spans="1:12" s="1187" customFormat="1" ht="28" customHeight="1">
      <c r="A177" s="1698"/>
      <c r="B177" s="1708"/>
      <c r="C177" s="1244"/>
      <c r="D177" s="1717"/>
      <c r="E177" s="1687">
        <f>BS!E87</f>
        <v>0</v>
      </c>
      <c r="F177" s="1687"/>
      <c r="G177" s="1688"/>
      <c r="H177" s="1217"/>
      <c r="I177" s="1186"/>
      <c r="J177" s="1688">
        <f>BS!G87</f>
        <v>0</v>
      </c>
      <c r="K177" s="1689"/>
      <c r="L177" s="1691"/>
    </row>
    <row r="178" spans="1:12" s="1187" customFormat="1" ht="2.25" customHeight="1" thickBot="1">
      <c r="A178" s="1360"/>
      <c r="B178" s="1191"/>
      <c r="C178" s="1191"/>
      <c r="D178" s="1192"/>
      <c r="E178" s="1193"/>
      <c r="F178" s="1223"/>
      <c r="G178" s="1193"/>
      <c r="H178" s="1223"/>
      <c r="I178" s="1193"/>
      <c r="J178" s="1193"/>
      <c r="K178" s="1193"/>
      <c r="L178" s="1223"/>
    </row>
    <row r="179" spans="1:12" s="1188" customFormat="1" ht="30" customHeight="1">
      <c r="A179" s="1361" t="s">
        <v>1137</v>
      </c>
      <c r="B179" s="1667" t="s">
        <v>1136</v>
      </c>
      <c r="C179" s="1668"/>
      <c r="D179" s="1668"/>
      <c r="E179" s="1668"/>
      <c r="F179" s="1669"/>
      <c r="G179" s="1362" t="s">
        <v>1135</v>
      </c>
      <c r="H179" s="1363"/>
      <c r="I179" s="1667" t="s">
        <v>1134</v>
      </c>
      <c r="J179" s="1669"/>
      <c r="K179" s="1667" t="s">
        <v>1133</v>
      </c>
      <c r="L179" s="1744"/>
    </row>
    <row r="180" spans="1:12" s="1188" customFormat="1" ht="27.75" customHeight="1">
      <c r="A180" s="1195"/>
      <c r="B180" s="1652" t="s">
        <v>2467</v>
      </c>
      <c r="C180" s="1652"/>
      <c r="D180" s="1745"/>
      <c r="E180" s="1745"/>
      <c r="F180" s="1745"/>
      <c r="G180" s="1207" t="s">
        <v>707</v>
      </c>
      <c r="H180" s="1261"/>
      <c r="I180" s="1656">
        <f>BS!D94</f>
        <v>4356932</v>
      </c>
      <c r="J180" s="1658"/>
      <c r="K180" s="1656">
        <f>BS!E94</f>
        <v>4805868</v>
      </c>
      <c r="L180" s="1659"/>
    </row>
    <row r="181" spans="1:12" s="1188" customFormat="1" ht="27.75" customHeight="1">
      <c r="A181" s="1195" t="s">
        <v>523</v>
      </c>
      <c r="B181" s="1741" t="s">
        <v>2468</v>
      </c>
      <c r="C181" s="1742"/>
      <c r="D181" s="1742"/>
      <c r="E181" s="1742"/>
      <c r="F181" s="1743"/>
      <c r="G181" s="1208" t="s">
        <v>709</v>
      </c>
      <c r="H181" s="1250"/>
      <c r="I181" s="1656">
        <f>BS!D95</f>
        <v>3173413</v>
      </c>
      <c r="J181" s="1658"/>
      <c r="K181" s="1656">
        <f>BS!E95</f>
        <v>3192339</v>
      </c>
      <c r="L181" s="1659"/>
    </row>
    <row r="182" spans="1:12" ht="27.75" customHeight="1">
      <c r="A182" s="1195" t="s">
        <v>526</v>
      </c>
      <c r="B182" s="1741" t="s">
        <v>2469</v>
      </c>
      <c r="C182" s="1742"/>
      <c r="D182" s="1742"/>
      <c r="E182" s="1742"/>
      <c r="F182" s="1743"/>
      <c r="G182" s="1208" t="s">
        <v>711</v>
      </c>
      <c r="H182" s="1250"/>
      <c r="I182" s="1656">
        <f>BS!D96</f>
        <v>2506390</v>
      </c>
      <c r="J182" s="1658"/>
      <c r="K182" s="1656">
        <f>BS!E96</f>
        <v>2506390</v>
      </c>
      <c r="L182" s="1659"/>
    </row>
    <row r="183" spans="1:12" s="1187" customFormat="1" ht="27.75" customHeight="1">
      <c r="A183" s="1197" t="s">
        <v>529</v>
      </c>
      <c r="B183" s="1746" t="s">
        <v>1163</v>
      </c>
      <c r="C183" s="1747"/>
      <c r="D183" s="1747"/>
      <c r="E183" s="1747"/>
      <c r="F183" s="1748"/>
      <c r="G183" s="1209" t="s">
        <v>713</v>
      </c>
      <c r="H183" s="1251"/>
      <c r="I183" s="1688">
        <f>BS!D97</f>
        <v>2506390</v>
      </c>
      <c r="J183" s="1690"/>
      <c r="K183" s="1688">
        <f>BS!E97</f>
        <v>2506390</v>
      </c>
      <c r="L183" s="1691"/>
    </row>
    <row r="184" spans="1:12" s="1187" customFormat="1" ht="27.75" customHeight="1">
      <c r="A184" s="1195" t="s">
        <v>532</v>
      </c>
      <c r="B184" s="1746" t="s">
        <v>1161</v>
      </c>
      <c r="C184" s="1747"/>
      <c r="D184" s="1747"/>
      <c r="E184" s="1747"/>
      <c r="F184" s="1748"/>
      <c r="G184" s="1209" t="s">
        <v>715</v>
      </c>
      <c r="H184" s="1251"/>
      <c r="I184" s="1688">
        <f>BS!D98</f>
        <v>0</v>
      </c>
      <c r="J184" s="1690"/>
      <c r="K184" s="1688">
        <f>BS!E98</f>
        <v>0</v>
      </c>
      <c r="L184" s="1691"/>
    </row>
    <row r="185" spans="1:12" s="1187" customFormat="1" ht="27.75" customHeight="1">
      <c r="A185" s="1195" t="s">
        <v>535</v>
      </c>
      <c r="B185" s="1746" t="s">
        <v>1160</v>
      </c>
      <c r="C185" s="1747"/>
      <c r="D185" s="1747"/>
      <c r="E185" s="1747"/>
      <c r="F185" s="1748"/>
      <c r="G185" s="1209" t="s">
        <v>718</v>
      </c>
      <c r="H185" s="1251"/>
      <c r="I185" s="1688">
        <f>BS!D99</f>
        <v>0</v>
      </c>
      <c r="J185" s="1690"/>
      <c r="K185" s="1688">
        <f>BS!E99</f>
        <v>0</v>
      </c>
      <c r="L185" s="1691"/>
    </row>
    <row r="186" spans="1:12" ht="27.75" customHeight="1">
      <c r="A186" s="1195" t="s">
        <v>550</v>
      </c>
      <c r="B186" s="1741" t="s">
        <v>1158</v>
      </c>
      <c r="C186" s="1742"/>
      <c r="D186" s="1742"/>
      <c r="E186" s="1742"/>
      <c r="F186" s="1743"/>
      <c r="G186" s="1208" t="s">
        <v>721</v>
      </c>
      <c r="H186" s="1250"/>
      <c r="I186" s="1656">
        <f>BS!D100</f>
        <v>0</v>
      </c>
      <c r="J186" s="1658"/>
      <c r="K186" s="1656">
        <f>BS!E100</f>
        <v>0</v>
      </c>
      <c r="L186" s="1659"/>
    </row>
    <row r="187" spans="1:12" ht="27.75" customHeight="1">
      <c r="A187" s="1195" t="s">
        <v>574</v>
      </c>
      <c r="B187" s="1741" t="s">
        <v>1157</v>
      </c>
      <c r="C187" s="1742"/>
      <c r="D187" s="1742"/>
      <c r="E187" s="1742"/>
      <c r="F187" s="1743"/>
      <c r="G187" s="1208" t="s">
        <v>723</v>
      </c>
      <c r="H187" s="1250"/>
      <c r="I187" s="1656">
        <f>BS!D101</f>
        <v>0</v>
      </c>
      <c r="J187" s="1658"/>
      <c r="K187" s="1656">
        <f>BS!E101</f>
        <v>0</v>
      </c>
      <c r="L187" s="1659"/>
    </row>
    <row r="188" spans="1:12" ht="27.75" customHeight="1">
      <c r="A188" s="1195" t="s">
        <v>716</v>
      </c>
      <c r="B188" s="1741" t="s">
        <v>2470</v>
      </c>
      <c r="C188" s="1742"/>
      <c r="D188" s="1742"/>
      <c r="E188" s="1742"/>
      <c r="F188" s="1743"/>
      <c r="G188" s="1208" t="s">
        <v>726</v>
      </c>
      <c r="H188" s="1250"/>
      <c r="I188" s="1656">
        <f>BS!D102</f>
        <v>115550</v>
      </c>
      <c r="J188" s="1658"/>
      <c r="K188" s="1656">
        <f>BS!E102</f>
        <v>107571</v>
      </c>
      <c r="L188" s="1659"/>
    </row>
    <row r="189" spans="1:12" ht="27.75" customHeight="1">
      <c r="A189" s="1197" t="s">
        <v>719</v>
      </c>
      <c r="B189" s="1746" t="s">
        <v>2471</v>
      </c>
      <c r="C189" s="1747"/>
      <c r="D189" s="1747"/>
      <c r="E189" s="1747"/>
      <c r="F189" s="1748"/>
      <c r="G189" s="1209" t="s">
        <v>728</v>
      </c>
      <c r="H189" s="1251"/>
      <c r="I189" s="1688">
        <f>BS!D103</f>
        <v>115550</v>
      </c>
      <c r="J189" s="1690"/>
      <c r="K189" s="1688">
        <f>BS!E103</f>
        <v>107571</v>
      </c>
      <c r="L189" s="1691"/>
    </row>
    <row r="190" spans="1:12" s="1187" customFormat="1" ht="27.75" customHeight="1" thickBot="1">
      <c r="A190" s="1364" t="s">
        <v>532</v>
      </c>
      <c r="B190" s="1749" t="s">
        <v>2472</v>
      </c>
      <c r="C190" s="1750"/>
      <c r="D190" s="1750"/>
      <c r="E190" s="1750"/>
      <c r="F190" s="1751"/>
      <c r="G190" s="1365" t="s">
        <v>730</v>
      </c>
      <c r="H190" s="1366"/>
      <c r="I190" s="1703">
        <f>BS!D104</f>
        <v>0</v>
      </c>
      <c r="J190" s="1752"/>
      <c r="K190" s="1703">
        <f>BS!E104</f>
        <v>0</v>
      </c>
      <c r="L190" s="1705"/>
    </row>
    <row r="191" spans="1:12" s="1187" customFormat="1" ht="27.75" customHeight="1">
      <c r="A191" s="1361" t="s">
        <v>1137</v>
      </c>
      <c r="B191" s="1667" t="s">
        <v>1136</v>
      </c>
      <c r="C191" s="1668"/>
      <c r="D191" s="1668"/>
      <c r="E191" s="1668"/>
      <c r="F191" s="1669"/>
      <c r="G191" s="1362" t="s">
        <v>1135</v>
      </c>
      <c r="H191" s="1363"/>
      <c r="I191" s="1667" t="s">
        <v>1134</v>
      </c>
      <c r="J191" s="1669"/>
      <c r="K191" s="1667" t="s">
        <v>1133</v>
      </c>
      <c r="L191" s="1744"/>
    </row>
    <row r="192" spans="1:12" ht="27.75" customHeight="1">
      <c r="A192" s="1195" t="s">
        <v>724</v>
      </c>
      <c r="B192" s="1741" t="s">
        <v>2473</v>
      </c>
      <c r="C192" s="1742"/>
      <c r="D192" s="1742"/>
      <c r="E192" s="1742"/>
      <c r="F192" s="1743"/>
      <c r="G192" s="1208" t="s">
        <v>732</v>
      </c>
      <c r="H192" s="1250"/>
      <c r="I192" s="1656">
        <f>BS!D105</f>
        <v>0</v>
      </c>
      <c r="J192" s="1658"/>
      <c r="K192" s="1656">
        <f>BS!E105</f>
        <v>0</v>
      </c>
      <c r="L192" s="1659"/>
    </row>
    <row r="193" spans="1:12" ht="27.75" customHeight="1">
      <c r="A193" s="1197" t="s">
        <v>2289</v>
      </c>
      <c r="B193" s="1746" t="s">
        <v>2474</v>
      </c>
      <c r="C193" s="1747"/>
      <c r="D193" s="1747"/>
      <c r="E193" s="1747"/>
      <c r="F193" s="1748"/>
      <c r="G193" s="1209" t="s">
        <v>734</v>
      </c>
      <c r="H193" s="1251"/>
      <c r="I193" s="1688">
        <f>BS!D106</f>
        <v>0</v>
      </c>
      <c r="J193" s="1690"/>
      <c r="K193" s="1688">
        <f>BS!E106</f>
        <v>0</v>
      </c>
      <c r="L193" s="1691"/>
    </row>
    <row r="194" spans="1:12" ht="27.75" customHeight="1">
      <c r="A194" s="1195" t="s">
        <v>532</v>
      </c>
      <c r="B194" s="1746" t="s">
        <v>2475</v>
      </c>
      <c r="C194" s="1747"/>
      <c r="D194" s="1747"/>
      <c r="E194" s="1747"/>
      <c r="F194" s="1748"/>
      <c r="G194" s="1209" t="s">
        <v>736</v>
      </c>
      <c r="H194" s="1251"/>
      <c r="I194" s="1688">
        <f>BS!D107</f>
        <v>0</v>
      </c>
      <c r="J194" s="1690"/>
      <c r="K194" s="1688">
        <f>BS!E107</f>
        <v>0</v>
      </c>
      <c r="L194" s="1691"/>
    </row>
    <row r="195" spans="1:12" ht="27.75" customHeight="1">
      <c r="A195" s="1195" t="s">
        <v>2292</v>
      </c>
      <c r="B195" s="1741" t="s">
        <v>2476</v>
      </c>
      <c r="C195" s="1742"/>
      <c r="D195" s="1742"/>
      <c r="E195" s="1742"/>
      <c r="F195" s="1743"/>
      <c r="G195" s="1208" t="s">
        <v>738</v>
      </c>
      <c r="H195" s="1250"/>
      <c r="I195" s="1656">
        <f>BS!D108</f>
        <v>0</v>
      </c>
      <c r="J195" s="1658"/>
      <c r="K195" s="1656">
        <f>BS!E108</f>
        <v>0</v>
      </c>
      <c r="L195" s="1659"/>
    </row>
    <row r="196" spans="1:12" ht="27.75" customHeight="1">
      <c r="A196" s="1197" t="s">
        <v>2294</v>
      </c>
      <c r="B196" s="1746" t="s">
        <v>2477</v>
      </c>
      <c r="C196" s="1747"/>
      <c r="D196" s="1747"/>
      <c r="E196" s="1747"/>
      <c r="F196" s="1748"/>
      <c r="G196" s="1209" t="s">
        <v>740</v>
      </c>
      <c r="H196" s="1251"/>
      <c r="I196" s="1688">
        <f>BS!D109</f>
        <v>0</v>
      </c>
      <c r="J196" s="1690"/>
      <c r="K196" s="1688">
        <f>BS!E109</f>
        <v>0</v>
      </c>
      <c r="L196" s="1691"/>
    </row>
    <row r="197" spans="1:12" ht="27.75" customHeight="1">
      <c r="A197" s="1197" t="s">
        <v>532</v>
      </c>
      <c r="B197" s="1746" t="s">
        <v>1154</v>
      </c>
      <c r="C197" s="1747"/>
      <c r="D197" s="1747"/>
      <c r="E197" s="1747"/>
      <c r="F197" s="1748"/>
      <c r="G197" s="1209" t="s">
        <v>742</v>
      </c>
      <c r="H197" s="1251"/>
      <c r="I197" s="1688">
        <f>BS!D110</f>
        <v>0</v>
      </c>
      <c r="J197" s="1690"/>
      <c r="K197" s="1688">
        <f>BS!E110</f>
        <v>0</v>
      </c>
      <c r="L197" s="1691"/>
    </row>
    <row r="198" spans="1:12" s="1187" customFormat="1" ht="27.75" customHeight="1">
      <c r="A198" s="1197" t="s">
        <v>535</v>
      </c>
      <c r="B198" s="1746" t="s">
        <v>2478</v>
      </c>
      <c r="C198" s="1747"/>
      <c r="D198" s="1747"/>
      <c r="E198" s="1747"/>
      <c r="F198" s="1748"/>
      <c r="G198" s="1209" t="s">
        <v>743</v>
      </c>
      <c r="H198" s="1251"/>
      <c r="I198" s="1688">
        <f>BS!D111</f>
        <v>0</v>
      </c>
      <c r="J198" s="1690"/>
      <c r="K198" s="1688">
        <f>BS!E111</f>
        <v>0</v>
      </c>
      <c r="L198" s="1691"/>
    </row>
    <row r="199" spans="1:12" ht="27.75" customHeight="1">
      <c r="A199" s="1195" t="s">
        <v>2296</v>
      </c>
      <c r="B199" s="1741" t="s">
        <v>2479</v>
      </c>
      <c r="C199" s="1742"/>
      <c r="D199" s="1742"/>
      <c r="E199" s="1742"/>
      <c r="F199" s="1743"/>
      <c r="G199" s="1208" t="s">
        <v>745</v>
      </c>
      <c r="H199" s="1250"/>
      <c r="I199" s="1656">
        <f>BS!D112</f>
        <v>159039</v>
      </c>
      <c r="J199" s="1658"/>
      <c r="K199" s="1656">
        <f>BS!E112</f>
        <v>418803</v>
      </c>
      <c r="L199" s="1659"/>
    </row>
    <row r="200" spans="1:12" ht="27.75" customHeight="1">
      <c r="A200" s="1197" t="s">
        <v>2298</v>
      </c>
      <c r="B200" s="1746" t="s">
        <v>2480</v>
      </c>
      <c r="C200" s="1747"/>
      <c r="D200" s="1747"/>
      <c r="E200" s="1747"/>
      <c r="F200" s="1748"/>
      <c r="G200" s="1209" t="s">
        <v>747</v>
      </c>
      <c r="H200" s="1251"/>
      <c r="I200" s="1688">
        <f>BS!D113</f>
        <v>159039</v>
      </c>
      <c r="J200" s="1690"/>
      <c r="K200" s="1688">
        <f>BS!E113</f>
        <v>418803</v>
      </c>
      <c r="L200" s="1691"/>
    </row>
    <row r="201" spans="1:12" ht="27.75" customHeight="1">
      <c r="A201" s="1197" t="s">
        <v>532</v>
      </c>
      <c r="B201" s="1746" t="s">
        <v>1146</v>
      </c>
      <c r="C201" s="1747"/>
      <c r="D201" s="1747"/>
      <c r="E201" s="1747"/>
      <c r="F201" s="1748"/>
      <c r="G201" s="1209" t="s">
        <v>749</v>
      </c>
      <c r="H201" s="1251"/>
      <c r="I201" s="1688">
        <f>BS!D114</f>
        <v>0</v>
      </c>
      <c r="J201" s="1690"/>
      <c r="K201" s="1688">
        <f>BS!E114</f>
        <v>0</v>
      </c>
      <c r="L201" s="1691"/>
    </row>
    <row r="202" spans="1:12" s="1187" customFormat="1" ht="31.5" customHeight="1">
      <c r="A202" s="1195" t="s">
        <v>2299</v>
      </c>
      <c r="B202" s="1741" t="s">
        <v>2635</v>
      </c>
      <c r="C202" s="1742"/>
      <c r="D202" s="1742"/>
      <c r="E202" s="1742"/>
      <c r="F202" s="1743"/>
      <c r="G202" s="1208" t="s">
        <v>751</v>
      </c>
      <c r="H202" s="1250"/>
      <c r="I202" s="1656">
        <f>BS!D115</f>
        <v>392434</v>
      </c>
      <c r="J202" s="1658"/>
      <c r="K202" s="1656">
        <f>BS!E115</f>
        <v>159575</v>
      </c>
      <c r="L202" s="1659"/>
    </row>
    <row r="203" spans="1:12" ht="27.75" customHeight="1">
      <c r="A203" s="1195" t="s">
        <v>594</v>
      </c>
      <c r="B203" s="1741" t="s">
        <v>2481</v>
      </c>
      <c r="C203" s="1742"/>
      <c r="D203" s="1742"/>
      <c r="E203" s="1742"/>
      <c r="F203" s="1743"/>
      <c r="G203" s="1208" t="s">
        <v>753</v>
      </c>
      <c r="H203" s="1250"/>
      <c r="I203" s="1656">
        <f>BS!D116</f>
        <v>1183519</v>
      </c>
      <c r="J203" s="1658"/>
      <c r="K203" s="1656">
        <f>BS!E116</f>
        <v>1613529</v>
      </c>
      <c r="L203" s="1659"/>
    </row>
    <row r="204" spans="1:12" ht="27.75" customHeight="1">
      <c r="A204" s="1195" t="s">
        <v>597</v>
      </c>
      <c r="B204" s="1741" t="s">
        <v>2482</v>
      </c>
      <c r="C204" s="1742"/>
      <c r="D204" s="1742"/>
      <c r="E204" s="1742"/>
      <c r="F204" s="1743"/>
      <c r="G204" s="1208" t="s">
        <v>755</v>
      </c>
      <c r="H204" s="1250"/>
      <c r="I204" s="1656">
        <f>BS!D117</f>
        <v>226060</v>
      </c>
      <c r="J204" s="1658"/>
      <c r="K204" s="1656">
        <f>BS!E117</f>
        <v>314230</v>
      </c>
      <c r="L204" s="1659"/>
    </row>
    <row r="205" spans="1:12" s="1187" customFormat="1" ht="27.75" customHeight="1">
      <c r="A205" s="1195" t="s">
        <v>600</v>
      </c>
      <c r="B205" s="1741" t="s">
        <v>2483</v>
      </c>
      <c r="C205" s="1742"/>
      <c r="D205" s="1742"/>
      <c r="E205" s="1742"/>
      <c r="F205" s="1743"/>
      <c r="G205" s="1208" t="s">
        <v>757</v>
      </c>
      <c r="H205" s="1251"/>
      <c r="I205" s="1688">
        <f>BS!D118</f>
        <v>0</v>
      </c>
      <c r="J205" s="1690"/>
      <c r="K205" s="1688">
        <f>BS!E118</f>
        <v>0</v>
      </c>
      <c r="L205" s="1691"/>
    </row>
    <row r="206" spans="1:12" s="1187" customFormat="1" ht="27.75" customHeight="1">
      <c r="A206" s="1197" t="s">
        <v>2265</v>
      </c>
      <c r="B206" s="1746" t="s">
        <v>2484</v>
      </c>
      <c r="C206" s="1747"/>
      <c r="D206" s="1747"/>
      <c r="E206" s="1747"/>
      <c r="F206" s="1748"/>
      <c r="G206" s="1209" t="s">
        <v>760</v>
      </c>
      <c r="H206" s="1251"/>
      <c r="I206" s="1688">
        <f>BS!D119</f>
        <v>0</v>
      </c>
      <c r="J206" s="1690"/>
      <c r="K206" s="1688">
        <f>BS!E119</f>
        <v>0</v>
      </c>
      <c r="L206" s="1691"/>
    </row>
    <row r="207" spans="1:12" s="1187" customFormat="1" ht="31.5" customHeight="1">
      <c r="A207" s="1197" t="s">
        <v>2266</v>
      </c>
      <c r="B207" s="1746" t="s">
        <v>2485</v>
      </c>
      <c r="C207" s="1747"/>
      <c r="D207" s="1747"/>
      <c r="E207" s="1747"/>
      <c r="F207" s="1748"/>
      <c r="G207" s="1209" t="s">
        <v>763</v>
      </c>
      <c r="H207" s="1251"/>
      <c r="I207" s="1688">
        <f>BS!D120</f>
        <v>0</v>
      </c>
      <c r="J207" s="1690"/>
      <c r="K207" s="1688">
        <f>BS!E120</f>
        <v>0</v>
      </c>
      <c r="L207" s="1691"/>
    </row>
    <row r="208" spans="1:12" ht="27.75" customHeight="1">
      <c r="A208" s="1197" t="s">
        <v>2267</v>
      </c>
      <c r="B208" s="1746" t="s">
        <v>2486</v>
      </c>
      <c r="C208" s="1747"/>
      <c r="D208" s="1747"/>
      <c r="E208" s="1747"/>
      <c r="F208" s="1748"/>
      <c r="G208" s="1209" t="s">
        <v>765</v>
      </c>
      <c r="H208" s="1251"/>
      <c r="I208" s="1688">
        <f>BS!D121</f>
        <v>0</v>
      </c>
      <c r="J208" s="1690"/>
      <c r="K208" s="1688">
        <f>BS!E121</f>
        <v>0</v>
      </c>
      <c r="L208" s="1691"/>
    </row>
    <row r="209" spans="1:12" ht="25.5" customHeight="1">
      <c r="A209" s="1197" t="s">
        <v>532</v>
      </c>
      <c r="B209" s="1746" t="s">
        <v>2448</v>
      </c>
      <c r="C209" s="1747"/>
      <c r="D209" s="1747"/>
      <c r="E209" s="1747"/>
      <c r="F209" s="1748"/>
      <c r="G209" s="1208" t="s">
        <v>767</v>
      </c>
      <c r="H209" s="1250"/>
      <c r="I209" s="1688">
        <f>BS!D122</f>
        <v>0</v>
      </c>
      <c r="J209" s="1690"/>
      <c r="K209" s="1688">
        <f>BS!E122</f>
        <v>0</v>
      </c>
      <c r="L209" s="1691"/>
    </row>
    <row r="210" spans="1:12" ht="27.75" customHeight="1">
      <c r="A210" s="1243" t="s">
        <v>535</v>
      </c>
      <c r="B210" s="1684" t="s">
        <v>2487</v>
      </c>
      <c r="C210" s="1684"/>
      <c r="D210" s="1753"/>
      <c r="E210" s="1753"/>
      <c r="F210" s="1753"/>
      <c r="G210" s="1262" t="s">
        <v>768</v>
      </c>
      <c r="H210" s="1259"/>
      <c r="I210" s="1754">
        <f>BS!D123</f>
        <v>112</v>
      </c>
      <c r="J210" s="1738"/>
      <c r="K210" s="1754">
        <f>BS!E123</f>
        <v>279</v>
      </c>
      <c r="L210" s="1755"/>
    </row>
    <row r="211" spans="1:12" ht="32.25" customHeight="1">
      <c r="A211" s="1199" t="s">
        <v>538</v>
      </c>
      <c r="B211" s="1746" t="s">
        <v>2488</v>
      </c>
      <c r="C211" s="1747"/>
      <c r="D211" s="1747"/>
      <c r="E211" s="1747"/>
      <c r="F211" s="1748"/>
      <c r="G211" s="1209" t="s">
        <v>770</v>
      </c>
      <c r="H211" s="1251"/>
      <c r="I211" s="1688">
        <f>BS!D124</f>
        <v>0</v>
      </c>
      <c r="J211" s="1690"/>
      <c r="K211" s="1688">
        <f>BS!E124</f>
        <v>0</v>
      </c>
      <c r="L211" s="1691"/>
    </row>
    <row r="212" spans="1:12" s="1187" customFormat="1" ht="27.75" customHeight="1">
      <c r="A212" s="1199" t="s">
        <v>541</v>
      </c>
      <c r="B212" s="1746" t="s">
        <v>2489</v>
      </c>
      <c r="C212" s="1747"/>
      <c r="D212" s="1747"/>
      <c r="E212" s="1747"/>
      <c r="F212" s="1748"/>
      <c r="G212" s="1209" t="s">
        <v>772</v>
      </c>
      <c r="H212" s="1251"/>
      <c r="I212" s="1688">
        <f>BS!D125</f>
        <v>0</v>
      </c>
      <c r="J212" s="1690"/>
      <c r="K212" s="1688">
        <f>BS!E125</f>
        <v>0</v>
      </c>
      <c r="L212" s="1691"/>
    </row>
    <row r="213" spans="1:12" ht="27.75" customHeight="1">
      <c r="A213" s="1199" t="s">
        <v>544</v>
      </c>
      <c r="B213" s="1746" t="s">
        <v>1128</v>
      </c>
      <c r="C213" s="1747"/>
      <c r="D213" s="1747"/>
      <c r="E213" s="1747"/>
      <c r="F213" s="1748"/>
      <c r="G213" s="1209" t="s">
        <v>774</v>
      </c>
      <c r="H213" s="1251"/>
      <c r="I213" s="1688">
        <f>BS!D126</f>
        <v>0</v>
      </c>
      <c r="J213" s="1690"/>
      <c r="K213" s="1688">
        <f>BS!E126</f>
        <v>0</v>
      </c>
      <c r="L213" s="1691"/>
    </row>
    <row r="214" spans="1:12" ht="27.75" customHeight="1">
      <c r="A214" s="1199" t="s">
        <v>547</v>
      </c>
      <c r="B214" s="1746" t="s">
        <v>1127</v>
      </c>
      <c r="C214" s="1747"/>
      <c r="D214" s="1747"/>
      <c r="E214" s="1747"/>
      <c r="F214" s="1748"/>
      <c r="G214" s="1209" t="s">
        <v>776</v>
      </c>
      <c r="H214" s="1251"/>
      <c r="I214" s="1688">
        <f>BS!D127</f>
        <v>0</v>
      </c>
      <c r="J214" s="1690"/>
      <c r="K214" s="1688">
        <f>BS!E127</f>
        <v>0</v>
      </c>
      <c r="L214" s="1691"/>
    </row>
    <row r="215" spans="1:12" ht="27.75" customHeight="1">
      <c r="A215" s="1199" t="s">
        <v>568</v>
      </c>
      <c r="B215" s="1746" t="s">
        <v>2490</v>
      </c>
      <c r="C215" s="1747"/>
      <c r="D215" s="1747"/>
      <c r="E215" s="1747"/>
      <c r="F215" s="1748"/>
      <c r="G215" s="1209" t="s">
        <v>778</v>
      </c>
      <c r="H215" s="1251"/>
      <c r="I215" s="1688">
        <f>BS!D128</f>
        <v>0</v>
      </c>
      <c r="J215" s="1690"/>
      <c r="K215" s="1688">
        <f>BS!E128</f>
        <v>0</v>
      </c>
      <c r="L215" s="1691"/>
    </row>
    <row r="216" spans="1:12" ht="27.75" customHeight="1">
      <c r="A216" s="1199" t="s">
        <v>571</v>
      </c>
      <c r="B216" s="1746" t="s">
        <v>1125</v>
      </c>
      <c r="C216" s="1747"/>
      <c r="D216" s="1747"/>
      <c r="E216" s="1747"/>
      <c r="F216" s="1748"/>
      <c r="G216" s="1209" t="s">
        <v>780</v>
      </c>
      <c r="H216" s="1251"/>
      <c r="I216" s="1688">
        <f>BS!D129</f>
        <v>8969</v>
      </c>
      <c r="J216" s="1690"/>
      <c r="K216" s="1688">
        <f>BS!E129</f>
        <v>12927</v>
      </c>
      <c r="L216" s="1691"/>
    </row>
    <row r="217" spans="1:12" ht="27.75" customHeight="1">
      <c r="A217" s="1199" t="s">
        <v>758</v>
      </c>
      <c r="B217" s="1746" t="s">
        <v>2491</v>
      </c>
      <c r="C217" s="1747"/>
      <c r="D217" s="1747"/>
      <c r="E217" s="1747"/>
      <c r="F217" s="1748"/>
      <c r="G217" s="1209" t="s">
        <v>782</v>
      </c>
      <c r="H217" s="1251"/>
      <c r="I217" s="1688">
        <f>BS!D130</f>
        <v>0</v>
      </c>
      <c r="J217" s="1690"/>
      <c r="K217" s="1688">
        <f>BS!E130</f>
        <v>0</v>
      </c>
      <c r="L217" s="1691"/>
    </row>
    <row r="218" spans="1:12" ht="27.75" customHeight="1">
      <c r="A218" s="1199" t="s">
        <v>761</v>
      </c>
      <c r="B218" s="1746" t="s">
        <v>2492</v>
      </c>
      <c r="C218" s="1747"/>
      <c r="D218" s="1747"/>
      <c r="E218" s="1747"/>
      <c r="F218" s="1748"/>
      <c r="G218" s="1209" t="s">
        <v>784</v>
      </c>
      <c r="H218" s="1251"/>
      <c r="I218" s="1688">
        <f>BS!D131</f>
        <v>0</v>
      </c>
      <c r="J218" s="1690"/>
      <c r="K218" s="1688">
        <f>BS!E131</f>
        <v>0</v>
      </c>
      <c r="L218" s="1691"/>
    </row>
    <row r="219" spans="1:12" ht="27.75" customHeight="1" thickBot="1">
      <c r="A219" s="1367" t="s">
        <v>2308</v>
      </c>
      <c r="B219" s="1749" t="s">
        <v>1123</v>
      </c>
      <c r="C219" s="1750"/>
      <c r="D219" s="1750"/>
      <c r="E219" s="1750"/>
      <c r="F219" s="1751"/>
      <c r="G219" s="1365" t="s">
        <v>786</v>
      </c>
      <c r="H219" s="1366"/>
      <c r="I219" s="1703">
        <f>BS!D132</f>
        <v>216979</v>
      </c>
      <c r="J219" s="1752"/>
      <c r="K219" s="1703">
        <f>BS!E132</f>
        <v>301024</v>
      </c>
      <c r="L219" s="1705"/>
    </row>
    <row r="220" spans="1:12" ht="27.75" customHeight="1">
      <c r="A220" s="1361" t="s">
        <v>1137</v>
      </c>
      <c r="B220" s="1667" t="s">
        <v>1136</v>
      </c>
      <c r="C220" s="1668"/>
      <c r="D220" s="1668"/>
      <c r="E220" s="1668"/>
      <c r="F220" s="1669"/>
      <c r="G220" s="1362" t="s">
        <v>1135</v>
      </c>
      <c r="H220" s="1363"/>
      <c r="I220" s="1667" t="s">
        <v>1134</v>
      </c>
      <c r="J220" s="1669"/>
      <c r="K220" s="1667" t="s">
        <v>1133</v>
      </c>
      <c r="L220" s="1744"/>
    </row>
    <row r="221" spans="1:12" ht="27.75" customHeight="1">
      <c r="A221" s="1200" t="s">
        <v>613</v>
      </c>
      <c r="B221" s="1741" t="s">
        <v>2493</v>
      </c>
      <c r="C221" s="1742"/>
      <c r="D221" s="1742"/>
      <c r="E221" s="1742"/>
      <c r="F221" s="1743"/>
      <c r="G221" s="1208" t="s">
        <v>789</v>
      </c>
      <c r="H221" s="1250"/>
      <c r="I221" s="1656">
        <f>BS!D133</f>
        <v>0</v>
      </c>
      <c r="J221" s="1658"/>
      <c r="K221" s="1656">
        <f>BS!E133</f>
        <v>0</v>
      </c>
      <c r="L221" s="1659"/>
    </row>
    <row r="222" spans="1:12" ht="27.75" customHeight="1">
      <c r="A222" s="1199" t="s">
        <v>616</v>
      </c>
      <c r="B222" s="1746" t="s">
        <v>2494</v>
      </c>
      <c r="C222" s="1747"/>
      <c r="D222" s="1747"/>
      <c r="E222" s="1747"/>
      <c r="F222" s="1748"/>
      <c r="G222" s="1209" t="s">
        <v>792</v>
      </c>
      <c r="H222" s="1251"/>
      <c r="I222" s="1688">
        <f>BS!D134</f>
        <v>0</v>
      </c>
      <c r="J222" s="1690"/>
      <c r="K222" s="1688">
        <f>BS!E134</f>
        <v>0</v>
      </c>
      <c r="L222" s="1691"/>
    </row>
    <row r="223" spans="1:12" ht="27.75" customHeight="1">
      <c r="A223" s="1199" t="s">
        <v>532</v>
      </c>
      <c r="B223" s="1746" t="s">
        <v>2495</v>
      </c>
      <c r="C223" s="1747"/>
      <c r="D223" s="1747"/>
      <c r="E223" s="1747"/>
      <c r="F223" s="1748"/>
      <c r="G223" s="1209" t="s">
        <v>794</v>
      </c>
      <c r="H223" s="1251"/>
      <c r="I223" s="1688">
        <f>BS!D135</f>
        <v>0</v>
      </c>
      <c r="J223" s="1690"/>
      <c r="K223" s="1688">
        <f>BS!E135</f>
        <v>0</v>
      </c>
      <c r="L223" s="1691"/>
    </row>
    <row r="224" spans="1:12" ht="27.75" customHeight="1">
      <c r="A224" s="1200" t="s">
        <v>631</v>
      </c>
      <c r="B224" s="1741" t="s">
        <v>2496</v>
      </c>
      <c r="C224" s="1742"/>
      <c r="D224" s="1742"/>
      <c r="E224" s="1742"/>
      <c r="F224" s="1743"/>
      <c r="G224" s="1208" t="s">
        <v>796</v>
      </c>
      <c r="H224" s="1250"/>
      <c r="I224" s="1656">
        <f>BS!D136</f>
        <v>0</v>
      </c>
      <c r="J224" s="1658"/>
      <c r="K224" s="1656">
        <f>BS!E136</f>
        <v>0</v>
      </c>
      <c r="L224" s="1659"/>
    </row>
    <row r="225" spans="1:12" ht="27.75" customHeight="1">
      <c r="A225" s="1200" t="s">
        <v>649</v>
      </c>
      <c r="B225" s="1741" t="s">
        <v>2568</v>
      </c>
      <c r="C225" s="1742"/>
      <c r="D225" s="1742"/>
      <c r="E225" s="1742"/>
      <c r="F225" s="1743"/>
      <c r="G225" s="1208" t="s">
        <v>798</v>
      </c>
      <c r="H225" s="1250"/>
      <c r="I225" s="1656">
        <f>BS!D137</f>
        <v>821475</v>
      </c>
      <c r="J225" s="1658"/>
      <c r="K225" s="1656">
        <f>BS!E137</f>
        <v>1181891</v>
      </c>
      <c r="L225" s="1659"/>
    </row>
    <row r="226" spans="1:12" s="1187" customFormat="1" ht="27.75" customHeight="1">
      <c r="A226" s="1200" t="s">
        <v>652</v>
      </c>
      <c r="B226" s="1741" t="s">
        <v>2497</v>
      </c>
      <c r="C226" s="1742"/>
      <c r="D226" s="1742"/>
      <c r="E226" s="1742"/>
      <c r="F226" s="1743"/>
      <c r="G226" s="1208" t="s">
        <v>800</v>
      </c>
      <c r="H226" s="1251"/>
      <c r="I226" s="1656">
        <f>BS!D138</f>
        <v>630565</v>
      </c>
      <c r="J226" s="1658"/>
      <c r="K226" s="1656">
        <f>BS!E138</f>
        <v>1079736</v>
      </c>
      <c r="L226" s="1659"/>
    </row>
    <row r="227" spans="1:12" ht="31.5" customHeight="1">
      <c r="A227" s="1199" t="s">
        <v>2265</v>
      </c>
      <c r="B227" s="1746" t="s">
        <v>2498</v>
      </c>
      <c r="C227" s="1747"/>
      <c r="D227" s="1747"/>
      <c r="E227" s="1747"/>
      <c r="F227" s="1748"/>
      <c r="G227" s="1209" t="s">
        <v>802</v>
      </c>
      <c r="H227" s="1251"/>
      <c r="I227" s="1688">
        <f>BS!D139</f>
        <v>0</v>
      </c>
      <c r="J227" s="1690"/>
      <c r="K227" s="1688">
        <f>BS!E139</f>
        <v>19992</v>
      </c>
      <c r="L227" s="1691"/>
    </row>
    <row r="228" spans="1:12" ht="31" customHeight="1">
      <c r="A228" s="1199" t="s">
        <v>2266</v>
      </c>
      <c r="B228" s="1746" t="s">
        <v>2499</v>
      </c>
      <c r="C228" s="1747"/>
      <c r="D228" s="1747"/>
      <c r="E228" s="1747"/>
      <c r="F228" s="1748"/>
      <c r="G228" s="1209" t="s">
        <v>804</v>
      </c>
      <c r="H228" s="1251"/>
      <c r="I228" s="1688">
        <f>BS!D140</f>
        <v>0</v>
      </c>
      <c r="J228" s="1690"/>
      <c r="K228" s="1688">
        <f>BS!E140</f>
        <v>0</v>
      </c>
      <c r="L228" s="1691"/>
    </row>
    <row r="229" spans="1:12" ht="31.5" customHeight="1">
      <c r="A229" s="1199" t="s">
        <v>2267</v>
      </c>
      <c r="B229" s="1746" t="s">
        <v>2500</v>
      </c>
      <c r="C229" s="1747"/>
      <c r="D229" s="1747"/>
      <c r="E229" s="1747"/>
      <c r="F229" s="1748"/>
      <c r="G229" s="1209" t="s">
        <v>2313</v>
      </c>
      <c r="H229" s="1251"/>
      <c r="I229" s="1688">
        <f>BS!D141</f>
        <v>630565</v>
      </c>
      <c r="J229" s="1690"/>
      <c r="K229" s="1688">
        <f>BS!E141</f>
        <v>1059744</v>
      </c>
      <c r="L229" s="1691"/>
    </row>
    <row r="230" spans="1:12" ht="27.75" customHeight="1">
      <c r="A230" s="1199" t="s">
        <v>532</v>
      </c>
      <c r="B230" s="1746" t="s">
        <v>1120</v>
      </c>
      <c r="C230" s="1747"/>
      <c r="D230" s="1747"/>
      <c r="E230" s="1747"/>
      <c r="F230" s="1748"/>
      <c r="G230" s="1209" t="s">
        <v>2314</v>
      </c>
      <c r="H230" s="1251"/>
      <c r="I230" s="1688">
        <f>BS!D142</f>
        <v>0</v>
      </c>
      <c r="J230" s="1690"/>
      <c r="K230" s="1688">
        <f>BS!E142</f>
        <v>0</v>
      </c>
      <c r="L230" s="1691"/>
    </row>
    <row r="231" spans="1:12" ht="27.75" customHeight="1">
      <c r="A231" s="1199" t="s">
        <v>535</v>
      </c>
      <c r="B231" s="1746" t="s">
        <v>2501</v>
      </c>
      <c r="C231" s="1747"/>
      <c r="D231" s="1747"/>
      <c r="E231" s="1747"/>
      <c r="F231" s="1748"/>
      <c r="G231" s="1209" t="s">
        <v>2315</v>
      </c>
      <c r="H231" s="1251"/>
      <c r="I231" s="1688">
        <f>BS!D143</f>
        <v>0</v>
      </c>
      <c r="J231" s="1690"/>
      <c r="K231" s="1688">
        <f>BS!E143</f>
        <v>0</v>
      </c>
      <c r="L231" s="1691"/>
    </row>
    <row r="232" spans="1:12" ht="31" customHeight="1">
      <c r="A232" s="1199" t="s">
        <v>538</v>
      </c>
      <c r="B232" s="1746" t="s">
        <v>2502</v>
      </c>
      <c r="C232" s="1747"/>
      <c r="D232" s="1747"/>
      <c r="E232" s="1747"/>
      <c r="F232" s="1748"/>
      <c r="G232" s="1209" t="s">
        <v>2316</v>
      </c>
      <c r="H232" s="1251"/>
      <c r="I232" s="1688">
        <f>BS!D144</f>
        <v>0</v>
      </c>
      <c r="J232" s="1690"/>
      <c r="K232" s="1688">
        <f>BS!E144</f>
        <v>0</v>
      </c>
      <c r="L232" s="1691"/>
    </row>
    <row r="233" spans="1:12" ht="27.75" customHeight="1">
      <c r="A233" s="1199" t="s">
        <v>541</v>
      </c>
      <c r="B233" s="1746" t="s">
        <v>2503</v>
      </c>
      <c r="C233" s="1747"/>
      <c r="D233" s="1747"/>
      <c r="E233" s="1747"/>
      <c r="F233" s="1748"/>
      <c r="G233" s="1209" t="s">
        <v>2317</v>
      </c>
      <c r="H233" s="1251"/>
      <c r="I233" s="1688">
        <f>BS!D145</f>
        <v>0</v>
      </c>
      <c r="J233" s="1690"/>
      <c r="K233" s="1688">
        <f>BS!E145</f>
        <v>0</v>
      </c>
      <c r="L233" s="1691"/>
    </row>
    <row r="234" spans="1:12" ht="27.75" customHeight="1">
      <c r="A234" s="1199" t="s">
        <v>544</v>
      </c>
      <c r="B234" s="1746" t="s">
        <v>1115</v>
      </c>
      <c r="C234" s="1747"/>
      <c r="D234" s="1747"/>
      <c r="E234" s="1747"/>
      <c r="F234" s="1748"/>
      <c r="G234" s="1209" t="s">
        <v>2318</v>
      </c>
      <c r="H234" s="1251"/>
      <c r="I234" s="1688">
        <f>BS!D146</f>
        <v>62434</v>
      </c>
      <c r="J234" s="1690"/>
      <c r="K234" s="1688">
        <f>BS!E146</f>
        <v>47382</v>
      </c>
      <c r="L234" s="1691"/>
    </row>
    <row r="235" spans="1:12" ht="27.75" customHeight="1">
      <c r="A235" s="1199" t="s">
        <v>547</v>
      </c>
      <c r="B235" s="1746" t="s">
        <v>2504</v>
      </c>
      <c r="C235" s="1747"/>
      <c r="D235" s="1747"/>
      <c r="E235" s="1747"/>
      <c r="F235" s="1748"/>
      <c r="G235" s="1209" t="s">
        <v>2320</v>
      </c>
      <c r="H235" s="1251"/>
      <c r="I235" s="1688">
        <f>BS!D147</f>
        <v>39822</v>
      </c>
      <c r="J235" s="1690"/>
      <c r="K235" s="1688">
        <f>BS!E147</f>
        <v>31104</v>
      </c>
      <c r="L235" s="1691"/>
    </row>
    <row r="236" spans="1:12" s="1187" customFormat="1" ht="27.75" customHeight="1">
      <c r="A236" s="1199" t="s">
        <v>568</v>
      </c>
      <c r="B236" s="1746" t="s">
        <v>2505</v>
      </c>
      <c r="C236" s="1747"/>
      <c r="D236" s="1747"/>
      <c r="E236" s="1747"/>
      <c r="F236" s="1748"/>
      <c r="G236" s="1209" t="s">
        <v>2321</v>
      </c>
      <c r="H236" s="1251"/>
      <c r="I236" s="1688">
        <f>BS!D148</f>
        <v>85270</v>
      </c>
      <c r="J236" s="1690"/>
      <c r="K236" s="1688">
        <f>BS!E148</f>
        <v>8319</v>
      </c>
      <c r="L236" s="1691"/>
    </row>
    <row r="237" spans="1:12" ht="27.75" customHeight="1">
      <c r="A237" s="1199" t="s">
        <v>571</v>
      </c>
      <c r="B237" s="1746" t="s">
        <v>2506</v>
      </c>
      <c r="C237" s="1747"/>
      <c r="D237" s="1747"/>
      <c r="E237" s="1747"/>
      <c r="F237" s="1748"/>
      <c r="G237" s="1209" t="s">
        <v>2323</v>
      </c>
      <c r="H237" s="1251"/>
      <c r="I237" s="1688">
        <f>BS!D149</f>
        <v>0</v>
      </c>
      <c r="J237" s="1690"/>
      <c r="K237" s="1688">
        <f>BS!E149</f>
        <v>0</v>
      </c>
      <c r="L237" s="1691"/>
    </row>
    <row r="238" spans="1:12" ht="27.75" customHeight="1">
      <c r="A238" s="1199" t="s">
        <v>758</v>
      </c>
      <c r="B238" s="1746" t="s">
        <v>2507</v>
      </c>
      <c r="C238" s="1747"/>
      <c r="D238" s="1747"/>
      <c r="E238" s="1747"/>
      <c r="F238" s="1748"/>
      <c r="G238" s="1209" t="s">
        <v>2325</v>
      </c>
      <c r="H238" s="1251"/>
      <c r="I238" s="1688">
        <f>BS!D150</f>
        <v>3384</v>
      </c>
      <c r="J238" s="1690"/>
      <c r="K238" s="1688">
        <f>BS!E150</f>
        <v>15350</v>
      </c>
      <c r="L238" s="1691"/>
    </row>
    <row r="239" spans="1:12" ht="27.75" customHeight="1">
      <c r="A239" s="1200" t="s">
        <v>787</v>
      </c>
      <c r="B239" s="1741" t="s">
        <v>2508</v>
      </c>
      <c r="C239" s="1742"/>
      <c r="D239" s="1742"/>
      <c r="E239" s="1742"/>
      <c r="F239" s="1743"/>
      <c r="G239" s="1208" t="s">
        <v>2327</v>
      </c>
      <c r="H239" s="1250"/>
      <c r="I239" s="1656">
        <f>BS!D151</f>
        <v>134706</v>
      </c>
      <c r="J239" s="1658"/>
      <c r="K239" s="1656">
        <f>BS!E151</f>
        <v>113122</v>
      </c>
      <c r="L239" s="1659"/>
    </row>
    <row r="240" spans="1:12" s="1187" customFormat="1" ht="27.75" customHeight="1">
      <c r="A240" s="1199" t="s">
        <v>790</v>
      </c>
      <c r="B240" s="1746" t="s">
        <v>2509</v>
      </c>
      <c r="C240" s="1747"/>
      <c r="D240" s="1747"/>
      <c r="E240" s="1747"/>
      <c r="F240" s="1748"/>
      <c r="G240" s="1209" t="s">
        <v>2328</v>
      </c>
      <c r="H240" s="1251"/>
      <c r="I240" s="1688">
        <f>BS!D152</f>
        <v>43381</v>
      </c>
      <c r="J240" s="1690"/>
      <c r="K240" s="1688">
        <f>BS!E152</f>
        <v>42770</v>
      </c>
      <c r="L240" s="1691"/>
    </row>
    <row r="241" spans="1:12" s="1187" customFormat="1" ht="27.75" customHeight="1">
      <c r="A241" s="1199" t="s">
        <v>532</v>
      </c>
      <c r="B241" s="1746" t="s">
        <v>2510</v>
      </c>
      <c r="C241" s="1747"/>
      <c r="D241" s="1747"/>
      <c r="E241" s="1747"/>
      <c r="F241" s="1748"/>
      <c r="G241" s="1209" t="s">
        <v>2329</v>
      </c>
      <c r="H241" s="1251"/>
      <c r="I241" s="1688">
        <f>BS!D153</f>
        <v>91325</v>
      </c>
      <c r="J241" s="1690"/>
      <c r="K241" s="1688">
        <f>BS!E153</f>
        <v>70352</v>
      </c>
      <c r="L241" s="1691"/>
    </row>
    <row r="242" spans="1:12" s="1187" customFormat="1" ht="27.75" customHeight="1">
      <c r="A242" s="1318" t="s">
        <v>2330</v>
      </c>
      <c r="B242" s="1697" t="s">
        <v>2511</v>
      </c>
      <c r="C242" s="1697"/>
      <c r="D242" s="1756"/>
      <c r="E242" s="1756"/>
      <c r="F242" s="1756"/>
      <c r="G242" s="1263" t="s">
        <v>2331</v>
      </c>
      <c r="H242" s="1264"/>
      <c r="I242" s="1757">
        <f>BS!D154</f>
        <v>1278</v>
      </c>
      <c r="J242" s="1758"/>
      <c r="K242" s="1757">
        <f>BS!E154</f>
        <v>4286</v>
      </c>
      <c r="L242" s="1759"/>
    </row>
    <row r="243" spans="1:12" s="1187" customFormat="1" ht="27.75" customHeight="1">
      <c r="A243" s="1308" t="s">
        <v>2332</v>
      </c>
      <c r="B243" s="1741" t="s">
        <v>1111</v>
      </c>
      <c r="C243" s="1742"/>
      <c r="D243" s="1742"/>
      <c r="E243" s="1742"/>
      <c r="F243" s="1743"/>
      <c r="G243" s="1208" t="s">
        <v>2333</v>
      </c>
      <c r="H243" s="1250"/>
      <c r="I243" s="1656">
        <f>BS!D155</f>
        <v>0</v>
      </c>
      <c r="J243" s="1658"/>
      <c r="K243" s="1656">
        <f>BS!E155</f>
        <v>0</v>
      </c>
      <c r="L243" s="1659"/>
    </row>
    <row r="244" spans="1:12" s="1187" customFormat="1" ht="27.75" customHeight="1">
      <c r="A244" s="1308" t="s">
        <v>663</v>
      </c>
      <c r="B244" s="1741" t="s">
        <v>2512</v>
      </c>
      <c r="C244" s="1742"/>
      <c r="D244" s="1742"/>
      <c r="E244" s="1742"/>
      <c r="F244" s="1743"/>
      <c r="G244" s="1208" t="s">
        <v>2335</v>
      </c>
      <c r="H244" s="1250"/>
      <c r="I244" s="1656">
        <f>BS!D156</f>
        <v>0</v>
      </c>
      <c r="J244" s="1658"/>
      <c r="K244" s="1656">
        <f>BS!E156</f>
        <v>0</v>
      </c>
      <c r="L244" s="1659"/>
    </row>
    <row r="245" spans="1:12" s="1187" customFormat="1" ht="27.75" customHeight="1">
      <c r="A245" s="1302" t="s">
        <v>666</v>
      </c>
      <c r="B245" s="1746" t="s">
        <v>1106</v>
      </c>
      <c r="C245" s="1747"/>
      <c r="D245" s="1747"/>
      <c r="E245" s="1747"/>
      <c r="F245" s="1748"/>
      <c r="G245" s="1209" t="s">
        <v>2336</v>
      </c>
      <c r="H245" s="1251"/>
      <c r="I245" s="1688">
        <f>BS!D157</f>
        <v>0</v>
      </c>
      <c r="J245" s="1690"/>
      <c r="K245" s="1688">
        <f>BS!E157</f>
        <v>0</v>
      </c>
      <c r="L245" s="1691"/>
    </row>
    <row r="246" spans="1:12" s="1187" customFormat="1" ht="27.75" customHeight="1">
      <c r="A246" s="1302" t="s">
        <v>532</v>
      </c>
      <c r="B246" s="1746" t="s">
        <v>1105</v>
      </c>
      <c r="C246" s="1747"/>
      <c r="D246" s="1747"/>
      <c r="E246" s="1747"/>
      <c r="F246" s="1748"/>
      <c r="G246" s="1209" t="s">
        <v>2337</v>
      </c>
      <c r="H246" s="1251"/>
      <c r="I246" s="1688">
        <f>BS!D158</f>
        <v>0</v>
      </c>
      <c r="J246" s="1690"/>
      <c r="K246" s="1688">
        <f>BS!E158</f>
        <v>0</v>
      </c>
      <c r="L246" s="1691"/>
    </row>
    <row r="247" spans="1:12" s="1187" customFormat="1" ht="27.75" customHeight="1">
      <c r="A247" s="1302" t="s">
        <v>535</v>
      </c>
      <c r="B247" s="1746" t="s">
        <v>1104</v>
      </c>
      <c r="C247" s="1747"/>
      <c r="D247" s="1747"/>
      <c r="E247" s="1747"/>
      <c r="F247" s="1748"/>
      <c r="G247" s="1209" t="s">
        <v>2338</v>
      </c>
      <c r="H247" s="1251"/>
      <c r="I247" s="1688">
        <f>BS!D159</f>
        <v>0</v>
      </c>
      <c r="J247" s="1690"/>
      <c r="K247" s="1688">
        <f>BS!E159</f>
        <v>0</v>
      </c>
      <c r="L247" s="1691"/>
    </row>
    <row r="248" spans="1:12" ht="27.75" customHeight="1" thickBot="1">
      <c r="A248" s="1368" t="s">
        <v>538</v>
      </c>
      <c r="B248" s="1749" t="s">
        <v>1103</v>
      </c>
      <c r="C248" s="1750"/>
      <c r="D248" s="1750"/>
      <c r="E248" s="1750"/>
      <c r="F248" s="1751"/>
      <c r="G248" s="1365" t="s">
        <v>2339</v>
      </c>
      <c r="H248" s="1366"/>
      <c r="I248" s="1703">
        <f>BS!D160</f>
        <v>0</v>
      </c>
      <c r="J248" s="1752"/>
      <c r="K248" s="1703">
        <f>BS!E160</f>
        <v>0</v>
      </c>
      <c r="L248" s="1705"/>
    </row>
    <row r="249" spans="1:12" ht="27.75" customHeight="1">
      <c r="A249" s="1190"/>
      <c r="B249" s="1191"/>
      <c r="C249" s="1191"/>
      <c r="D249" s="1201"/>
      <c r="E249" s="1201"/>
      <c r="F249" s="1201"/>
      <c r="G249" s="1192"/>
      <c r="H249" s="1192"/>
      <c r="I249" s="1193"/>
      <c r="J249" s="1193"/>
      <c r="K249" s="1193"/>
      <c r="L249" s="1193"/>
    </row>
    <row r="250" spans="1:12" ht="24.75" customHeight="1"/>
    <row r="251" spans="1:12" ht="24.75" customHeight="1"/>
    <row r="252" spans="1:12" ht="24.75" customHeight="1"/>
  </sheetData>
  <mergeCells count="822">
    <mergeCell ref="B191:F191"/>
    <mergeCell ref="I191:J191"/>
    <mergeCell ref="K191:L191"/>
    <mergeCell ref="B220:F220"/>
    <mergeCell ref="I220:J220"/>
    <mergeCell ref="K220:L220"/>
    <mergeCell ref="K99:L99"/>
    <mergeCell ref="B219:F219"/>
    <mergeCell ref="I219:J219"/>
    <mergeCell ref="K219:L219"/>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37:L37"/>
    <mergeCell ref="A97:A99"/>
    <mergeCell ref="B97:B99"/>
    <mergeCell ref="D97:D99"/>
    <mergeCell ref="E97:J97"/>
    <mergeCell ref="K97:L98"/>
    <mergeCell ref="E98:E99"/>
    <mergeCell ref="F98:G98"/>
    <mergeCell ref="I98:J98"/>
    <mergeCell ref="F99:G99"/>
    <mergeCell ref="I99:J99"/>
    <mergeCell ref="A95:A96"/>
    <mergeCell ref="B95:B96"/>
    <mergeCell ref="D95:D96"/>
    <mergeCell ref="E95:G95"/>
    <mergeCell ref="I95:K95"/>
    <mergeCell ref="E96:G96"/>
    <mergeCell ref="J96:L96"/>
    <mergeCell ref="A93:A94"/>
    <mergeCell ref="B93:B94"/>
    <mergeCell ref="D93:D94"/>
    <mergeCell ref="E93:G93"/>
    <mergeCell ref="I93:K93"/>
    <mergeCell ref="E94:G94"/>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2:F242"/>
    <mergeCell ref="I242:J242"/>
    <mergeCell ref="K242:L242"/>
    <mergeCell ref="B240:F240"/>
    <mergeCell ref="I240:J240"/>
    <mergeCell ref="K240:L240"/>
    <mergeCell ref="B241:F241"/>
    <mergeCell ref="I241:J241"/>
    <mergeCell ref="K241:L241"/>
    <mergeCell ref="B238:F238"/>
    <mergeCell ref="I238:J238"/>
    <mergeCell ref="K238:L238"/>
    <mergeCell ref="B239:F239"/>
    <mergeCell ref="I239:J239"/>
    <mergeCell ref="K239:L239"/>
    <mergeCell ref="B236:F236"/>
    <mergeCell ref="I236:J236"/>
    <mergeCell ref="K236:L236"/>
    <mergeCell ref="B237:F237"/>
    <mergeCell ref="I237:J237"/>
    <mergeCell ref="K237:L237"/>
    <mergeCell ref="B234:F234"/>
    <mergeCell ref="I234:J234"/>
    <mergeCell ref="K234:L234"/>
    <mergeCell ref="B235:F235"/>
    <mergeCell ref="I235:J235"/>
    <mergeCell ref="K235:L235"/>
    <mergeCell ref="B232:F232"/>
    <mergeCell ref="I232:J232"/>
    <mergeCell ref="K232:L232"/>
    <mergeCell ref="B233:F233"/>
    <mergeCell ref="I233:J233"/>
    <mergeCell ref="K233:L233"/>
    <mergeCell ref="B230:F230"/>
    <mergeCell ref="I230:J230"/>
    <mergeCell ref="K230:L230"/>
    <mergeCell ref="B231:F231"/>
    <mergeCell ref="I231:J231"/>
    <mergeCell ref="K231:L231"/>
    <mergeCell ref="B228:F228"/>
    <mergeCell ref="I228:J228"/>
    <mergeCell ref="K228:L228"/>
    <mergeCell ref="B229:F229"/>
    <mergeCell ref="I229:J229"/>
    <mergeCell ref="K229:L229"/>
    <mergeCell ref="B226:F226"/>
    <mergeCell ref="I226:J226"/>
    <mergeCell ref="K226:L226"/>
    <mergeCell ref="B227:F227"/>
    <mergeCell ref="I227:J227"/>
    <mergeCell ref="K227:L227"/>
    <mergeCell ref="B224:F224"/>
    <mergeCell ref="I224:J224"/>
    <mergeCell ref="K224:L224"/>
    <mergeCell ref="B225:F225"/>
    <mergeCell ref="I225:J225"/>
    <mergeCell ref="K225:L225"/>
    <mergeCell ref="B222:F222"/>
    <mergeCell ref="I222:J222"/>
    <mergeCell ref="K222:L222"/>
    <mergeCell ref="B223:F223"/>
    <mergeCell ref="I223:J223"/>
    <mergeCell ref="K223:L223"/>
    <mergeCell ref="B221:F221"/>
    <mergeCell ref="I221:J221"/>
    <mergeCell ref="K221:L221"/>
    <mergeCell ref="B217:F217"/>
    <mergeCell ref="I217:J217"/>
    <mergeCell ref="K217:L217"/>
    <mergeCell ref="B218:F218"/>
    <mergeCell ref="I218:J218"/>
    <mergeCell ref="K218:L218"/>
    <mergeCell ref="K211:L211"/>
    <mergeCell ref="B212:F212"/>
    <mergeCell ref="I212:J212"/>
    <mergeCell ref="K212:L212"/>
    <mergeCell ref="B210:F210"/>
    <mergeCell ref="I210:J210"/>
    <mergeCell ref="K210:L210"/>
    <mergeCell ref="B208:F208"/>
    <mergeCell ref="I208:J208"/>
    <mergeCell ref="K208:L208"/>
    <mergeCell ref="B209:F209"/>
    <mergeCell ref="I209:J209"/>
    <mergeCell ref="K209:L209"/>
    <mergeCell ref="B206:F206"/>
    <mergeCell ref="I206:J206"/>
    <mergeCell ref="K206:L206"/>
    <mergeCell ref="B207:F207"/>
    <mergeCell ref="I207:J207"/>
    <mergeCell ref="K207:L207"/>
    <mergeCell ref="B204:F204"/>
    <mergeCell ref="I204:J204"/>
    <mergeCell ref="K204:L204"/>
    <mergeCell ref="B205:F205"/>
    <mergeCell ref="I205:J205"/>
    <mergeCell ref="K205:L205"/>
    <mergeCell ref="B202:F202"/>
    <mergeCell ref="I202:J202"/>
    <mergeCell ref="K202:L202"/>
    <mergeCell ref="B203:F203"/>
    <mergeCell ref="I203:J203"/>
    <mergeCell ref="K203:L203"/>
    <mergeCell ref="B200:F200"/>
    <mergeCell ref="I200:J200"/>
    <mergeCell ref="K200:L200"/>
    <mergeCell ref="B201:F201"/>
    <mergeCell ref="I201:J201"/>
    <mergeCell ref="K201:L201"/>
    <mergeCell ref="B198:F198"/>
    <mergeCell ref="I198:J198"/>
    <mergeCell ref="K198:L198"/>
    <mergeCell ref="B199:F199"/>
    <mergeCell ref="I199:J199"/>
    <mergeCell ref="K199:L199"/>
    <mergeCell ref="B196:F196"/>
    <mergeCell ref="I196:J196"/>
    <mergeCell ref="K196:L196"/>
    <mergeCell ref="B197:F197"/>
    <mergeCell ref="I197:J197"/>
    <mergeCell ref="K197:L197"/>
    <mergeCell ref="B194:F194"/>
    <mergeCell ref="I194:J194"/>
    <mergeCell ref="K194:L194"/>
    <mergeCell ref="B195:F195"/>
    <mergeCell ref="I195:J195"/>
    <mergeCell ref="K195:L195"/>
    <mergeCell ref="B192:F192"/>
    <mergeCell ref="I192:J192"/>
    <mergeCell ref="K192:L192"/>
    <mergeCell ref="B193:F193"/>
    <mergeCell ref="I193:J193"/>
    <mergeCell ref="K193:L193"/>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7:A158"/>
    <mergeCell ref="B157:B158"/>
    <mergeCell ref="D157:D158"/>
    <mergeCell ref="E157:G157"/>
    <mergeCell ref="I157:K157"/>
    <mergeCell ref="E158:G158"/>
    <mergeCell ref="J158:L158"/>
    <mergeCell ref="A159:A161"/>
    <mergeCell ref="B159:B161"/>
    <mergeCell ref="D159:D161"/>
    <mergeCell ref="E159:J159"/>
    <mergeCell ref="K159:L160"/>
    <mergeCell ref="E160:E161"/>
    <mergeCell ref="F160:G160"/>
    <mergeCell ref="I160:J160"/>
    <mergeCell ref="F161:G161"/>
    <mergeCell ref="I161:J161"/>
    <mergeCell ref="K161:L161"/>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K130:L130"/>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29"/>
    <mergeCell ref="F130:G130"/>
    <mergeCell ref="I130:J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4:A65"/>
    <mergeCell ref="B64:B65"/>
    <mergeCell ref="D64:D65"/>
    <mergeCell ref="E64:G64"/>
    <mergeCell ref="I64:K64"/>
    <mergeCell ref="E65:G65"/>
    <mergeCell ref="J65:L65"/>
    <mergeCell ref="F68:G68"/>
    <mergeCell ref="I68:J68"/>
    <mergeCell ref="A66:A68"/>
    <mergeCell ref="B66:B68"/>
    <mergeCell ref="D66:D68"/>
    <mergeCell ref="E66:J66"/>
    <mergeCell ref="K66:L67"/>
    <mergeCell ref="E67:E68"/>
    <mergeCell ref="F67:G67"/>
    <mergeCell ref="I67:J67"/>
    <mergeCell ref="K68:L68"/>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3:A34"/>
    <mergeCell ref="B33:B34"/>
    <mergeCell ref="D33:D34"/>
    <mergeCell ref="E33:G33"/>
    <mergeCell ref="I33:K33"/>
    <mergeCell ref="E34:G34"/>
    <mergeCell ref="J34:L34"/>
    <mergeCell ref="A35:A37"/>
    <mergeCell ref="B35:B37"/>
    <mergeCell ref="D35:D37"/>
    <mergeCell ref="E35:J35"/>
    <mergeCell ref="K35:L36"/>
    <mergeCell ref="E36:E37"/>
    <mergeCell ref="F36:G36"/>
    <mergeCell ref="I36:J36"/>
    <mergeCell ref="F37:G37"/>
    <mergeCell ref="I37:J37"/>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K6:L6"/>
    <mergeCell ref="A7:A8"/>
    <mergeCell ref="B7:B8"/>
    <mergeCell ref="D7:D8"/>
    <mergeCell ref="E7:G7"/>
    <mergeCell ref="I7:K7"/>
    <mergeCell ref="E8:G8"/>
    <mergeCell ref="J8:L8"/>
    <mergeCell ref="A4:A6"/>
    <mergeCell ref="B4:B6"/>
    <mergeCell ref="D4:D6"/>
    <mergeCell ref="E4:J4"/>
    <mergeCell ref="K4:L5"/>
    <mergeCell ref="E5:E6"/>
    <mergeCell ref="F5:G5"/>
    <mergeCell ref="I5:J5"/>
    <mergeCell ref="F6:G6"/>
    <mergeCell ref="I6:J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4.5" outlineLevelCol="1"/>
  <cols>
    <col min="1" max="1" width="29.453125" customWidth="1"/>
    <col min="2" max="9" width="12.54296875" customWidth="1"/>
    <col min="10" max="10" width="9.1796875" style="340"/>
    <col min="11" max="11" width="9.1796875" style="606" customWidth="1" outlineLevel="1"/>
    <col min="12" max="17" width="9.1796875" style="607" customWidth="1" outlineLevel="1"/>
    <col min="18" max="18" width="18.26953125" style="619" customWidth="1"/>
    <col min="19" max="19" width="9.1796875" style="635"/>
    <col min="20" max="20" width="9.1796875" style="607" customWidth="1" outlineLevel="1"/>
    <col min="21" max="26" width="9.1796875" style="18" customWidth="1" outlineLevel="1"/>
    <col min="27" max="27" width="26.81640625" style="619" customWidth="1"/>
    <col min="28" max="28" width="9.1796875" style="619"/>
    <col min="29" max="29" width="9.1796875" style="606" customWidth="1" outlineLevel="1"/>
    <col min="30" max="35" width="9.1796875" style="18" customWidth="1" outlineLevel="1"/>
    <col min="36" max="36" width="26.7265625" style="619" customWidth="1"/>
  </cols>
  <sheetData>
    <row r="1" spans="1:36">
      <c r="A1" s="1" t="s">
        <v>19</v>
      </c>
      <c r="K1" s="1589" t="s">
        <v>1056</v>
      </c>
      <c r="L1" s="1590"/>
      <c r="M1" s="1590"/>
      <c r="N1" s="1590"/>
      <c r="O1" s="1590"/>
      <c r="P1" s="1590"/>
      <c r="Q1" s="1590"/>
      <c r="R1" s="1591"/>
      <c r="T1" s="1589" t="s">
        <v>1057</v>
      </c>
      <c r="U1" s="1590"/>
      <c r="V1" s="1590"/>
      <c r="W1" s="1590"/>
      <c r="X1" s="1590"/>
      <c r="Y1" s="1590"/>
      <c r="Z1" s="1590"/>
      <c r="AA1" s="1591"/>
      <c r="AC1" s="1589" t="s">
        <v>1058</v>
      </c>
      <c r="AD1" s="1590"/>
      <c r="AE1" s="1590"/>
      <c r="AF1" s="1590"/>
      <c r="AG1" s="1590"/>
      <c r="AH1" s="1590"/>
      <c r="AI1" s="1590"/>
      <c r="AJ1" s="1591"/>
    </row>
    <row r="2" spans="1:36" ht="15" thickBot="1">
      <c r="A2" s="2" t="s">
        <v>8</v>
      </c>
    </row>
    <row r="3" spans="1:36" ht="15" customHeight="1" thickTop="1" thickBot="1">
      <c r="A3" s="1585" t="s">
        <v>20</v>
      </c>
      <c r="B3" s="1587" t="s">
        <v>2</v>
      </c>
      <c r="C3" s="1593"/>
      <c r="D3" s="1593"/>
      <c r="E3" s="1593"/>
      <c r="F3" s="1593"/>
      <c r="G3" s="1593"/>
      <c r="H3" s="1593"/>
      <c r="I3" s="1588"/>
    </row>
    <row r="4" spans="1:36" ht="35.25" customHeight="1" thickTop="1" thickBot="1">
      <c r="A4" s="1592"/>
      <c r="B4" s="40" t="s">
        <v>441</v>
      </c>
      <c r="C4" s="11" t="s">
        <v>21</v>
      </c>
      <c r="D4" s="11" t="s">
        <v>442</v>
      </c>
      <c r="E4" s="10" t="s">
        <v>22</v>
      </c>
      <c r="F4" s="40" t="s">
        <v>23</v>
      </c>
      <c r="G4" s="11" t="s">
        <v>443</v>
      </c>
      <c r="H4" s="11" t="s">
        <v>24</v>
      </c>
      <c r="I4" s="11" t="s">
        <v>14</v>
      </c>
      <c r="J4" s="385"/>
      <c r="K4" s="59" t="s">
        <v>441</v>
      </c>
      <c r="L4" s="763" t="s">
        <v>21</v>
      </c>
      <c r="M4" s="763" t="s">
        <v>442</v>
      </c>
      <c r="N4" s="59" t="s">
        <v>22</v>
      </c>
      <c r="O4" s="763" t="s">
        <v>23</v>
      </c>
      <c r="P4" s="763" t="s">
        <v>443</v>
      </c>
      <c r="Q4" s="763" t="s">
        <v>24</v>
      </c>
      <c r="R4" s="763" t="s">
        <v>14</v>
      </c>
      <c r="S4" s="607"/>
      <c r="T4" s="59" t="s">
        <v>441</v>
      </c>
      <c r="U4" s="763" t="s">
        <v>21</v>
      </c>
      <c r="V4" s="763" t="s">
        <v>442</v>
      </c>
      <c r="W4" s="59" t="s">
        <v>22</v>
      </c>
      <c r="X4" s="763" t="s">
        <v>23</v>
      </c>
      <c r="Y4" s="763" t="s">
        <v>443</v>
      </c>
      <c r="Z4" s="763" t="s">
        <v>24</v>
      </c>
      <c r="AA4" s="763" t="s">
        <v>14</v>
      </c>
      <c r="AB4" s="607"/>
      <c r="AC4" s="59" t="s">
        <v>441</v>
      </c>
      <c r="AD4" s="763" t="s">
        <v>21</v>
      </c>
      <c r="AE4" s="763" t="s">
        <v>442</v>
      </c>
      <c r="AF4" s="59" t="s">
        <v>22</v>
      </c>
      <c r="AG4" s="763" t="s">
        <v>23</v>
      </c>
      <c r="AH4" s="763" t="s">
        <v>443</v>
      </c>
      <c r="AI4" s="763" t="s">
        <v>24</v>
      </c>
      <c r="AJ4" s="763" t="s">
        <v>14</v>
      </c>
    </row>
    <row r="5" spans="1:36" ht="15" customHeight="1" thickTop="1" thickBot="1">
      <c r="A5" s="41" t="s">
        <v>25</v>
      </c>
      <c r="B5" s="42"/>
      <c r="C5" s="42"/>
      <c r="D5" s="42"/>
      <c r="E5" s="42"/>
      <c r="F5" s="42"/>
      <c r="G5" s="42"/>
      <c r="H5" s="42"/>
      <c r="I5" s="43"/>
    </row>
    <row r="6" spans="1:36" ht="15" customHeight="1" thickTop="1" thickBot="1">
      <c r="A6" s="44" t="s">
        <v>26</v>
      </c>
      <c r="B6" s="22"/>
      <c r="C6" s="22"/>
      <c r="D6" s="22"/>
      <c r="E6" s="22"/>
      <c r="F6" s="45"/>
      <c r="G6" s="22"/>
      <c r="H6" s="22"/>
      <c r="I6" s="15">
        <f>SUM(B6:H6)</f>
        <v>0</v>
      </c>
      <c r="R6" s="608">
        <f>SUM(B6:H6)-I6</f>
        <v>0</v>
      </c>
      <c r="T6" s="661">
        <f>B6-B35</f>
        <v>0</v>
      </c>
      <c r="U6" s="673">
        <f t="shared" ref="U6:AA6" si="0">C6-C35</f>
        <v>0</v>
      </c>
      <c r="V6" s="673">
        <f t="shared" si="0"/>
        <v>0</v>
      </c>
      <c r="W6" s="673">
        <f t="shared" si="0"/>
        <v>0</v>
      </c>
      <c r="X6" s="673">
        <f t="shared" si="0"/>
        <v>0</v>
      </c>
      <c r="Y6" s="673">
        <f t="shared" si="0"/>
        <v>0</v>
      </c>
      <c r="Z6" s="673">
        <f t="shared" si="0"/>
        <v>0</v>
      </c>
      <c r="AA6" s="608">
        <f t="shared" si="0"/>
        <v>0</v>
      </c>
    </row>
    <row r="7" spans="1:36" ht="15" customHeight="1" thickBot="1">
      <c r="A7" s="14" t="s">
        <v>27</v>
      </c>
      <c r="B7" s="22"/>
      <c r="C7" s="22"/>
      <c r="D7" s="22"/>
      <c r="E7" s="22"/>
      <c r="F7" s="46"/>
      <c r="G7" s="22"/>
      <c r="H7" s="22"/>
      <c r="I7" s="15">
        <f>SUM(B7:H7)</f>
        <v>0</v>
      </c>
      <c r="R7" s="608">
        <f t="shared" ref="R7:R22" si="1">SUM(B7:H7)-I7</f>
        <v>0</v>
      </c>
    </row>
    <row r="8" spans="1:36" ht="15" customHeight="1" thickBot="1">
      <c r="A8" s="14" t="s">
        <v>28</v>
      </c>
      <c r="B8" s="22"/>
      <c r="C8" s="22"/>
      <c r="D8" s="22"/>
      <c r="E8" s="22"/>
      <c r="F8" s="46"/>
      <c r="G8" s="22"/>
      <c r="H8" s="22"/>
      <c r="I8" s="15">
        <f t="shared" ref="I8:I9" si="2">SUM(B8:H8)</f>
        <v>0</v>
      </c>
      <c r="R8" s="608">
        <f t="shared" si="1"/>
        <v>0</v>
      </c>
    </row>
    <row r="9" spans="1:36" ht="15" customHeight="1" thickBot="1">
      <c r="A9" s="14" t="s">
        <v>29</v>
      </c>
      <c r="B9" s="22"/>
      <c r="C9" s="22"/>
      <c r="D9" s="22"/>
      <c r="E9" s="22"/>
      <c r="F9" s="46"/>
      <c r="G9" s="22"/>
      <c r="H9" s="22"/>
      <c r="I9" s="15">
        <f t="shared" si="2"/>
        <v>0</v>
      </c>
      <c r="R9" s="608">
        <f t="shared" si="1"/>
        <v>0</v>
      </c>
    </row>
    <row r="10" spans="1:36"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17">
        <f>I6+I7-I8+I9</f>
        <v>0</v>
      </c>
      <c r="K10" s="621">
        <f>B6+B7-B8+B9-B10</f>
        <v>0</v>
      </c>
      <c r="L10" s="661">
        <f t="shared" ref="L10:R10" si="4">C6+C7-C8+C9-C10</f>
        <v>0</v>
      </c>
      <c r="M10" s="661">
        <f t="shared" si="4"/>
        <v>0</v>
      </c>
      <c r="N10" s="661">
        <f t="shared" si="4"/>
        <v>0</v>
      </c>
      <c r="O10" s="661">
        <f t="shared" si="4"/>
        <v>0</v>
      </c>
      <c r="P10" s="661">
        <f t="shared" si="4"/>
        <v>0</v>
      </c>
      <c r="Q10" s="661">
        <f t="shared" si="4"/>
        <v>0</v>
      </c>
      <c r="R10" s="661">
        <f t="shared" si="4"/>
        <v>0</v>
      </c>
      <c r="AC10" s="621">
        <f>B10-'BS old'!$D$13</f>
        <v>0</v>
      </c>
      <c r="AD10" s="673">
        <f>C10-'BS old'!$D$14</f>
        <v>0</v>
      </c>
      <c r="AE10" s="673">
        <f>D10-'BS old'!$D$15</f>
        <v>0</v>
      </c>
      <c r="AF10" s="673">
        <f>E10-'BS old'!$D$16</f>
        <v>0</v>
      </c>
      <c r="AG10" s="673">
        <f>F10-'BS old'!$D$17</f>
        <v>0</v>
      </c>
      <c r="AH10" s="673">
        <f>G10-'BS old'!$D$18</f>
        <v>0</v>
      </c>
      <c r="AI10" s="673">
        <f>H10-'BS old'!$D$19</f>
        <v>0</v>
      </c>
      <c r="AJ10" s="608">
        <f>I10-'BS old'!$D$12</f>
        <v>0</v>
      </c>
    </row>
    <row r="11" spans="1:36" ht="15" customHeight="1" thickTop="1" thickBot="1">
      <c r="A11" s="41" t="s">
        <v>31</v>
      </c>
      <c r="B11" s="42"/>
      <c r="C11" s="42"/>
      <c r="D11" s="42"/>
      <c r="E11" s="42"/>
      <c r="F11" s="42"/>
      <c r="G11" s="42"/>
      <c r="H11" s="42"/>
      <c r="I11" s="43"/>
      <c r="R11" s="608"/>
    </row>
    <row r="12" spans="1:36" ht="15" customHeight="1" thickTop="1" thickBot="1">
      <c r="A12" s="44" t="s">
        <v>32</v>
      </c>
      <c r="B12" s="22"/>
      <c r="C12" s="22"/>
      <c r="D12" s="22"/>
      <c r="E12" s="22"/>
      <c r="F12" s="22"/>
      <c r="G12" s="22"/>
      <c r="H12" s="22"/>
      <c r="I12" s="15">
        <f>SUM(B12:H12)</f>
        <v>0</v>
      </c>
      <c r="R12" s="608">
        <f t="shared" si="1"/>
        <v>0</v>
      </c>
      <c r="T12" s="661">
        <f>B12-B40</f>
        <v>0</v>
      </c>
      <c r="U12" s="673">
        <f t="shared" ref="U12:AA12" si="5">C12-C40</f>
        <v>0</v>
      </c>
      <c r="V12" s="673">
        <f t="shared" si="5"/>
        <v>0</v>
      </c>
      <c r="W12" s="673">
        <f t="shared" si="5"/>
        <v>0</v>
      </c>
      <c r="X12" s="673">
        <f t="shared" si="5"/>
        <v>0</v>
      </c>
      <c r="Y12" s="673">
        <f t="shared" si="5"/>
        <v>0</v>
      </c>
      <c r="Z12" s="673">
        <f t="shared" si="5"/>
        <v>0</v>
      </c>
      <c r="AA12" s="608">
        <f t="shared" si="5"/>
        <v>0</v>
      </c>
    </row>
    <row r="13" spans="1:36" ht="15" customHeight="1" thickBot="1">
      <c r="A13" s="14" t="s">
        <v>27</v>
      </c>
      <c r="B13" s="22"/>
      <c r="C13" s="22"/>
      <c r="D13" s="22"/>
      <c r="E13" s="22"/>
      <c r="F13" s="22"/>
      <c r="G13" s="22"/>
      <c r="H13" s="22"/>
      <c r="I13" s="15">
        <f t="shared" ref="I13:I14" si="6">SUM(B13:H13)</f>
        <v>0</v>
      </c>
      <c r="R13" s="608">
        <f t="shared" si="1"/>
        <v>0</v>
      </c>
    </row>
    <row r="14" spans="1:36" ht="15" customHeight="1" thickBot="1">
      <c r="A14" s="14" t="s">
        <v>28</v>
      </c>
      <c r="B14" s="22"/>
      <c r="C14" s="22"/>
      <c r="D14" s="22"/>
      <c r="E14" s="22"/>
      <c r="F14" s="22"/>
      <c r="G14" s="22"/>
      <c r="H14" s="22"/>
      <c r="I14" s="15">
        <f t="shared" si="6"/>
        <v>0</v>
      </c>
      <c r="R14" s="608">
        <f t="shared" si="1"/>
        <v>0</v>
      </c>
      <c r="AC14" s="674" t="s">
        <v>1059</v>
      </c>
    </row>
    <row r="15" spans="1:36" ht="15" customHeight="1" thickBot="1">
      <c r="A15" s="25" t="s">
        <v>30</v>
      </c>
      <c r="B15" s="26">
        <f>B12+B13-B14</f>
        <v>0</v>
      </c>
      <c r="C15" s="26">
        <f>C12+C13-C14</f>
        <v>0</v>
      </c>
      <c r="D15" s="26">
        <f t="shared" ref="D15:H15" si="7">D12+D13-D14</f>
        <v>0</v>
      </c>
      <c r="E15" s="26">
        <f t="shared" si="7"/>
        <v>0</v>
      </c>
      <c r="F15" s="26">
        <f t="shared" si="7"/>
        <v>0</v>
      </c>
      <c r="G15" s="26">
        <f t="shared" si="7"/>
        <v>0</v>
      </c>
      <c r="H15" s="26">
        <f t="shared" si="7"/>
        <v>0</v>
      </c>
      <c r="I15" s="17">
        <f>I12+I13-I14</f>
        <v>0</v>
      </c>
      <c r="K15" s="621">
        <f>B12+B13-B14-B15</f>
        <v>0</v>
      </c>
      <c r="L15" s="661">
        <f>C12+C13-C14-C15</f>
        <v>0</v>
      </c>
      <c r="M15" s="661">
        <f t="shared" ref="M15:R15" si="8">D12+D13-D14-D15</f>
        <v>0</v>
      </c>
      <c r="N15" s="661">
        <f t="shared" si="8"/>
        <v>0</v>
      </c>
      <c r="O15" s="661">
        <f t="shared" si="8"/>
        <v>0</v>
      </c>
      <c r="P15" s="661">
        <f t="shared" si="8"/>
        <v>0</v>
      </c>
      <c r="Q15" s="661">
        <f t="shared" si="8"/>
        <v>0</v>
      </c>
      <c r="R15" s="661">
        <f t="shared" si="8"/>
        <v>0</v>
      </c>
      <c r="AC15" s="621">
        <f>B15+B20-'BS old'!$E$13</f>
        <v>0</v>
      </c>
      <c r="AD15" s="673">
        <f>C15+C20-'BS old'!$E$14</f>
        <v>0</v>
      </c>
      <c r="AE15" s="673">
        <f>D15+D20-'BS old'!$E$15</f>
        <v>0</v>
      </c>
      <c r="AF15" s="673">
        <f>E15+E20-'BS old'!$E$16</f>
        <v>0</v>
      </c>
      <c r="AG15" s="673">
        <f>F15+F20-'BS old'!$E$17</f>
        <v>0</v>
      </c>
      <c r="AH15" s="673">
        <f>G15+G20-'BS old'!$E$18</f>
        <v>0</v>
      </c>
      <c r="AI15" s="673">
        <f>H15+H20-'BS old'!$E$19</f>
        <v>0</v>
      </c>
      <c r="AJ15" s="608">
        <f>I15+I20-'BS old'!$E$12</f>
        <v>0</v>
      </c>
    </row>
    <row r="16" spans="1:36" ht="15" customHeight="1" thickTop="1" thickBot="1">
      <c r="A16" s="41" t="s">
        <v>33</v>
      </c>
      <c r="B16" s="42"/>
      <c r="C16" s="42"/>
      <c r="D16" s="42"/>
      <c r="E16" s="42"/>
      <c r="F16" s="42"/>
      <c r="G16" s="42"/>
      <c r="H16" s="42"/>
      <c r="I16" s="43"/>
      <c r="R16" s="608"/>
    </row>
    <row r="17" spans="1:36" ht="15" customHeight="1" thickTop="1" thickBot="1">
      <c r="A17" s="44" t="s">
        <v>32</v>
      </c>
      <c r="B17" s="22"/>
      <c r="C17" s="22"/>
      <c r="D17" s="22"/>
      <c r="E17" s="22"/>
      <c r="F17" s="22"/>
      <c r="G17" s="22"/>
      <c r="H17" s="22"/>
      <c r="I17" s="15">
        <f>SUM(B17:H17)</f>
        <v>0</v>
      </c>
      <c r="R17" s="608">
        <f t="shared" si="1"/>
        <v>0</v>
      </c>
      <c r="T17" s="661">
        <f>B17-B45</f>
        <v>0</v>
      </c>
      <c r="U17" s="673">
        <f t="shared" ref="U17:AA17" si="9">C17-C45</f>
        <v>0</v>
      </c>
      <c r="V17" s="673">
        <f t="shared" si="9"/>
        <v>0</v>
      </c>
      <c r="W17" s="673">
        <f t="shared" si="9"/>
        <v>0</v>
      </c>
      <c r="X17" s="673">
        <f t="shared" si="9"/>
        <v>0</v>
      </c>
      <c r="Y17" s="673">
        <f t="shared" si="9"/>
        <v>0</v>
      </c>
      <c r="Z17" s="673">
        <f t="shared" si="9"/>
        <v>0</v>
      </c>
      <c r="AA17" s="608">
        <f t="shared" si="9"/>
        <v>0</v>
      </c>
    </row>
    <row r="18" spans="1:36" ht="15" customHeight="1" thickBot="1">
      <c r="A18" s="14" t="s">
        <v>27</v>
      </c>
      <c r="B18" s="22"/>
      <c r="C18" s="22"/>
      <c r="D18" s="22"/>
      <c r="E18" s="22"/>
      <c r="F18" s="22"/>
      <c r="G18" s="22"/>
      <c r="H18" s="22"/>
      <c r="I18" s="15">
        <f t="shared" ref="I18:I19" si="10">SUM(B18:H18)</f>
        <v>0</v>
      </c>
      <c r="R18" s="608">
        <f t="shared" si="1"/>
        <v>0</v>
      </c>
    </row>
    <row r="19" spans="1:36" ht="15" customHeight="1" thickBot="1">
      <c r="A19" s="14" t="s">
        <v>28</v>
      </c>
      <c r="B19" s="22"/>
      <c r="C19" s="22"/>
      <c r="D19" s="22"/>
      <c r="E19" s="22"/>
      <c r="F19" s="22"/>
      <c r="G19" s="22"/>
      <c r="H19" s="22"/>
      <c r="I19" s="15">
        <f t="shared" si="10"/>
        <v>0</v>
      </c>
      <c r="R19" s="608">
        <f t="shared" si="1"/>
        <v>0</v>
      </c>
    </row>
    <row r="20" spans="1:36" ht="15" customHeight="1" thickBot="1">
      <c r="A20" s="25" t="s">
        <v>30</v>
      </c>
      <c r="B20" s="26">
        <f>B17+B18-B19</f>
        <v>0</v>
      </c>
      <c r="C20" s="26">
        <f>C17+C18-C19</f>
        <v>0</v>
      </c>
      <c r="D20" s="26">
        <f t="shared" ref="D20" si="11">D17+D18-D19</f>
        <v>0</v>
      </c>
      <c r="E20" s="26">
        <f t="shared" ref="E20" si="12">E17+E18-E19</f>
        <v>0</v>
      </c>
      <c r="F20" s="26">
        <f t="shared" ref="F20" si="13">F17+F18-F19</f>
        <v>0</v>
      </c>
      <c r="G20" s="26">
        <f t="shared" ref="G20" si="14">G17+G18-G19</f>
        <v>0</v>
      </c>
      <c r="H20" s="26">
        <f t="shared" ref="H20" si="15">H17+H18-H19</f>
        <v>0</v>
      </c>
      <c r="I20" s="17">
        <f>I17+I18-I19</f>
        <v>0</v>
      </c>
      <c r="K20" s="621">
        <f>B17+B18-B19-B20</f>
        <v>0</v>
      </c>
      <c r="L20" s="661">
        <f>C17+C18-C19-C20</f>
        <v>0</v>
      </c>
      <c r="M20" s="661">
        <f t="shared" ref="M20:R20" si="16">D17+D18-D19-D20</f>
        <v>0</v>
      </c>
      <c r="N20" s="661">
        <f t="shared" si="16"/>
        <v>0</v>
      </c>
      <c r="O20" s="661">
        <f t="shared" si="16"/>
        <v>0</v>
      </c>
      <c r="P20" s="661">
        <f t="shared" si="16"/>
        <v>0</v>
      </c>
      <c r="Q20" s="661">
        <f t="shared" si="16"/>
        <v>0</v>
      </c>
      <c r="R20" s="661">
        <f t="shared" si="16"/>
        <v>0</v>
      </c>
    </row>
    <row r="21" spans="1:36" ht="15" customHeight="1" thickTop="1" thickBot="1">
      <c r="A21" s="41" t="s">
        <v>34</v>
      </c>
      <c r="B21" s="42"/>
      <c r="C21" s="42"/>
      <c r="D21" s="42"/>
      <c r="E21" s="42"/>
      <c r="F21" s="42"/>
      <c r="G21" s="42"/>
      <c r="H21" s="42"/>
      <c r="I21" s="43"/>
      <c r="R21" s="608"/>
    </row>
    <row r="22" spans="1:36" ht="15" customHeight="1" thickTop="1" thickBot="1">
      <c r="A22" s="44" t="s">
        <v>32</v>
      </c>
      <c r="B22" s="22">
        <f>B6-B12-B17</f>
        <v>0</v>
      </c>
      <c r="C22" s="22">
        <f t="shared" ref="C22:I22" si="17">C6-C12-C17</f>
        <v>0</v>
      </c>
      <c r="D22" s="22">
        <f t="shared" si="17"/>
        <v>0</v>
      </c>
      <c r="E22" s="22">
        <f t="shared" si="17"/>
        <v>0</v>
      </c>
      <c r="F22" s="22">
        <f t="shared" si="17"/>
        <v>0</v>
      </c>
      <c r="G22" s="22">
        <f t="shared" si="17"/>
        <v>0</v>
      </c>
      <c r="H22" s="22">
        <f t="shared" si="17"/>
        <v>0</v>
      </c>
      <c r="I22" s="15">
        <f t="shared" si="17"/>
        <v>0</v>
      </c>
      <c r="K22" s="621">
        <f>B6-B12-B17-B22</f>
        <v>0</v>
      </c>
      <c r="L22" s="661">
        <f t="shared" ref="L22:N22" si="18">C6-C12-C17-C22</f>
        <v>0</v>
      </c>
      <c r="M22" s="661">
        <f t="shared" si="18"/>
        <v>0</v>
      </c>
      <c r="N22" s="661">
        <f t="shared" si="18"/>
        <v>0</v>
      </c>
      <c r="O22" s="661">
        <f>F6-F12-F17-F22</f>
        <v>0</v>
      </c>
      <c r="P22" s="661">
        <f t="shared" ref="P22:Q22" si="19">G6-G12-G17-G22</f>
        <v>0</v>
      </c>
      <c r="Q22" s="661">
        <f t="shared" si="19"/>
        <v>0</v>
      </c>
      <c r="R22" s="608">
        <f t="shared" si="1"/>
        <v>0</v>
      </c>
      <c r="T22" s="661">
        <f>B22-B48</f>
        <v>0</v>
      </c>
      <c r="U22" s="673">
        <f t="shared" ref="U22:AA22" si="20">C22-C48</f>
        <v>0</v>
      </c>
      <c r="V22" s="673">
        <f t="shared" si="20"/>
        <v>0</v>
      </c>
      <c r="W22" s="673">
        <f t="shared" si="20"/>
        <v>0</v>
      </c>
      <c r="X22" s="673">
        <f t="shared" si="20"/>
        <v>0</v>
      </c>
      <c r="Y22" s="673">
        <f t="shared" si="20"/>
        <v>0</v>
      </c>
      <c r="Z22" s="673">
        <f t="shared" si="20"/>
        <v>0</v>
      </c>
      <c r="AA22" s="608">
        <f t="shared" si="20"/>
        <v>0</v>
      </c>
    </row>
    <row r="23" spans="1:36" ht="15" customHeight="1" thickBot="1">
      <c r="A23" s="25" t="s">
        <v>30</v>
      </c>
      <c r="B23" s="26">
        <f>B10-B15-B20</f>
        <v>0</v>
      </c>
      <c r="C23" s="26">
        <f t="shared" ref="C23:I23" si="21">C10-C15-C20</f>
        <v>0</v>
      </c>
      <c r="D23" s="26">
        <f t="shared" si="21"/>
        <v>0</v>
      </c>
      <c r="E23" s="26">
        <f t="shared" si="21"/>
        <v>0</v>
      </c>
      <c r="F23" s="26">
        <f t="shared" si="21"/>
        <v>0</v>
      </c>
      <c r="G23" s="26">
        <f t="shared" si="21"/>
        <v>0</v>
      </c>
      <c r="H23" s="26">
        <f t="shared" si="21"/>
        <v>0</v>
      </c>
      <c r="I23" s="17">
        <f t="shared" si="21"/>
        <v>0</v>
      </c>
      <c r="K23" s="621">
        <f>B10-B15-B20-B23</f>
        <v>0</v>
      </c>
      <c r="L23" s="661">
        <f t="shared" ref="L23:N23" si="22">C10-C15-C20-C23</f>
        <v>0</v>
      </c>
      <c r="M23" s="661">
        <f t="shared" si="22"/>
        <v>0</v>
      </c>
      <c r="N23" s="661">
        <f t="shared" si="22"/>
        <v>0</v>
      </c>
      <c r="O23" s="661">
        <f>F10-F15-F20-F23</f>
        <v>0</v>
      </c>
      <c r="P23" s="661">
        <f t="shared" ref="P23:Q23" si="23">G10-G15-G20-G23</f>
        <v>0</v>
      </c>
      <c r="Q23" s="661">
        <f t="shared" si="23"/>
        <v>0</v>
      </c>
      <c r="R23" s="608">
        <f>SUM(B23:H23)-I23</f>
        <v>0</v>
      </c>
      <c r="AC23" s="621">
        <f>B23-'BS old'!$F$13</f>
        <v>0</v>
      </c>
      <c r="AD23" s="673">
        <f>C23-'BS old'!$F$14</f>
        <v>0</v>
      </c>
      <c r="AE23" s="673">
        <f>D23-'BS old'!$F$15</f>
        <v>0</v>
      </c>
      <c r="AF23" s="673">
        <f>E23-'BS old'!$F$16</f>
        <v>0</v>
      </c>
      <c r="AG23" s="673">
        <f>F23-'BS old'!$F$17</f>
        <v>0</v>
      </c>
      <c r="AH23" s="673">
        <f>G23-'BS old'!$F$18</f>
        <v>0</v>
      </c>
      <c r="AI23" s="673">
        <f>H23-'BS old'!$F$19</f>
        <v>0</v>
      </c>
      <c r="AJ23" s="608">
        <f>I23-'BS old'!$F$12</f>
        <v>0</v>
      </c>
    </row>
    <row r="24" spans="1:36" ht="15" thickTop="1">
      <c r="A24" s="48"/>
      <c r="B24" s="48"/>
      <c r="C24" s="48"/>
      <c r="D24" s="48"/>
      <c r="E24" s="48"/>
      <c r="F24" s="48"/>
      <c r="G24" s="48"/>
      <c r="H24" s="48"/>
      <c r="I24" s="48"/>
    </row>
    <row r="25" spans="1:36">
      <c r="A25" s="49"/>
      <c r="B25" s="20"/>
      <c r="C25" s="20"/>
      <c r="D25" s="20"/>
      <c r="E25" s="20"/>
      <c r="F25" s="20"/>
      <c r="G25" s="20"/>
      <c r="H25" s="20"/>
      <c r="I25" s="20"/>
    </row>
    <row r="26" spans="1:36">
      <c r="A26" s="49" t="s">
        <v>15</v>
      </c>
      <c r="B26" s="20"/>
      <c r="C26" s="20"/>
      <c r="D26" s="20"/>
      <c r="E26" s="20"/>
      <c r="F26" s="20"/>
      <c r="G26" s="20"/>
      <c r="H26" s="20"/>
      <c r="I26" s="20"/>
    </row>
    <row r="27" spans="1:36" ht="15" thickBot="1">
      <c r="A27" s="48"/>
      <c r="B27" s="48"/>
      <c r="C27" s="48"/>
      <c r="D27" s="48"/>
      <c r="E27" s="48"/>
      <c r="F27" s="48"/>
      <c r="G27" s="48"/>
      <c r="H27" s="48"/>
      <c r="I27" s="20"/>
    </row>
    <row r="28" spans="1:36" ht="15" customHeight="1" thickTop="1" thickBot="1">
      <c r="A28" s="1585" t="s">
        <v>20</v>
      </c>
      <c r="B28" s="1587" t="s">
        <v>3</v>
      </c>
      <c r="C28" s="1593"/>
      <c r="D28" s="1593"/>
      <c r="E28" s="1593"/>
      <c r="F28" s="1593"/>
      <c r="G28" s="1593"/>
      <c r="H28" s="1593"/>
      <c r="I28" s="1588"/>
    </row>
    <row r="29" spans="1:36" ht="32.5" thickTop="1" thickBot="1">
      <c r="A29" s="1592"/>
      <c r="B29" s="40" t="s">
        <v>441</v>
      </c>
      <c r="C29" s="11" t="s">
        <v>21</v>
      </c>
      <c r="D29" s="11" t="s">
        <v>442</v>
      </c>
      <c r="E29" s="10" t="s">
        <v>22</v>
      </c>
      <c r="F29" s="40" t="s">
        <v>23</v>
      </c>
      <c r="G29" s="11" t="s">
        <v>443</v>
      </c>
      <c r="H29" s="11" t="s">
        <v>24</v>
      </c>
      <c r="I29" s="11" t="s">
        <v>14</v>
      </c>
    </row>
    <row r="30" spans="1:36" ht="15" customHeight="1" thickTop="1" thickBot="1">
      <c r="A30" s="41" t="s">
        <v>25</v>
      </c>
      <c r="B30" s="42"/>
      <c r="C30" s="42"/>
      <c r="D30" s="42"/>
      <c r="E30" s="42"/>
      <c r="F30" s="42"/>
      <c r="G30" s="42"/>
      <c r="H30" s="42"/>
      <c r="I30" s="43"/>
    </row>
    <row r="31" spans="1:36" ht="15" customHeight="1" thickTop="1" thickBot="1">
      <c r="A31" s="44" t="s">
        <v>26</v>
      </c>
      <c r="B31" s="22"/>
      <c r="C31" s="22"/>
      <c r="D31" s="22"/>
      <c r="E31" s="22"/>
      <c r="F31" s="45"/>
      <c r="G31" s="22"/>
      <c r="H31" s="22"/>
      <c r="I31" s="15">
        <f>SUM(B31:H31)</f>
        <v>0</v>
      </c>
      <c r="R31" s="608">
        <f>SUM(B31:H31)-I31</f>
        <v>0</v>
      </c>
    </row>
    <row r="32" spans="1:36" ht="15" customHeight="1" thickBot="1">
      <c r="A32" s="14" t="s">
        <v>27</v>
      </c>
      <c r="B32" s="22"/>
      <c r="C32" s="22"/>
      <c r="D32" s="22"/>
      <c r="E32" s="22"/>
      <c r="F32" s="46"/>
      <c r="G32" s="22"/>
      <c r="H32" s="22"/>
      <c r="I32" s="15">
        <f t="shared" ref="I32:I34" si="24">SUM(B32:H32)</f>
        <v>0</v>
      </c>
      <c r="R32" s="608">
        <f t="shared" ref="R32:R34" si="25">SUM(B32:H32)-I32</f>
        <v>0</v>
      </c>
    </row>
    <row r="33" spans="1:37" ht="15" customHeight="1" thickBot="1">
      <c r="A33" s="14" t="s">
        <v>28</v>
      </c>
      <c r="B33" s="22"/>
      <c r="C33" s="22"/>
      <c r="D33" s="22"/>
      <c r="E33" s="22"/>
      <c r="F33" s="46"/>
      <c r="G33" s="22"/>
      <c r="H33" s="22"/>
      <c r="I33" s="15">
        <f t="shared" si="24"/>
        <v>0</v>
      </c>
      <c r="R33" s="608">
        <f t="shared" si="25"/>
        <v>0</v>
      </c>
    </row>
    <row r="34" spans="1:37" ht="15" customHeight="1" thickBot="1">
      <c r="A34" s="14" t="s">
        <v>29</v>
      </c>
      <c r="B34" s="22"/>
      <c r="C34" s="22"/>
      <c r="D34" s="22"/>
      <c r="E34" s="22"/>
      <c r="F34" s="46"/>
      <c r="G34" s="22"/>
      <c r="H34" s="22"/>
      <c r="I34" s="15">
        <f t="shared" si="24"/>
        <v>0</v>
      </c>
      <c r="R34" s="608">
        <f t="shared" si="25"/>
        <v>0</v>
      </c>
    </row>
    <row r="35" spans="1:37" ht="15" customHeight="1" thickBot="1">
      <c r="A35" s="25" t="s">
        <v>30</v>
      </c>
      <c r="B35" s="26">
        <f>B31+B32-B33+B34</f>
        <v>0</v>
      </c>
      <c r="C35" s="26">
        <f>C31+C32-C33+C34</f>
        <v>0</v>
      </c>
      <c r="D35" s="26">
        <f>D31+D32-D33+D34</f>
        <v>0</v>
      </c>
      <c r="E35" s="26">
        <f t="shared" ref="E35:H35" si="26">E31+E32-E33+E34</f>
        <v>0</v>
      </c>
      <c r="F35" s="26">
        <f t="shared" si="26"/>
        <v>0</v>
      </c>
      <c r="G35" s="26">
        <f t="shared" si="26"/>
        <v>0</v>
      </c>
      <c r="H35" s="26">
        <f t="shared" si="26"/>
        <v>0</v>
      </c>
      <c r="I35" s="17">
        <f>I31+I32-I33+I34</f>
        <v>0</v>
      </c>
      <c r="K35" s="621">
        <f>B31+B32-B33+B34-B35</f>
        <v>0</v>
      </c>
      <c r="L35" s="661">
        <f t="shared" ref="L35:R35" si="27">C31+C32-C33+C34-C35</f>
        <v>0</v>
      </c>
      <c r="M35" s="661">
        <f t="shared" si="27"/>
        <v>0</v>
      </c>
      <c r="N35" s="661">
        <f t="shared" si="27"/>
        <v>0</v>
      </c>
      <c r="O35" s="661">
        <f t="shared" si="27"/>
        <v>0</v>
      </c>
      <c r="P35" s="661">
        <f t="shared" si="27"/>
        <v>0</v>
      </c>
      <c r="Q35" s="661">
        <f t="shared" si="27"/>
        <v>0</v>
      </c>
      <c r="R35" s="661">
        <f t="shared" si="27"/>
        <v>0</v>
      </c>
    </row>
    <row r="36" spans="1:37" ht="15" customHeight="1" thickTop="1" thickBot="1">
      <c r="A36" s="41" t="s">
        <v>31</v>
      </c>
      <c r="B36" s="42"/>
      <c r="C36" s="42"/>
      <c r="D36" s="42"/>
      <c r="E36" s="42"/>
      <c r="F36" s="42"/>
      <c r="G36" s="42"/>
      <c r="H36" s="42"/>
      <c r="I36" s="43"/>
      <c r="R36" s="608"/>
    </row>
    <row r="37" spans="1:37" ht="15" customHeight="1" thickTop="1" thickBot="1">
      <c r="A37" s="44" t="s">
        <v>32</v>
      </c>
      <c r="B37" s="22"/>
      <c r="C37" s="22"/>
      <c r="D37" s="22"/>
      <c r="E37" s="22"/>
      <c r="F37" s="22"/>
      <c r="G37" s="22"/>
      <c r="H37" s="22"/>
      <c r="I37" s="15">
        <f>SUM(B37:H37)</f>
        <v>0</v>
      </c>
      <c r="R37" s="608">
        <f t="shared" ref="R37:R39" si="28">SUM(B37:H37)-I37</f>
        <v>0</v>
      </c>
    </row>
    <row r="38" spans="1:37" ht="15" customHeight="1" thickBot="1">
      <c r="A38" s="14" t="s">
        <v>27</v>
      </c>
      <c r="B38" s="22"/>
      <c r="C38" s="22"/>
      <c r="D38" s="22"/>
      <c r="E38" s="22"/>
      <c r="F38" s="22"/>
      <c r="G38" s="22"/>
      <c r="H38" s="22"/>
      <c r="I38" s="15">
        <f t="shared" ref="I38:I39" si="29">SUM(B38:H38)</f>
        <v>0</v>
      </c>
      <c r="R38" s="608">
        <f t="shared" si="28"/>
        <v>0</v>
      </c>
    </row>
    <row r="39" spans="1:37" ht="15" customHeight="1" thickBot="1">
      <c r="A39" s="14" t="s">
        <v>28</v>
      </c>
      <c r="B39" s="22"/>
      <c r="C39" s="22"/>
      <c r="D39" s="22"/>
      <c r="E39" s="22"/>
      <c r="F39" s="22"/>
      <c r="G39" s="22"/>
      <c r="H39" s="22"/>
      <c r="I39" s="15">
        <f t="shared" si="29"/>
        <v>0</v>
      </c>
      <c r="R39" s="608">
        <f t="shared" si="28"/>
        <v>0</v>
      </c>
    </row>
    <row r="40" spans="1:37" ht="15" customHeight="1" thickBot="1">
      <c r="A40" s="25" t="s">
        <v>30</v>
      </c>
      <c r="B40" s="26">
        <f>B37+B38-B39</f>
        <v>0</v>
      </c>
      <c r="C40" s="26">
        <f>C37+C38-C39</f>
        <v>0</v>
      </c>
      <c r="D40" s="26">
        <f t="shared" ref="D40:H40" si="30">D37+D38-D39</f>
        <v>0</v>
      </c>
      <c r="E40" s="26">
        <f t="shared" si="30"/>
        <v>0</v>
      </c>
      <c r="F40" s="26">
        <f t="shared" si="30"/>
        <v>0</v>
      </c>
      <c r="G40" s="26">
        <f t="shared" si="30"/>
        <v>0</v>
      </c>
      <c r="H40" s="26">
        <f t="shared" si="30"/>
        <v>0</v>
      </c>
      <c r="I40" s="17">
        <f>I37+I38-I39</f>
        <v>0</v>
      </c>
      <c r="K40" s="621">
        <f>B37+B38-B39-B40</f>
        <v>0</v>
      </c>
      <c r="L40" s="661">
        <f>C37+C38-C39-C40</f>
        <v>0</v>
      </c>
      <c r="M40" s="661">
        <f t="shared" ref="M40:R40" si="31">D37+D38-D39-D40</f>
        <v>0</v>
      </c>
      <c r="N40" s="661">
        <f t="shared" si="31"/>
        <v>0</v>
      </c>
      <c r="O40" s="661">
        <f t="shared" si="31"/>
        <v>0</v>
      </c>
      <c r="P40" s="661">
        <f t="shared" si="31"/>
        <v>0</v>
      </c>
      <c r="Q40" s="661">
        <f t="shared" si="31"/>
        <v>0</v>
      </c>
      <c r="R40" s="661">
        <f t="shared" si="31"/>
        <v>0</v>
      </c>
    </row>
    <row r="41" spans="1:37" ht="15" customHeight="1" thickTop="1" thickBot="1">
      <c r="A41" s="41" t="s">
        <v>33</v>
      </c>
      <c r="B41" s="42"/>
      <c r="C41" s="42"/>
      <c r="D41" s="42"/>
      <c r="E41" s="42"/>
      <c r="F41" s="42"/>
      <c r="G41" s="42"/>
      <c r="H41" s="42"/>
      <c r="I41" s="43"/>
      <c r="R41" s="608"/>
    </row>
    <row r="42" spans="1:37" ht="15" customHeight="1" thickTop="1" thickBot="1">
      <c r="A42" s="44" t="s">
        <v>32</v>
      </c>
      <c r="B42" s="22"/>
      <c r="C42" s="22"/>
      <c r="D42" s="22"/>
      <c r="E42" s="22"/>
      <c r="F42" s="22"/>
      <c r="G42" s="22"/>
      <c r="H42" s="22"/>
      <c r="I42" s="15">
        <f>SUM(B42:H42)</f>
        <v>0</v>
      </c>
      <c r="R42" s="608">
        <f t="shared" ref="R42:R44" si="32">SUM(B42:H42)-I42</f>
        <v>0</v>
      </c>
    </row>
    <row r="43" spans="1:37" ht="15" customHeight="1" thickBot="1">
      <c r="A43" s="14" t="s">
        <v>27</v>
      </c>
      <c r="B43" s="22"/>
      <c r="C43" s="22"/>
      <c r="D43" s="22"/>
      <c r="E43" s="22"/>
      <c r="F43" s="22"/>
      <c r="G43" s="22"/>
      <c r="H43" s="22"/>
      <c r="I43" s="15">
        <f t="shared" ref="I43:I44" si="33">SUM(B43:H43)</f>
        <v>0</v>
      </c>
      <c r="R43" s="608">
        <f t="shared" si="32"/>
        <v>0</v>
      </c>
    </row>
    <row r="44" spans="1:37" ht="15" customHeight="1" thickBot="1">
      <c r="A44" s="14" t="s">
        <v>28</v>
      </c>
      <c r="B44" s="22"/>
      <c r="C44" s="22"/>
      <c r="D44" s="22"/>
      <c r="E44" s="22"/>
      <c r="F44" s="22"/>
      <c r="G44" s="22"/>
      <c r="H44" s="22"/>
      <c r="I44" s="15">
        <f t="shared" si="33"/>
        <v>0</v>
      </c>
      <c r="R44" s="608">
        <f t="shared" si="32"/>
        <v>0</v>
      </c>
    </row>
    <row r="45" spans="1:37" ht="15" customHeight="1" thickBot="1">
      <c r="A45" s="25" t="s">
        <v>30</v>
      </c>
      <c r="B45" s="26">
        <f>B42+B43-B44</f>
        <v>0</v>
      </c>
      <c r="C45" s="26">
        <f>C42+C43-C44</f>
        <v>0</v>
      </c>
      <c r="D45" s="26">
        <f t="shared" ref="D45:H45" si="34">D42+D43-D44</f>
        <v>0</v>
      </c>
      <c r="E45" s="26">
        <f t="shared" si="34"/>
        <v>0</v>
      </c>
      <c r="F45" s="26">
        <f t="shared" si="34"/>
        <v>0</v>
      </c>
      <c r="G45" s="26">
        <f t="shared" si="34"/>
        <v>0</v>
      </c>
      <c r="H45" s="26">
        <f t="shared" si="34"/>
        <v>0</v>
      </c>
      <c r="I45" s="17">
        <f>I42+I43-I44</f>
        <v>0</v>
      </c>
      <c r="K45" s="621">
        <f>B42+B43-B44-B45</f>
        <v>0</v>
      </c>
      <c r="L45" s="661">
        <f>C42+C43-C44-C45</f>
        <v>0</v>
      </c>
      <c r="M45" s="661">
        <f t="shared" ref="M45:R45" si="35">D42+D43-D44-D45</f>
        <v>0</v>
      </c>
      <c r="N45" s="661">
        <f t="shared" si="35"/>
        <v>0</v>
      </c>
      <c r="O45" s="661">
        <f t="shared" si="35"/>
        <v>0</v>
      </c>
      <c r="P45" s="661">
        <f t="shared" si="35"/>
        <v>0</v>
      </c>
      <c r="Q45" s="661">
        <f t="shared" si="35"/>
        <v>0</v>
      </c>
      <c r="R45" s="661">
        <f t="shared" si="35"/>
        <v>0</v>
      </c>
    </row>
    <row r="46" spans="1:37" ht="15" customHeight="1" thickTop="1" thickBot="1">
      <c r="A46" s="41" t="s">
        <v>34</v>
      </c>
      <c r="B46" s="42"/>
      <c r="C46" s="42"/>
      <c r="D46" s="42"/>
      <c r="E46" s="42"/>
      <c r="F46" s="42"/>
      <c r="G46" s="42"/>
      <c r="H46" s="42"/>
      <c r="I46" s="43"/>
      <c r="R46" s="608"/>
    </row>
    <row r="47" spans="1:37" ht="15" customHeight="1" thickTop="1" thickBot="1">
      <c r="A47" s="44" t="s">
        <v>32</v>
      </c>
      <c r="B47" s="22">
        <f>B31-B37-B42</f>
        <v>0</v>
      </c>
      <c r="C47" s="22">
        <f t="shared" ref="C47:I47" si="36">C31-C37-C42</f>
        <v>0</v>
      </c>
      <c r="D47" s="22">
        <f t="shared" si="36"/>
        <v>0</v>
      </c>
      <c r="E47" s="22">
        <f t="shared" si="36"/>
        <v>0</v>
      </c>
      <c r="F47" s="22">
        <f t="shared" si="36"/>
        <v>0</v>
      </c>
      <c r="G47" s="22">
        <f t="shared" si="36"/>
        <v>0</v>
      </c>
      <c r="H47" s="22">
        <f t="shared" si="36"/>
        <v>0</v>
      </c>
      <c r="I47" s="15">
        <f t="shared" si="36"/>
        <v>0</v>
      </c>
      <c r="K47" s="621">
        <f>B31-B37-B42-B47</f>
        <v>0</v>
      </c>
      <c r="L47" s="661">
        <f t="shared" ref="L47:N47" si="37">C31-C37-C42-C47</f>
        <v>0</v>
      </c>
      <c r="M47" s="661">
        <f t="shared" si="37"/>
        <v>0</v>
      </c>
      <c r="N47" s="661">
        <f t="shared" si="37"/>
        <v>0</v>
      </c>
      <c r="O47" s="661">
        <f>F31-F37-F42-F47</f>
        <v>0</v>
      </c>
      <c r="P47" s="661">
        <f t="shared" ref="P47:Q47" si="38">G31-G37-G42-G47</f>
        <v>0</v>
      </c>
      <c r="Q47" s="661">
        <f t="shared" si="38"/>
        <v>0</v>
      </c>
      <c r="R47" s="608">
        <f t="shared" ref="R47" si="39">SUM(B47:H47)-I47</f>
        <v>0</v>
      </c>
    </row>
    <row r="48" spans="1:37" ht="15" customHeight="1" thickBot="1">
      <c r="A48" s="25" t="s">
        <v>30</v>
      </c>
      <c r="B48" s="26">
        <f t="shared" ref="B48:I48" si="40">B35-B40-B45</f>
        <v>0</v>
      </c>
      <c r="C48" s="26">
        <f t="shared" si="40"/>
        <v>0</v>
      </c>
      <c r="D48" s="26">
        <f t="shared" si="40"/>
        <v>0</v>
      </c>
      <c r="E48" s="26">
        <f t="shared" si="40"/>
        <v>0</v>
      </c>
      <c r="F48" s="26">
        <f t="shared" si="40"/>
        <v>0</v>
      </c>
      <c r="G48" s="26">
        <f t="shared" si="40"/>
        <v>0</v>
      </c>
      <c r="H48" s="26">
        <f t="shared" si="40"/>
        <v>0</v>
      </c>
      <c r="I48" s="17">
        <f t="shared" si="40"/>
        <v>0</v>
      </c>
      <c r="K48" s="621">
        <f>B35-B40-B45-B48</f>
        <v>0</v>
      </c>
      <c r="L48" s="661">
        <f t="shared" ref="L48:N48" si="41">C35-C40-C45-C48</f>
        <v>0</v>
      </c>
      <c r="M48" s="661">
        <f t="shared" si="41"/>
        <v>0</v>
      </c>
      <c r="N48" s="661">
        <f t="shared" si="41"/>
        <v>0</v>
      </c>
      <c r="O48" s="661">
        <f>F35-F40-F45-F48</f>
        <v>0</v>
      </c>
      <c r="P48" s="661">
        <f t="shared" ref="P48:Q48" si="42">G35-G40-G45-G48</f>
        <v>0</v>
      </c>
      <c r="Q48" s="661">
        <f t="shared" si="42"/>
        <v>0</v>
      </c>
      <c r="R48" s="608">
        <f>SUM(B48:H48)-I48</f>
        <v>0</v>
      </c>
      <c r="AC48" s="621">
        <f>B48-'BS old'!$G$13</f>
        <v>0</v>
      </c>
      <c r="AD48" s="673">
        <f>C48-'BS old'!$G$14</f>
        <v>0</v>
      </c>
      <c r="AE48" s="673">
        <f>D48-'BS old'!$IB$15</f>
        <v>0</v>
      </c>
      <c r="AF48" s="673">
        <f>E48-'BS old'!$G$16</f>
        <v>0</v>
      </c>
      <c r="AG48" s="673">
        <f>F48-'BS old'!$G$17</f>
        <v>0</v>
      </c>
      <c r="AH48" s="673">
        <f>G48-'BS old'!$G$18</f>
        <v>0</v>
      </c>
      <c r="AI48" s="673">
        <f>H48-'BS old'!$G$19</f>
        <v>0</v>
      </c>
      <c r="AJ48" s="608">
        <f>I48-'BS old'!$G$12</f>
        <v>0</v>
      </c>
      <c r="AK48" s="334"/>
    </row>
    <row r="49" ht="15" thickTop="1"/>
  </sheetData>
  <mergeCells count="7">
    <mergeCell ref="T1:AA1"/>
    <mergeCell ref="AC1:AJ1"/>
    <mergeCell ref="A28:A29"/>
    <mergeCell ref="B28:I28"/>
    <mergeCell ref="A3:A4"/>
    <mergeCell ref="B3:I3"/>
    <mergeCell ref="K1:R1"/>
  </mergeCells>
  <conditionalFormatting sqref="K6:R23">
    <cfRule type="cellIs" dxfId="322" priority="13" operator="lessThan">
      <formula>0</formula>
    </cfRule>
    <cfRule type="cellIs" dxfId="321" priority="14" operator="greaterThan">
      <formula>0</formula>
    </cfRule>
  </conditionalFormatting>
  <conditionalFormatting sqref="K31:R48">
    <cfRule type="cellIs" dxfId="320" priority="11" operator="lessThan">
      <formula>0</formula>
    </cfRule>
    <cfRule type="cellIs" dxfId="319" priority="12" operator="greaterThan">
      <formula>0</formula>
    </cfRule>
  </conditionalFormatting>
  <conditionalFormatting sqref="T6:AA22">
    <cfRule type="cellIs" dxfId="318" priority="9" operator="lessThan">
      <formula>0</formula>
    </cfRule>
    <cfRule type="cellIs" dxfId="317" priority="10" operator="greaterThan">
      <formula>0</formula>
    </cfRule>
  </conditionalFormatting>
  <conditionalFormatting sqref="AC10:AJ48">
    <cfRule type="cellIs" dxfId="316" priority="7" operator="lessThan">
      <formula>0</formula>
    </cfRule>
    <cfRule type="cellIs" dxfId="315" priority="8" operator="greaterThan">
      <formula>0</formula>
    </cfRule>
  </conditionalFormatting>
  <conditionalFormatting sqref="K6:R23">
    <cfRule type="cellIs" dxfId="314" priority="5" operator="lessThan">
      <formula>0</formula>
    </cfRule>
    <cfRule type="cellIs" dxfId="313" priority="6" operator="greaterThan">
      <formula>0</formula>
    </cfRule>
  </conditionalFormatting>
  <conditionalFormatting sqref="K31:R48">
    <cfRule type="cellIs" dxfId="312" priority="3" operator="lessThan">
      <formula>0</formula>
    </cfRule>
    <cfRule type="cellIs" dxfId="311" priority="4" operator="greaterThan">
      <formula>0</formula>
    </cfRule>
  </conditionalFormatting>
  <conditionalFormatting sqref="K31:R48">
    <cfRule type="cellIs" dxfId="310" priority="1" operator="lessThan">
      <formula>0</formula>
    </cfRule>
    <cfRule type="cellIs" dxfId="309" priority="2" operator="greaterThan">
      <formula>0</formula>
    </cfRule>
  </conditionalFormatting>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outlinePr summaryBelow="0" summaryRight="0"/>
  </sheetPr>
  <dimension ref="A1:L66"/>
  <sheetViews>
    <sheetView showGridLines="0" view="pageBreakPreview" topLeftCell="A25" zoomScale="80" zoomScaleNormal="100" zoomScaleSheetLayoutView="80" workbookViewId="0">
      <selection activeCell="G27" sqref="G27"/>
    </sheetView>
  </sheetViews>
  <sheetFormatPr defaultColWidth="9.1796875" defaultRowHeight="9.5"/>
  <cols>
    <col min="1" max="1" width="4.453125" style="1238" customWidth="1"/>
    <col min="2" max="2" width="15.54296875" style="1238" customWidth="1"/>
    <col min="3" max="3" width="4.81640625" style="1238" customWidth="1"/>
    <col min="4" max="4" width="23.81640625" style="1238" customWidth="1"/>
    <col min="5" max="5" width="0.54296875" style="1238" customWidth="1"/>
    <col min="6" max="6" width="6.453125" style="1238" customWidth="1"/>
    <col min="7" max="8" width="22.81640625" style="1238" customWidth="1"/>
    <col min="9" max="16384" width="9.1796875" style="1238"/>
  </cols>
  <sheetData>
    <row r="1" spans="1:12" s="1179" customFormat="1" ht="15" customHeight="1">
      <c r="A1" s="1178"/>
      <c r="D1" s="1180"/>
      <c r="E1" s="1180"/>
      <c r="F1" s="1180"/>
      <c r="I1" s="1180"/>
      <c r="J1" s="1180"/>
    </row>
    <row r="2" spans="1:12" s="1179" customFormat="1" ht="23.25" customHeight="1">
      <c r="A2" s="1178"/>
      <c r="B2" s="1166" t="s">
        <v>2569</v>
      </c>
      <c r="C2" s="525" t="s">
        <v>1231</v>
      </c>
      <c r="D2" s="1268" t="str">
        <f>'BS-SK Statutory'!E2</f>
        <v xml:space="preserve">  2  0  2  0  3  1  9  8  2  9</v>
      </c>
      <c r="E2" s="581"/>
      <c r="F2" s="1213" t="s">
        <v>1074</v>
      </c>
      <c r="G2" s="1267" t="str">
        <f>'BS-SK Statutory'!J2</f>
        <v xml:space="preserve">  3  1  3  6  5  5  0  7 </v>
      </c>
    </row>
    <row r="3" spans="1:12" s="1179" customFormat="1" ht="2.25" customHeight="1" thickBot="1">
      <c r="A3" s="1178"/>
      <c r="B3" s="1225"/>
      <c r="C3" s="1180"/>
      <c r="D3" s="1180"/>
      <c r="E3" s="1180"/>
    </row>
    <row r="4" spans="1:12" s="1230" customFormat="1" ht="11.25" customHeight="1">
      <c r="A4" s="1226"/>
      <c r="B4" s="1227"/>
      <c r="C4" s="1266"/>
      <c r="D4" s="1266"/>
      <c r="E4" s="1228"/>
      <c r="F4" s="1229"/>
      <c r="G4" s="1662" t="s">
        <v>1299</v>
      </c>
      <c r="H4" s="1773"/>
    </row>
    <row r="5" spans="1:12" s="1230" customFormat="1" ht="33.75" customHeight="1">
      <c r="A5" s="1315" t="s">
        <v>1137</v>
      </c>
      <c r="B5" s="1649" t="s">
        <v>1298</v>
      </c>
      <c r="C5" s="1767"/>
      <c r="D5" s="1767"/>
      <c r="E5" s="1299"/>
      <c r="F5" s="1316" t="s">
        <v>1135</v>
      </c>
      <c r="G5" s="1231" t="s">
        <v>1297</v>
      </c>
      <c r="H5" s="1232" t="s">
        <v>1296</v>
      </c>
    </row>
    <row r="6" spans="1:12" s="1230" customFormat="1" ht="29.65" customHeight="1">
      <c r="A6" s="1200" t="s">
        <v>880</v>
      </c>
      <c r="B6" s="1741" t="s">
        <v>2515</v>
      </c>
      <c r="C6" s="1742"/>
      <c r="D6" s="1742"/>
      <c r="E6" s="1743"/>
      <c r="F6" s="1196" t="s">
        <v>814</v>
      </c>
      <c r="G6" s="1312">
        <f>'P&amp;L'!D9</f>
        <v>5478558</v>
      </c>
      <c r="H6" s="1301">
        <f>'P&amp;L'!E9</f>
        <v>5307380</v>
      </c>
    </row>
    <row r="7" spans="1:12" s="1230" customFormat="1" ht="29.65" customHeight="1">
      <c r="A7" s="1200" t="s">
        <v>942</v>
      </c>
      <c r="B7" s="1741" t="s">
        <v>2516</v>
      </c>
      <c r="C7" s="1742"/>
      <c r="D7" s="1742"/>
      <c r="E7" s="1743"/>
      <c r="F7" s="1196" t="s">
        <v>817</v>
      </c>
      <c r="G7" s="1312">
        <f>'P&amp;L'!D10</f>
        <v>6371901</v>
      </c>
      <c r="H7" s="1233">
        <f>'P&amp;L'!E10</f>
        <v>5384434</v>
      </c>
    </row>
    <row r="8" spans="1:12" s="1235" customFormat="1" ht="29.65" customHeight="1">
      <c r="A8" s="1269" t="s">
        <v>877</v>
      </c>
      <c r="B8" s="1746" t="s">
        <v>2517</v>
      </c>
      <c r="C8" s="1747"/>
      <c r="D8" s="1747"/>
      <c r="E8" s="1748"/>
      <c r="F8" s="1198" t="s">
        <v>820</v>
      </c>
      <c r="G8" s="1306">
        <f>'P&amp;L'!D11</f>
        <v>2422675</v>
      </c>
      <c r="H8" s="1234">
        <f>'P&amp;L'!E11</f>
        <v>2493976</v>
      </c>
    </row>
    <row r="9" spans="1:12" s="1235" customFormat="1" ht="29.65" customHeight="1">
      <c r="A9" s="1269" t="s">
        <v>2343</v>
      </c>
      <c r="B9" s="1746" t="s">
        <v>2518</v>
      </c>
      <c r="C9" s="1747"/>
      <c r="D9" s="1747"/>
      <c r="E9" s="1748"/>
      <c r="F9" s="1198" t="s">
        <v>823</v>
      </c>
      <c r="G9" s="1306">
        <f>'P&amp;L'!D12</f>
        <v>2877161</v>
      </c>
      <c r="H9" s="1234">
        <f>'P&amp;L'!E12</f>
        <v>2645663</v>
      </c>
    </row>
    <row r="10" spans="1:12" s="1230" customFormat="1" ht="29.65" customHeight="1">
      <c r="A10" s="1269" t="s">
        <v>2345</v>
      </c>
      <c r="B10" s="1746" t="s">
        <v>2519</v>
      </c>
      <c r="C10" s="1747"/>
      <c r="D10" s="1747"/>
      <c r="E10" s="1748"/>
      <c r="F10" s="1198" t="s">
        <v>826</v>
      </c>
      <c r="G10" s="1306">
        <f>'P&amp;L'!D13</f>
        <v>178722</v>
      </c>
      <c r="H10" s="1234">
        <f>'P&amp;L'!E13</f>
        <v>167741</v>
      </c>
    </row>
    <row r="11" spans="1:12" s="1230" customFormat="1" ht="29.65" customHeight="1">
      <c r="A11" s="1269" t="s">
        <v>2347</v>
      </c>
      <c r="B11" s="1746" t="s">
        <v>2520</v>
      </c>
      <c r="C11" s="1747"/>
      <c r="D11" s="1747"/>
      <c r="E11" s="1748"/>
      <c r="F11" s="1198" t="s">
        <v>828</v>
      </c>
      <c r="G11" s="1306">
        <f>'P&amp;L'!D14</f>
        <v>-734</v>
      </c>
      <c r="H11" s="1234">
        <f>'P&amp;L'!E14</f>
        <v>-408</v>
      </c>
    </row>
    <row r="12" spans="1:12" s="1230" customFormat="1" ht="29.65" customHeight="1">
      <c r="A12" s="1269" t="s">
        <v>976</v>
      </c>
      <c r="B12" s="1746" t="s">
        <v>2521</v>
      </c>
      <c r="C12" s="1747"/>
      <c r="D12" s="1747"/>
      <c r="E12" s="1748"/>
      <c r="F12" s="1198" t="s">
        <v>830</v>
      </c>
      <c r="G12" s="1306">
        <f>'P&amp;L'!D15</f>
        <v>0</v>
      </c>
      <c r="H12" s="1234">
        <f>'P&amp;L'!E15</f>
        <v>0</v>
      </c>
    </row>
    <row r="13" spans="1:12" s="1235" customFormat="1" ht="31.5" customHeight="1">
      <c r="A13" s="1269" t="s">
        <v>2348</v>
      </c>
      <c r="B13" s="1746" t="s">
        <v>2522</v>
      </c>
      <c r="C13" s="1747"/>
      <c r="D13" s="1747"/>
      <c r="E13" s="1748"/>
      <c r="F13" s="1198" t="s">
        <v>832</v>
      </c>
      <c r="G13" s="1306">
        <f>'P&amp;L'!D16</f>
        <v>0</v>
      </c>
      <c r="H13" s="1234">
        <f>'P&amp;L'!E16</f>
        <v>9584</v>
      </c>
      <c r="L13" s="1230"/>
    </row>
    <row r="14" spans="1:12" s="1230" customFormat="1" ht="29.65" customHeight="1">
      <c r="A14" s="1269" t="s">
        <v>2349</v>
      </c>
      <c r="B14" s="1746" t="s">
        <v>2523</v>
      </c>
      <c r="C14" s="1747"/>
      <c r="D14" s="1747"/>
      <c r="E14" s="1748"/>
      <c r="F14" s="1198" t="s">
        <v>835</v>
      </c>
      <c r="G14" s="1306">
        <f>'P&amp;L'!D17</f>
        <v>894077</v>
      </c>
      <c r="H14" s="1234">
        <f>'P&amp;L'!E17</f>
        <v>67878</v>
      </c>
    </row>
    <row r="15" spans="1:12" s="1230" customFormat="1" ht="29.65" customHeight="1">
      <c r="A15" s="1270" t="s">
        <v>942</v>
      </c>
      <c r="B15" s="1741" t="s">
        <v>2524</v>
      </c>
      <c r="C15" s="1742"/>
      <c r="D15" s="1742"/>
      <c r="E15" s="1743"/>
      <c r="F15" s="1196" t="s">
        <v>838</v>
      </c>
      <c r="G15" s="1312">
        <f>'P&amp;L'!D18</f>
        <v>5845865</v>
      </c>
      <c r="H15" s="1233">
        <f>'P&amp;L'!E18</f>
        <v>5183863</v>
      </c>
    </row>
    <row r="16" spans="1:12" s="1235" customFormat="1" ht="29.65" customHeight="1">
      <c r="A16" s="1199" t="s">
        <v>523</v>
      </c>
      <c r="B16" s="1746" t="s">
        <v>2525</v>
      </c>
      <c r="C16" s="1747"/>
      <c r="D16" s="1747"/>
      <c r="E16" s="1748"/>
      <c r="F16" s="1198" t="s">
        <v>840</v>
      </c>
      <c r="G16" s="1306">
        <f>'P&amp;L'!D19</f>
        <v>1838666</v>
      </c>
      <c r="H16" s="1234">
        <f>'P&amp;L'!E19</f>
        <v>1928175</v>
      </c>
    </row>
    <row r="17" spans="1:8" s="1230" customFormat="1" ht="29.65" customHeight="1">
      <c r="A17" s="1199" t="s">
        <v>594</v>
      </c>
      <c r="B17" s="1746" t="s">
        <v>2526</v>
      </c>
      <c r="C17" s="1747"/>
      <c r="D17" s="1747"/>
      <c r="E17" s="1748"/>
      <c r="F17" s="1198" t="s">
        <v>842</v>
      </c>
      <c r="G17" s="1306">
        <f>'P&amp;L'!D20</f>
        <v>1083808</v>
      </c>
      <c r="H17" s="1234">
        <f>'P&amp;L'!E20</f>
        <v>1213571</v>
      </c>
    </row>
    <row r="18" spans="1:8" s="1230" customFormat="1" ht="29.65" customHeight="1">
      <c r="A18" s="1199" t="s">
        <v>663</v>
      </c>
      <c r="B18" s="1746" t="s">
        <v>2527</v>
      </c>
      <c r="C18" s="1747"/>
      <c r="D18" s="1747"/>
      <c r="E18" s="1748"/>
      <c r="F18" s="1198" t="s">
        <v>844</v>
      </c>
      <c r="G18" s="1306">
        <f>'P&amp;L'!D21</f>
        <v>16562</v>
      </c>
      <c r="H18" s="1234">
        <f>'P&amp;L'!E21</f>
        <v>1391</v>
      </c>
    </row>
    <row r="19" spans="1:8" s="1230" customFormat="1" ht="29.65" customHeight="1">
      <c r="A19" s="1199" t="s">
        <v>853</v>
      </c>
      <c r="B19" s="1746" t="s">
        <v>1286</v>
      </c>
      <c r="C19" s="1747"/>
      <c r="D19" s="1747"/>
      <c r="E19" s="1748"/>
      <c r="F19" s="1198" t="s">
        <v>846</v>
      </c>
      <c r="G19" s="1306">
        <f>'P&amp;L'!D22</f>
        <v>323531</v>
      </c>
      <c r="H19" s="1234">
        <f>'P&amp;L'!E22</f>
        <v>441930</v>
      </c>
    </row>
    <row r="20" spans="1:8" s="1230" customFormat="1" ht="29.65" customHeight="1">
      <c r="A20" s="1199" t="s">
        <v>856</v>
      </c>
      <c r="B20" s="1746" t="s">
        <v>2528</v>
      </c>
      <c r="C20" s="1747"/>
      <c r="D20" s="1747"/>
      <c r="E20" s="1748"/>
      <c r="F20" s="1198" t="s">
        <v>849</v>
      </c>
      <c r="G20" s="1306">
        <f>'P&amp;L'!D23</f>
        <v>1238578</v>
      </c>
      <c r="H20" s="1234">
        <f>'P&amp;L'!E23</f>
        <v>1097102</v>
      </c>
    </row>
    <row r="21" spans="1:8" s="1230" customFormat="1" ht="29.65" customHeight="1">
      <c r="A21" s="1199" t="s">
        <v>2354</v>
      </c>
      <c r="B21" s="1746" t="s">
        <v>1283</v>
      </c>
      <c r="C21" s="1747"/>
      <c r="D21" s="1747"/>
      <c r="E21" s="1748"/>
      <c r="F21" s="1198" t="s">
        <v>852</v>
      </c>
      <c r="G21" s="1306">
        <f>'P&amp;L'!D24</f>
        <v>888993</v>
      </c>
      <c r="H21" s="1234">
        <f>'P&amp;L'!E24</f>
        <v>781249</v>
      </c>
    </row>
    <row r="22" spans="1:8" s="1230" customFormat="1" ht="29.65" customHeight="1">
      <c r="A22" s="1199" t="s">
        <v>532</v>
      </c>
      <c r="B22" s="1746" t="s">
        <v>2529</v>
      </c>
      <c r="C22" s="1747"/>
      <c r="D22" s="1747"/>
      <c r="E22" s="1748"/>
      <c r="F22" s="1198" t="s">
        <v>855</v>
      </c>
      <c r="G22" s="1306">
        <f>'P&amp;L'!D25</f>
        <v>0</v>
      </c>
      <c r="H22" s="1234">
        <f>'P&amp;L'!E25</f>
        <v>0</v>
      </c>
    </row>
    <row r="23" spans="1:8" s="1230" customFormat="1" ht="29.65" customHeight="1">
      <c r="A23" s="1199" t="s">
        <v>535</v>
      </c>
      <c r="B23" s="1746" t="s">
        <v>2530</v>
      </c>
      <c r="C23" s="1747"/>
      <c r="D23" s="1747"/>
      <c r="E23" s="1748"/>
      <c r="F23" s="1198" t="s">
        <v>858</v>
      </c>
      <c r="G23" s="1306">
        <f>'P&amp;L'!D26</f>
        <v>297289</v>
      </c>
      <c r="H23" s="1234">
        <f>'P&amp;L'!E26</f>
        <v>266859</v>
      </c>
    </row>
    <row r="24" spans="1:8" s="1230" customFormat="1" ht="29.65" customHeight="1">
      <c r="A24" s="1199" t="s">
        <v>538</v>
      </c>
      <c r="B24" s="1746" t="s">
        <v>1280</v>
      </c>
      <c r="C24" s="1747"/>
      <c r="D24" s="1747"/>
      <c r="E24" s="1748"/>
      <c r="F24" s="1198" t="s">
        <v>861</v>
      </c>
      <c r="G24" s="1306">
        <f>'P&amp;L'!D27</f>
        <v>52296</v>
      </c>
      <c r="H24" s="1234">
        <f>'P&amp;L'!E27</f>
        <v>48994</v>
      </c>
    </row>
    <row r="25" spans="1:8" s="1230" customFormat="1" ht="29.65" customHeight="1">
      <c r="A25" s="1199" t="s">
        <v>862</v>
      </c>
      <c r="B25" s="1746" t="s">
        <v>1279</v>
      </c>
      <c r="C25" s="1747"/>
      <c r="D25" s="1747"/>
      <c r="E25" s="1748"/>
      <c r="F25" s="1198" t="s">
        <v>864</v>
      </c>
      <c r="G25" s="1306">
        <f>'P&amp;L'!D28</f>
        <v>11548</v>
      </c>
      <c r="H25" s="1234">
        <f>'P&amp;L'!E28</f>
        <v>8670</v>
      </c>
    </row>
    <row r="26" spans="1:8" s="1230" customFormat="1" ht="32.25" customHeight="1">
      <c r="A26" s="1199" t="s">
        <v>865</v>
      </c>
      <c r="B26" s="1774" t="s">
        <v>2531</v>
      </c>
      <c r="C26" s="1775"/>
      <c r="D26" s="1775"/>
      <c r="E26" s="1776"/>
      <c r="F26" s="1198" t="s">
        <v>867</v>
      </c>
      <c r="G26" s="1306">
        <f>'P&amp;L'!D29</f>
        <v>429679</v>
      </c>
      <c r="H26" s="1234">
        <f>'P&amp;L'!E29</f>
        <v>406478</v>
      </c>
    </row>
    <row r="27" spans="1:8" s="1230" customFormat="1" ht="29.65" customHeight="1">
      <c r="A27" s="1199" t="s">
        <v>2356</v>
      </c>
      <c r="B27" s="1746" t="s">
        <v>2532</v>
      </c>
      <c r="C27" s="1747"/>
      <c r="D27" s="1747"/>
      <c r="E27" s="1748"/>
      <c r="F27" s="1198" t="s">
        <v>870</v>
      </c>
      <c r="G27" s="1306">
        <f>'P&amp;L'!D30</f>
        <v>429679</v>
      </c>
      <c r="H27" s="1234">
        <f>'P&amp;L'!E30</f>
        <v>406478</v>
      </c>
    </row>
    <row r="28" spans="1:8" s="1230" customFormat="1" ht="32.25" customHeight="1">
      <c r="A28" s="1199" t="s">
        <v>532</v>
      </c>
      <c r="B28" s="1774" t="s">
        <v>2533</v>
      </c>
      <c r="C28" s="1775"/>
      <c r="D28" s="1775"/>
      <c r="E28" s="1776"/>
      <c r="F28" s="1198" t="s">
        <v>873</v>
      </c>
      <c r="G28" s="1306">
        <f>'P&amp;L'!D31</f>
        <v>0</v>
      </c>
      <c r="H28" s="1234">
        <f>'P&amp;L'!E31</f>
        <v>0</v>
      </c>
    </row>
    <row r="29" spans="1:8" s="1230" customFormat="1" ht="29.65" customHeight="1">
      <c r="A29" s="1199" t="s">
        <v>871</v>
      </c>
      <c r="B29" s="1746" t="s">
        <v>2534</v>
      </c>
      <c r="C29" s="1747"/>
      <c r="D29" s="1747"/>
      <c r="E29" s="1748"/>
      <c r="F29" s="1198" t="s">
        <v>876</v>
      </c>
      <c r="G29" s="1306">
        <f>'P&amp;L'!D32</f>
        <v>0</v>
      </c>
      <c r="H29" s="1234">
        <f>'P&amp;L'!E32</f>
        <v>0</v>
      </c>
    </row>
    <row r="30" spans="1:8" s="1230" customFormat="1" ht="29.65" customHeight="1">
      <c r="A30" s="1199" t="s">
        <v>877</v>
      </c>
      <c r="B30" s="1746" t="s">
        <v>2535</v>
      </c>
      <c r="C30" s="1747"/>
      <c r="D30" s="1747"/>
      <c r="E30" s="1748"/>
      <c r="F30" s="1198" t="s">
        <v>879</v>
      </c>
      <c r="G30" s="1306">
        <f>'P&amp;L'!D33</f>
        <v>-535</v>
      </c>
      <c r="H30" s="1234">
        <f>'P&amp;L'!E33</f>
        <v>9730</v>
      </c>
    </row>
    <row r="31" spans="1:8" s="1235" customFormat="1" ht="33.75" customHeight="1">
      <c r="A31" s="1199" t="s">
        <v>886</v>
      </c>
      <c r="B31" s="1774" t="s">
        <v>2536</v>
      </c>
      <c r="C31" s="1775"/>
      <c r="D31" s="1775"/>
      <c r="E31" s="1776"/>
      <c r="F31" s="1198" t="s">
        <v>882</v>
      </c>
      <c r="G31" s="1306">
        <f>'P&amp;L'!D34</f>
        <v>904028</v>
      </c>
      <c r="H31" s="1234">
        <f>'P&amp;L'!E34</f>
        <v>76816</v>
      </c>
    </row>
    <row r="32" spans="1:8" s="1230" customFormat="1" ht="29.25" customHeight="1">
      <c r="A32" s="1200" t="s">
        <v>973</v>
      </c>
      <c r="B32" s="1741" t="s">
        <v>2537</v>
      </c>
      <c r="C32" s="1742"/>
      <c r="D32" s="1742"/>
      <c r="E32" s="1743"/>
      <c r="F32" s="1196" t="s">
        <v>885</v>
      </c>
      <c r="G32" s="1312">
        <f>'P&amp;L'!D35</f>
        <v>526036</v>
      </c>
      <c r="H32" s="1233">
        <f>'P&amp;L'!E35</f>
        <v>200571</v>
      </c>
    </row>
    <row r="33" spans="1:8" ht="24.75" customHeight="1">
      <c r="A33" s="1200" t="s">
        <v>880</v>
      </c>
      <c r="B33" s="1741" t="s">
        <v>2538</v>
      </c>
      <c r="C33" s="1742"/>
      <c r="D33" s="1742"/>
      <c r="E33" s="1743"/>
      <c r="F33" s="1196" t="s">
        <v>888</v>
      </c>
      <c r="G33" s="1312">
        <f>'P&amp;L'!D36</f>
        <v>2215257</v>
      </c>
      <c r="H33" s="1233">
        <f>'P&amp;L'!E36</f>
        <v>1721905</v>
      </c>
    </row>
    <row r="34" spans="1:8" ht="31" customHeight="1">
      <c r="A34" s="1236" t="s">
        <v>942</v>
      </c>
      <c r="B34" s="1780" t="s">
        <v>2539</v>
      </c>
      <c r="C34" s="1781"/>
      <c r="D34" s="1781"/>
      <c r="E34" s="1782"/>
      <c r="F34" s="1311" t="s">
        <v>891</v>
      </c>
      <c r="G34" s="1312">
        <f>'P&amp;L'!D37</f>
        <v>26683</v>
      </c>
      <c r="H34" s="1233">
        <f>'P&amp;L'!E37</f>
        <v>46176</v>
      </c>
    </row>
    <row r="35" spans="1:8" ht="36.75" customHeight="1">
      <c r="A35" s="1199" t="s">
        <v>2362</v>
      </c>
      <c r="B35" s="1746" t="s">
        <v>2540</v>
      </c>
      <c r="C35" s="1747"/>
      <c r="D35" s="1747"/>
      <c r="E35" s="1748"/>
      <c r="F35" s="1198" t="s">
        <v>894</v>
      </c>
      <c r="G35" s="1306">
        <f>'P&amp;L'!D38</f>
        <v>0</v>
      </c>
      <c r="H35" s="1234">
        <f>'P&amp;L'!E38</f>
        <v>0</v>
      </c>
    </row>
    <row r="36" spans="1:8" ht="31" customHeight="1">
      <c r="A36" s="1199" t="s">
        <v>2363</v>
      </c>
      <c r="B36" s="1746" t="s">
        <v>2541</v>
      </c>
      <c r="C36" s="1747"/>
      <c r="D36" s="1747"/>
      <c r="E36" s="1748"/>
      <c r="F36" s="1198" t="s">
        <v>897</v>
      </c>
      <c r="G36" s="1306">
        <f>'P&amp;L'!D39</f>
        <v>0</v>
      </c>
      <c r="H36" s="1234">
        <f>'P&amp;L'!E39</f>
        <v>0</v>
      </c>
    </row>
    <row r="37" spans="1:8" ht="30" customHeight="1">
      <c r="A37" s="1199" t="s">
        <v>2365</v>
      </c>
      <c r="B37" s="1746" t="s">
        <v>2542</v>
      </c>
      <c r="C37" s="1747"/>
      <c r="D37" s="1747"/>
      <c r="E37" s="1748"/>
      <c r="F37" s="1198" t="s">
        <v>900</v>
      </c>
      <c r="G37" s="1306">
        <f>'P&amp;L'!D40</f>
        <v>0</v>
      </c>
      <c r="H37" s="1234">
        <f>'P&amp;L'!E40</f>
        <v>0</v>
      </c>
    </row>
    <row r="38" spans="1:8" ht="33.75" customHeight="1">
      <c r="A38" s="1199" t="s">
        <v>532</v>
      </c>
      <c r="B38" s="1746" t="s">
        <v>2543</v>
      </c>
      <c r="C38" s="1747"/>
      <c r="D38" s="1747"/>
      <c r="E38" s="1748"/>
      <c r="F38" s="1198" t="s">
        <v>903</v>
      </c>
      <c r="G38" s="1306">
        <f>'P&amp;L'!D41</f>
        <v>0</v>
      </c>
      <c r="H38" s="1234">
        <f>'P&amp;L'!E41</f>
        <v>0</v>
      </c>
    </row>
    <row r="39" spans="1:8" ht="22.5" customHeight="1">
      <c r="A39" s="1199" t="s">
        <v>535</v>
      </c>
      <c r="B39" s="1746" t="s">
        <v>2544</v>
      </c>
      <c r="C39" s="1747"/>
      <c r="D39" s="1747"/>
      <c r="E39" s="1748"/>
      <c r="F39" s="1198" t="s">
        <v>906</v>
      </c>
      <c r="G39" s="1306">
        <f>'P&amp;L'!D42</f>
        <v>0</v>
      </c>
      <c r="H39" s="1234">
        <f>'P&amp;L'!E42</f>
        <v>0</v>
      </c>
    </row>
    <row r="40" spans="1:8" ht="31" customHeight="1">
      <c r="A40" s="1199" t="s">
        <v>2366</v>
      </c>
      <c r="B40" s="1746" t="s">
        <v>2545</v>
      </c>
      <c r="C40" s="1747"/>
      <c r="D40" s="1747"/>
      <c r="E40" s="1748"/>
      <c r="F40" s="1198" t="s">
        <v>909</v>
      </c>
      <c r="G40" s="1306">
        <f>'P&amp;L'!D43</f>
        <v>0</v>
      </c>
      <c r="H40" s="1234">
        <f>'P&amp;L'!E43</f>
        <v>0</v>
      </c>
    </row>
    <row r="41" spans="1:8" ht="30" customHeight="1">
      <c r="A41" s="1199" t="s">
        <v>2368</v>
      </c>
      <c r="B41" s="1746" t="s">
        <v>2546</v>
      </c>
      <c r="C41" s="1747"/>
      <c r="D41" s="1747"/>
      <c r="E41" s="1748"/>
      <c r="F41" s="1198" t="s">
        <v>912</v>
      </c>
      <c r="G41" s="1306">
        <f>'P&amp;L'!D44</f>
        <v>0</v>
      </c>
      <c r="H41" s="1234">
        <f>'P&amp;L'!E44</f>
        <v>0</v>
      </c>
    </row>
    <row r="42" spans="1:8" ht="32.25" customHeight="1">
      <c r="A42" s="1199" t="s">
        <v>532</v>
      </c>
      <c r="B42" s="1746" t="s">
        <v>2547</v>
      </c>
      <c r="C42" s="1747"/>
      <c r="D42" s="1747"/>
      <c r="E42" s="1748"/>
      <c r="F42" s="1198" t="s">
        <v>915</v>
      </c>
      <c r="G42" s="1306">
        <f>'P&amp;L'!D45</f>
        <v>0</v>
      </c>
      <c r="H42" s="1234">
        <f>'P&amp;L'!E45</f>
        <v>0</v>
      </c>
    </row>
    <row r="43" spans="1:8" ht="24" customHeight="1">
      <c r="A43" s="1199" t="s">
        <v>535</v>
      </c>
      <c r="B43" s="1746" t="s">
        <v>2548</v>
      </c>
      <c r="C43" s="1747"/>
      <c r="D43" s="1747"/>
      <c r="E43" s="1748"/>
      <c r="F43" s="1198" t="s">
        <v>918</v>
      </c>
      <c r="G43" s="1306">
        <f>'P&amp;L'!D46</f>
        <v>0</v>
      </c>
      <c r="H43" s="1234">
        <f>'P&amp;L'!E46</f>
        <v>0</v>
      </c>
    </row>
    <row r="44" spans="1:8" ht="26.25" customHeight="1">
      <c r="A44" s="1199" t="s">
        <v>2370</v>
      </c>
      <c r="B44" s="1746" t="s">
        <v>2549</v>
      </c>
      <c r="C44" s="1747"/>
      <c r="D44" s="1747"/>
      <c r="E44" s="1748"/>
      <c r="F44" s="1198" t="s">
        <v>921</v>
      </c>
      <c r="G44" s="1306">
        <f>'P&amp;L'!D47</f>
        <v>2</v>
      </c>
      <c r="H44" s="1234">
        <f>'P&amp;L'!E47</f>
        <v>0</v>
      </c>
    </row>
    <row r="45" spans="1:8" ht="24.75" customHeight="1">
      <c r="A45" s="1199" t="s">
        <v>2372</v>
      </c>
      <c r="B45" s="1746" t="s">
        <v>2550</v>
      </c>
      <c r="C45" s="1747"/>
      <c r="D45" s="1747"/>
      <c r="E45" s="1748"/>
      <c r="F45" s="1198" t="s">
        <v>924</v>
      </c>
      <c r="G45" s="1306">
        <f>'P&amp;L'!D48</f>
        <v>0</v>
      </c>
      <c r="H45" s="1234">
        <f>'P&amp;L'!E48</f>
        <v>0</v>
      </c>
    </row>
    <row r="46" spans="1:8" ht="27.25" customHeight="1">
      <c r="A46" s="1199" t="s">
        <v>532</v>
      </c>
      <c r="B46" s="1746" t="s">
        <v>2551</v>
      </c>
      <c r="C46" s="1747"/>
      <c r="D46" s="1747"/>
      <c r="E46" s="1748"/>
      <c r="F46" s="1198" t="s">
        <v>927</v>
      </c>
      <c r="G46" s="1306">
        <f>'P&amp;L'!D49</f>
        <v>2</v>
      </c>
      <c r="H46" s="1234">
        <f>'P&amp;L'!E49</f>
        <v>0</v>
      </c>
    </row>
    <row r="47" spans="1:8" ht="29.25" customHeight="1">
      <c r="A47" s="1199" t="s">
        <v>2374</v>
      </c>
      <c r="B47" s="1746" t="s">
        <v>1256</v>
      </c>
      <c r="C47" s="1747"/>
      <c r="D47" s="1747"/>
      <c r="E47" s="1748"/>
      <c r="F47" s="1198" t="s">
        <v>930</v>
      </c>
      <c r="G47" s="1306">
        <f>'P&amp;L'!D50</f>
        <v>26681</v>
      </c>
      <c r="H47" s="1234">
        <f>'P&amp;L'!E50</f>
        <v>46176</v>
      </c>
    </row>
    <row r="48" spans="1:8" ht="27.75" customHeight="1">
      <c r="A48" s="1199" t="s">
        <v>2375</v>
      </c>
      <c r="B48" s="1746" t="s">
        <v>2552</v>
      </c>
      <c r="C48" s="1747"/>
      <c r="D48" s="1747"/>
      <c r="E48" s="1748"/>
      <c r="F48" s="1198" t="s">
        <v>933</v>
      </c>
      <c r="G48" s="1306">
        <f>'P&amp;L'!D51</f>
        <v>0</v>
      </c>
      <c r="H48" s="1234">
        <f>'P&amp;L'!E51</f>
        <v>0</v>
      </c>
    </row>
    <row r="49" spans="1:8" ht="27.75" customHeight="1">
      <c r="A49" s="1199" t="s">
        <v>2376</v>
      </c>
      <c r="B49" s="1746" t="s">
        <v>1254</v>
      </c>
      <c r="C49" s="1747"/>
      <c r="D49" s="1747"/>
      <c r="E49" s="1748"/>
      <c r="F49" s="1198" t="s">
        <v>936</v>
      </c>
      <c r="G49" s="1306">
        <f>'P&amp;L'!D52</f>
        <v>0</v>
      </c>
      <c r="H49" s="1234">
        <f>'P&amp;L'!E52</f>
        <v>0</v>
      </c>
    </row>
    <row r="50" spans="1:8" ht="27.75" customHeight="1">
      <c r="A50" s="1200" t="s">
        <v>942</v>
      </c>
      <c r="B50" s="1741" t="s">
        <v>2553</v>
      </c>
      <c r="C50" s="1742"/>
      <c r="D50" s="1742"/>
      <c r="E50" s="1743"/>
      <c r="F50" s="1196" t="s">
        <v>939</v>
      </c>
      <c r="G50" s="1312">
        <f>'P&amp;L'!D53</f>
        <v>55608</v>
      </c>
      <c r="H50" s="1233">
        <f>'P&amp;L'!E53</f>
        <v>33910</v>
      </c>
    </row>
    <row r="51" spans="1:8" s="1240" customFormat="1" ht="29.25" customHeight="1">
      <c r="A51" s="1239" t="s">
        <v>904</v>
      </c>
      <c r="B51" s="1786" t="s">
        <v>1268</v>
      </c>
      <c r="C51" s="1787"/>
      <c r="D51" s="1787"/>
      <c r="E51" s="1788"/>
      <c r="F51" s="1198" t="s">
        <v>941</v>
      </c>
      <c r="G51" s="1306">
        <f>'P&amp;L'!D54</f>
        <v>0</v>
      </c>
      <c r="H51" s="1234">
        <f>'P&amp;L'!E54</f>
        <v>0</v>
      </c>
    </row>
    <row r="52" spans="1:8" s="1240" customFormat="1" ht="29.25" customHeight="1">
      <c r="A52" s="1239" t="s">
        <v>910</v>
      </c>
      <c r="B52" s="1777" t="s">
        <v>2554</v>
      </c>
      <c r="C52" s="1778"/>
      <c r="D52" s="1778"/>
      <c r="E52" s="1779"/>
      <c r="F52" s="1198" t="s">
        <v>944</v>
      </c>
      <c r="G52" s="1306">
        <f>'P&amp;L'!D55</f>
        <v>0</v>
      </c>
      <c r="H52" s="1234">
        <f>'P&amp;L'!E55</f>
        <v>0</v>
      </c>
    </row>
    <row r="53" spans="1:8" ht="31" customHeight="1">
      <c r="A53" s="1199" t="s">
        <v>913</v>
      </c>
      <c r="B53" s="1746" t="s">
        <v>2555</v>
      </c>
      <c r="C53" s="1747"/>
      <c r="D53" s="1747"/>
      <c r="E53" s="1748"/>
      <c r="F53" s="1198" t="s">
        <v>947</v>
      </c>
      <c r="G53" s="1306">
        <f>'P&amp;L'!D56</f>
        <v>0</v>
      </c>
      <c r="H53" s="1234">
        <f>'P&amp;L'!E56</f>
        <v>0</v>
      </c>
    </row>
    <row r="54" spans="1:8" ht="28.5" customHeight="1">
      <c r="A54" s="1241" t="s">
        <v>919</v>
      </c>
      <c r="B54" s="1746" t="s">
        <v>2556</v>
      </c>
      <c r="C54" s="1747"/>
      <c r="D54" s="1747"/>
      <c r="E54" s="1748"/>
      <c r="F54" s="1198" t="s">
        <v>950</v>
      </c>
      <c r="G54" s="1306">
        <f>'P&amp;L'!D57</f>
        <v>0</v>
      </c>
      <c r="H54" s="1234">
        <f>'P&amp;L'!E57</f>
        <v>0</v>
      </c>
    </row>
    <row r="55" spans="1:8" ht="28.5" customHeight="1">
      <c r="A55" s="1199" t="s">
        <v>2380</v>
      </c>
      <c r="B55" s="1746" t="s">
        <v>2557</v>
      </c>
      <c r="C55" s="1747"/>
      <c r="D55" s="1747"/>
      <c r="E55" s="1748"/>
      <c r="F55" s="1198" t="s">
        <v>952</v>
      </c>
      <c r="G55" s="1306">
        <f>'P&amp;L'!D58</f>
        <v>0</v>
      </c>
      <c r="H55" s="1234">
        <f>'P&amp;L'!E58</f>
        <v>0</v>
      </c>
    </row>
    <row r="56" spans="1:8" s="1240" customFormat="1" ht="31.5" customHeight="1">
      <c r="A56" s="1239" t="s">
        <v>532</v>
      </c>
      <c r="B56" s="1777" t="s">
        <v>2558</v>
      </c>
      <c r="C56" s="1778"/>
      <c r="D56" s="1778"/>
      <c r="E56" s="1779"/>
      <c r="F56" s="1198" t="s">
        <v>954</v>
      </c>
      <c r="G56" s="1306">
        <f>'P&amp;L'!D59</f>
        <v>0</v>
      </c>
      <c r="H56" s="1234">
        <f>'P&amp;L'!E59</f>
        <v>0</v>
      </c>
    </row>
    <row r="57" spans="1:8" ht="29.25" customHeight="1">
      <c r="A57" s="1199" t="s">
        <v>925</v>
      </c>
      <c r="B57" s="1746" t="s">
        <v>1255</v>
      </c>
      <c r="C57" s="1747"/>
      <c r="D57" s="1747"/>
      <c r="E57" s="1748"/>
      <c r="F57" s="1198" t="s">
        <v>957</v>
      </c>
      <c r="G57" s="1306">
        <f>'P&amp;L'!D60</f>
        <v>47236</v>
      </c>
      <c r="H57" s="1234">
        <f>'P&amp;L'!E60</f>
        <v>28482</v>
      </c>
    </row>
    <row r="58" spans="1:8" ht="28.5" customHeight="1">
      <c r="A58" s="1199" t="s">
        <v>931</v>
      </c>
      <c r="B58" s="1746" t="s">
        <v>2559</v>
      </c>
      <c r="C58" s="1747"/>
      <c r="D58" s="1747"/>
      <c r="E58" s="1748"/>
      <c r="F58" s="1198" t="s">
        <v>960</v>
      </c>
      <c r="G58" s="1306">
        <f>'P&amp;L'!D61</f>
        <v>0</v>
      </c>
      <c r="H58" s="1234">
        <f>'P&amp;L'!E61</f>
        <v>0</v>
      </c>
    </row>
    <row r="59" spans="1:8" ht="31" customHeight="1">
      <c r="A59" s="1199" t="s">
        <v>2382</v>
      </c>
      <c r="B59" s="1746" t="s">
        <v>2560</v>
      </c>
      <c r="C59" s="1747"/>
      <c r="D59" s="1747"/>
      <c r="E59" s="1748"/>
      <c r="F59" s="1198" t="s">
        <v>962</v>
      </c>
      <c r="G59" s="1306">
        <f>'P&amp;L'!D62</f>
        <v>8372</v>
      </c>
      <c r="H59" s="1234">
        <f>'P&amp;L'!E62</f>
        <v>5428</v>
      </c>
    </row>
    <row r="60" spans="1:8" ht="27.75" customHeight="1">
      <c r="A60" s="1200" t="s">
        <v>973</v>
      </c>
      <c r="B60" s="1741" t="s">
        <v>2561</v>
      </c>
      <c r="C60" s="1742"/>
      <c r="D60" s="1742"/>
      <c r="E60" s="1743"/>
      <c r="F60" s="1196" t="s">
        <v>965</v>
      </c>
      <c r="G60" s="1312">
        <f>'P&amp;L'!D63</f>
        <v>-28925</v>
      </c>
      <c r="H60" s="1233">
        <f>'P&amp;L'!E63</f>
        <v>12266</v>
      </c>
    </row>
    <row r="61" spans="1:8" ht="27.75" customHeight="1">
      <c r="A61" s="1242" t="s">
        <v>2384</v>
      </c>
      <c r="B61" s="1741" t="s">
        <v>2562</v>
      </c>
      <c r="C61" s="1742"/>
      <c r="D61" s="1742"/>
      <c r="E61" s="1743"/>
      <c r="F61" s="1196" t="s">
        <v>968</v>
      </c>
      <c r="G61" s="1312">
        <f>'P&amp;L'!D64</f>
        <v>497111</v>
      </c>
      <c r="H61" s="1233">
        <f>'P&amp;L'!E64</f>
        <v>212837</v>
      </c>
    </row>
    <row r="62" spans="1:8" ht="27.75" customHeight="1">
      <c r="A62" s="1199" t="s">
        <v>2386</v>
      </c>
      <c r="B62" s="1746" t="s">
        <v>2563</v>
      </c>
      <c r="C62" s="1747"/>
      <c r="D62" s="1747"/>
      <c r="E62" s="1748"/>
      <c r="F62" s="1198" t="s">
        <v>970</v>
      </c>
      <c r="G62" s="1306">
        <f>'P&amp;L'!D65</f>
        <v>104677</v>
      </c>
      <c r="H62" s="1234">
        <f>'P&amp;L'!E65</f>
        <v>53262</v>
      </c>
    </row>
    <row r="63" spans="1:8" s="1240" customFormat="1" ht="27.75" customHeight="1">
      <c r="A63" s="1243" t="s">
        <v>2388</v>
      </c>
      <c r="B63" s="1746" t="s">
        <v>2564</v>
      </c>
      <c r="C63" s="1747"/>
      <c r="D63" s="1747"/>
      <c r="E63" s="1748"/>
      <c r="F63" s="1305" t="s">
        <v>972</v>
      </c>
      <c r="G63" s="1306">
        <f>'P&amp;L'!D66</f>
        <v>188721</v>
      </c>
      <c r="H63" s="1234">
        <f>'P&amp;L'!E66</f>
        <v>125102</v>
      </c>
    </row>
    <row r="64" spans="1:8" s="1240" customFormat="1" ht="27.75" customHeight="1">
      <c r="A64" s="1199" t="s">
        <v>532</v>
      </c>
      <c r="B64" s="1746" t="s">
        <v>2565</v>
      </c>
      <c r="C64" s="1747"/>
      <c r="D64" s="1747"/>
      <c r="E64" s="1748"/>
      <c r="F64" s="1198" t="s">
        <v>975</v>
      </c>
      <c r="G64" s="1306">
        <f>'P&amp;L'!D67</f>
        <v>-84044</v>
      </c>
      <c r="H64" s="1234">
        <f>'P&amp;L'!E67</f>
        <v>-71840</v>
      </c>
    </row>
    <row r="65" spans="1:8" ht="27.75" customHeight="1">
      <c r="A65" s="1199" t="s">
        <v>945</v>
      </c>
      <c r="B65" s="1746" t="s">
        <v>2566</v>
      </c>
      <c r="C65" s="1747"/>
      <c r="D65" s="1747"/>
      <c r="E65" s="1748"/>
      <c r="F65" s="1198" t="s">
        <v>978</v>
      </c>
      <c r="G65" s="1306">
        <f>'P&amp;L'!D68</f>
        <v>0</v>
      </c>
      <c r="H65" s="1234">
        <f>'P&amp;L'!E68</f>
        <v>0</v>
      </c>
    </row>
    <row r="66" spans="1:8" s="1240" customFormat="1" ht="33" customHeight="1" thickBot="1">
      <c r="A66" s="1369" t="s">
        <v>2384</v>
      </c>
      <c r="B66" s="1783" t="s">
        <v>2567</v>
      </c>
      <c r="C66" s="1784"/>
      <c r="D66" s="1784"/>
      <c r="E66" s="1785"/>
      <c r="F66" s="1370" t="s">
        <v>980</v>
      </c>
      <c r="G66" s="1371">
        <f>'P&amp;L'!D69</f>
        <v>392434</v>
      </c>
      <c r="H66" s="1372">
        <f>'P&amp;L'!E69</f>
        <v>159575</v>
      </c>
    </row>
  </sheetData>
  <mergeCells count="63">
    <mergeCell ref="B34:E34"/>
    <mergeCell ref="B65:E65"/>
    <mergeCell ref="B66:E66"/>
    <mergeCell ref="B59:E59"/>
    <mergeCell ref="B60:E60"/>
    <mergeCell ref="B61:E61"/>
    <mergeCell ref="B62:E62"/>
    <mergeCell ref="B63:E63"/>
    <mergeCell ref="B64:E64"/>
    <mergeCell ref="B57:E57"/>
    <mergeCell ref="B58:E58"/>
    <mergeCell ref="B47:E47"/>
    <mergeCell ref="B48:E48"/>
    <mergeCell ref="B49:E49"/>
    <mergeCell ref="B50:E50"/>
    <mergeCell ref="B51:E51"/>
    <mergeCell ref="B29:E29"/>
    <mergeCell ref="B30:E30"/>
    <mergeCell ref="B31:E31"/>
    <mergeCell ref="B32:E32"/>
    <mergeCell ref="B33:E33"/>
    <mergeCell ref="B52:E52"/>
    <mergeCell ref="B53:E53"/>
    <mergeCell ref="B54:E54"/>
    <mergeCell ref="B55:E55"/>
    <mergeCell ref="B56:E56"/>
    <mergeCell ref="B24:E24"/>
    <mergeCell ref="B25:E25"/>
    <mergeCell ref="B26:E26"/>
    <mergeCell ref="B27:E27"/>
    <mergeCell ref="B28:E28"/>
    <mergeCell ref="B19:E19"/>
    <mergeCell ref="B20:E20"/>
    <mergeCell ref="B21:E21"/>
    <mergeCell ref="B22:E22"/>
    <mergeCell ref="B46:E46"/>
    <mergeCell ref="B36:E36"/>
    <mergeCell ref="B37:E37"/>
    <mergeCell ref="B38:E38"/>
    <mergeCell ref="B39:E39"/>
    <mergeCell ref="B40:E40"/>
    <mergeCell ref="B41:E41"/>
    <mergeCell ref="B42:E42"/>
    <mergeCell ref="B43:E43"/>
    <mergeCell ref="B44:E44"/>
    <mergeCell ref="B45:E45"/>
    <mergeCell ref="B35:E35"/>
    <mergeCell ref="B23:E23"/>
    <mergeCell ref="G4:H4"/>
    <mergeCell ref="B5:D5"/>
    <mergeCell ref="B17:E17"/>
    <mergeCell ref="B15:E15"/>
    <mergeCell ref="B14:E14"/>
    <mergeCell ref="B13:E13"/>
    <mergeCell ref="B12:E12"/>
    <mergeCell ref="B10:E10"/>
    <mergeCell ref="B9:E9"/>
    <mergeCell ref="B8:E8"/>
    <mergeCell ref="B7:E7"/>
    <mergeCell ref="B16:E16"/>
    <mergeCell ref="B11:E11"/>
    <mergeCell ref="B6:E6"/>
    <mergeCell ref="B18:E18"/>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K922"/>
  <sheetViews>
    <sheetView showGridLines="0" view="pageBreakPreview" zoomScale="115" zoomScaleNormal="115" zoomScaleSheetLayoutView="115" workbookViewId="0">
      <pane ySplit="1" topLeftCell="A8" activePane="bottomLeft" state="frozen"/>
      <selection pane="bottomLeft" activeCell="AE13" sqref="AE13"/>
    </sheetView>
  </sheetViews>
  <sheetFormatPr defaultColWidth="9.1796875" defaultRowHeight="14.25" customHeight="1"/>
  <cols>
    <col min="1" max="1" width="3.453125" style="597" customWidth="1"/>
    <col min="2" max="2" width="1.54296875" style="18" customWidth="1"/>
    <col min="3" max="27" width="3.453125" style="18" customWidth="1"/>
    <col min="28" max="28" width="4" style="18" customWidth="1"/>
    <col min="29" max="34" width="3.453125" style="18" customWidth="1"/>
    <col min="35" max="16384" width="9.1796875" style="18"/>
  </cols>
  <sheetData>
    <row r="1" spans="1:43" s="602" customFormat="1" ht="15.75" customHeight="1" thickBot="1">
      <c r="A1" s="772"/>
      <c r="B1" s="2176" t="s">
        <v>1393</v>
      </c>
      <c r="C1" s="2176"/>
      <c r="D1" s="2176"/>
      <c r="E1" s="2176"/>
      <c r="F1" s="2176"/>
      <c r="G1" s="2176"/>
      <c r="H1" s="2176"/>
      <c r="I1" s="2176"/>
      <c r="J1" s="2176"/>
      <c r="K1" s="2176"/>
      <c r="L1" s="2176"/>
      <c r="M1" s="2176"/>
      <c r="N1" s="2176"/>
      <c r="O1" s="2176"/>
      <c r="P1" s="2176"/>
      <c r="Q1" s="2176"/>
      <c r="R1" s="2176"/>
      <c r="S1" s="2176"/>
      <c r="T1" s="2176"/>
      <c r="U1" s="2176"/>
      <c r="V1" s="2176"/>
      <c r="W1" s="2176"/>
      <c r="X1" s="2176"/>
      <c r="Y1" s="2176"/>
      <c r="Z1" s="2176"/>
      <c r="AA1" s="2176"/>
      <c r="AB1" s="2176"/>
      <c r="AC1" s="2176"/>
      <c r="AD1" s="2176"/>
      <c r="AE1" s="2176"/>
      <c r="AF1" s="2176"/>
      <c r="AG1" s="2176"/>
      <c r="AH1" s="2177"/>
      <c r="AI1" s="2160" t="s">
        <v>1401</v>
      </c>
      <c r="AJ1" s="2161"/>
      <c r="AK1" s="2161"/>
      <c r="AL1" s="2161"/>
      <c r="AM1" s="2162"/>
      <c r="AN1" s="770"/>
      <c r="AO1" s="771" t="s">
        <v>1058</v>
      </c>
      <c r="AP1" s="629"/>
      <c r="AQ1" s="770"/>
    </row>
    <row r="2" spans="1:43" s="584" customFormat="1" ht="9.25" customHeight="1">
      <c r="A2" s="597"/>
      <c r="AI2" s="18"/>
      <c r="AJ2" s="18"/>
      <c r="AK2" s="18"/>
      <c r="AL2" s="18"/>
      <c r="AM2" s="18"/>
      <c r="AN2" s="18"/>
      <c r="AO2" s="18"/>
      <c r="AP2" s="18"/>
      <c r="AQ2" s="18"/>
    </row>
    <row r="3" spans="1:43" s="584" customFormat="1" ht="15" customHeight="1">
      <c r="A3" s="597"/>
      <c r="D3" s="922" t="s">
        <v>2674</v>
      </c>
      <c r="E3" s="920"/>
      <c r="F3" s="920"/>
      <c r="G3" s="920"/>
      <c r="H3" s="920"/>
      <c r="I3" s="920"/>
      <c r="J3" s="921"/>
      <c r="K3" s="930"/>
      <c r="L3" s="923" t="s">
        <v>1231</v>
      </c>
      <c r="M3" s="924" t="str">
        <f>MID('Input data'!$C$24,1,1)</f>
        <v>2</v>
      </c>
      <c r="N3" s="925" t="str">
        <f>MID('Input data'!$C$24,2,1)</f>
        <v>0</v>
      </c>
      <c r="O3" s="925" t="str">
        <f>MID('Input data'!$C$24,3,1)</f>
        <v>2</v>
      </c>
      <c r="P3" s="925" t="str">
        <f>MID('Input data'!$C$24,4,1)</f>
        <v>0</v>
      </c>
      <c r="Q3" s="925" t="str">
        <f>MID('Input data'!$C$24,5,1)</f>
        <v>3</v>
      </c>
      <c r="R3" s="925" t="str">
        <f>MID('Input data'!$C$24,6,1)</f>
        <v>1</v>
      </c>
      <c r="S3" s="925" t="str">
        <f>MID('Input data'!$C$24,7,1)</f>
        <v>9</v>
      </c>
      <c r="T3" s="925" t="str">
        <f>MID('Input data'!$C$24,8,1)</f>
        <v>8</v>
      </c>
      <c r="U3" s="925" t="str">
        <f>MID('Input data'!$C$24,9,1)</f>
        <v>2</v>
      </c>
      <c r="V3" s="926" t="str">
        <f>MID('Input data'!$C$24,10,1)</f>
        <v>9</v>
      </c>
      <c r="X3" s="923" t="s">
        <v>1074</v>
      </c>
      <c r="Y3" s="924" t="str">
        <f>MID('Input data'!$C$26,1,1)</f>
        <v>3</v>
      </c>
      <c r="Z3" s="925" t="str">
        <f>MID('Input data'!$C$26,2,1)</f>
        <v>1</v>
      </c>
      <c r="AA3" s="925" t="str">
        <f>MID('Input data'!$C$26,3,1)</f>
        <v>3</v>
      </c>
      <c r="AB3" s="925" t="str">
        <f>MID('Input data'!$C$26,4,1)</f>
        <v>6</v>
      </c>
      <c r="AC3" s="925" t="str">
        <f>MID('Input data'!$C$26,5,1)</f>
        <v>5</v>
      </c>
      <c r="AD3" s="925" t="str">
        <f>MID('Input data'!$C$26,6,1)</f>
        <v>5</v>
      </c>
      <c r="AE3" s="925" t="str">
        <f>MID('Input data'!$C$26,7,1)</f>
        <v>0</v>
      </c>
      <c r="AF3" s="926" t="str">
        <f>MID('Input data'!$C$26,8,1)</f>
        <v>7</v>
      </c>
      <c r="AG3" s="934"/>
      <c r="AH3" s="934"/>
      <c r="AI3" s="18"/>
      <c r="AJ3" s="18"/>
      <c r="AK3" s="18"/>
      <c r="AL3" s="18"/>
      <c r="AM3" s="18"/>
      <c r="AN3" s="18"/>
      <c r="AO3" s="18"/>
      <c r="AP3" s="18"/>
      <c r="AQ3" s="18"/>
    </row>
    <row r="4" spans="1:43" s="584" customFormat="1" ht="15" hidden="1" customHeight="1">
      <c r="A4" s="597"/>
      <c r="D4" s="933"/>
      <c r="E4" s="930"/>
      <c r="F4" s="930"/>
      <c r="G4" s="930"/>
      <c r="H4" s="930"/>
      <c r="I4" s="930"/>
      <c r="J4" s="930"/>
      <c r="K4" s="930"/>
      <c r="W4" s="923"/>
      <c r="X4" s="934"/>
      <c r="Y4" s="934"/>
      <c r="Z4" s="934"/>
      <c r="AA4" s="934"/>
      <c r="AB4" s="934"/>
      <c r="AC4" s="934"/>
      <c r="AD4" s="934"/>
      <c r="AE4" s="934"/>
      <c r="AF4" s="934"/>
      <c r="AG4" s="934"/>
      <c r="AI4" s="18"/>
      <c r="AJ4" s="18"/>
      <c r="AK4" s="18"/>
      <c r="AL4" s="18"/>
      <c r="AM4" s="18"/>
      <c r="AN4" s="18"/>
      <c r="AO4" s="18"/>
      <c r="AP4" s="18"/>
      <c r="AQ4" s="18"/>
    </row>
    <row r="5" spans="1:43" s="584" customFormat="1" ht="15" customHeight="1">
      <c r="A5" s="597"/>
      <c r="D5" s="933" t="str">
        <f>'Input data'!F3</f>
        <v xml:space="preserve">Foss Fibre Optics, s.r.o. 
</v>
      </c>
      <c r="E5" s="930"/>
      <c r="F5" s="930"/>
      <c r="G5" s="930"/>
      <c r="H5" s="930"/>
      <c r="I5" s="930"/>
      <c r="J5" s="930"/>
      <c r="K5" s="930"/>
      <c r="W5" s="923"/>
      <c r="X5" s="934"/>
      <c r="Y5" s="934"/>
      <c r="Z5" s="934"/>
      <c r="AA5" s="934"/>
      <c r="AB5" s="934"/>
      <c r="AC5" s="934"/>
      <c r="AD5" s="934"/>
      <c r="AE5" s="934"/>
      <c r="AF5" s="934"/>
      <c r="AG5" s="934"/>
      <c r="AI5" s="18"/>
      <c r="AJ5" s="18"/>
      <c r="AK5" s="18"/>
      <c r="AL5" s="18"/>
      <c r="AM5" s="18"/>
      <c r="AN5" s="18"/>
      <c r="AO5" s="18"/>
      <c r="AP5" s="18"/>
      <c r="AQ5" s="18"/>
    </row>
    <row r="6" spans="1:43" s="584" customFormat="1" ht="21.75" customHeight="1">
      <c r="A6" s="597"/>
      <c r="AI6" s="18"/>
      <c r="AJ6" s="18"/>
      <c r="AK6" s="18"/>
      <c r="AL6" s="18"/>
      <c r="AM6" s="18"/>
      <c r="AN6" s="18"/>
      <c r="AO6" s="18"/>
      <c r="AP6" s="18"/>
      <c r="AQ6" s="18"/>
    </row>
    <row r="7" spans="1:43" s="584" customFormat="1" ht="14">
      <c r="A7" s="597"/>
      <c r="D7" s="582" t="s">
        <v>1333</v>
      </c>
      <c r="AI7" s="18"/>
      <c r="AJ7" s="18"/>
      <c r="AK7" s="18"/>
      <c r="AL7" s="18"/>
      <c r="AM7" s="18"/>
      <c r="AN7" s="18"/>
      <c r="AO7" s="18"/>
      <c r="AP7" s="18"/>
      <c r="AQ7" s="18"/>
    </row>
    <row r="8" spans="1:43" s="584" customFormat="1" ht="14">
      <c r="A8" s="597"/>
      <c r="D8" s="582"/>
      <c r="AI8" s="18"/>
      <c r="AJ8" s="18"/>
      <c r="AK8" s="18"/>
      <c r="AL8" s="18"/>
      <c r="AM8" s="18"/>
      <c r="AN8" s="18"/>
      <c r="AO8" s="18"/>
      <c r="AP8" s="18"/>
      <c r="AQ8" s="18"/>
    </row>
    <row r="9" spans="1:43" s="584" customFormat="1" ht="15" customHeight="1">
      <c r="A9" s="597"/>
      <c r="D9" s="1937" t="s">
        <v>2916</v>
      </c>
      <c r="E9" s="1938"/>
      <c r="F9" s="1938"/>
      <c r="G9" s="1938"/>
      <c r="H9" s="1938"/>
      <c r="I9" s="1938"/>
      <c r="J9" s="1938"/>
      <c r="K9" s="1938"/>
      <c r="L9" s="1938"/>
      <c r="M9" s="1938"/>
      <c r="N9" s="1938"/>
      <c r="O9" s="1938"/>
      <c r="P9" s="1938"/>
      <c r="Q9" s="1938"/>
      <c r="R9" s="1938"/>
      <c r="S9" s="1938"/>
      <c r="T9" s="1938"/>
      <c r="U9" s="1938"/>
      <c r="V9" s="1938"/>
      <c r="W9" s="1938"/>
      <c r="X9" s="1938"/>
      <c r="Y9" s="1938"/>
      <c r="Z9" s="1938"/>
      <c r="AA9" s="1938"/>
      <c r="AB9" s="1938"/>
      <c r="AC9" s="1938"/>
      <c r="AD9" s="1938"/>
      <c r="AE9" s="1938"/>
      <c r="AF9" s="1938"/>
      <c r="AG9" s="1938"/>
      <c r="AI9" s="18"/>
      <c r="AJ9" s="18"/>
      <c r="AK9" s="18"/>
      <c r="AL9" s="18"/>
      <c r="AM9" s="18"/>
      <c r="AN9" s="18"/>
      <c r="AO9" s="18"/>
      <c r="AP9" s="18"/>
      <c r="AQ9" s="18"/>
    </row>
    <row r="10" spans="1:43" s="584" customFormat="1" ht="14">
      <c r="A10" s="597"/>
      <c r="D10" s="1938"/>
      <c r="E10" s="1938"/>
      <c r="F10" s="1938"/>
      <c r="G10" s="1938"/>
      <c r="H10" s="1938"/>
      <c r="I10" s="1938"/>
      <c r="J10" s="1938"/>
      <c r="K10" s="1938"/>
      <c r="L10" s="1938"/>
      <c r="M10" s="1938"/>
      <c r="N10" s="1938"/>
      <c r="O10" s="1938"/>
      <c r="P10" s="1938"/>
      <c r="Q10" s="1938"/>
      <c r="R10" s="1938"/>
      <c r="S10" s="1938"/>
      <c r="T10" s="1938"/>
      <c r="U10" s="1938"/>
      <c r="V10" s="1938"/>
      <c r="W10" s="1938"/>
      <c r="X10" s="1938"/>
      <c r="Y10" s="1938"/>
      <c r="Z10" s="1938"/>
      <c r="AA10" s="1938"/>
      <c r="AB10" s="1938"/>
      <c r="AC10" s="1938"/>
      <c r="AD10" s="1938"/>
      <c r="AE10" s="1938"/>
      <c r="AF10" s="1938"/>
      <c r="AG10" s="1938"/>
      <c r="AI10" s="18"/>
      <c r="AJ10" s="18"/>
      <c r="AK10" s="18"/>
      <c r="AL10" s="18"/>
      <c r="AM10" s="18"/>
      <c r="AN10" s="18"/>
      <c r="AO10" s="18"/>
      <c r="AP10" s="18"/>
      <c r="AQ10" s="18"/>
    </row>
    <row r="11" spans="1:43" s="584" customFormat="1" ht="14">
      <c r="A11" s="597"/>
      <c r="D11" s="1938"/>
      <c r="E11" s="1938"/>
      <c r="F11" s="1938"/>
      <c r="G11" s="1938"/>
      <c r="H11" s="1938"/>
      <c r="I11" s="1938"/>
      <c r="J11" s="1938"/>
      <c r="K11" s="1938"/>
      <c r="L11" s="1938"/>
      <c r="M11" s="1938"/>
      <c r="N11" s="1938"/>
      <c r="O11" s="1938"/>
      <c r="P11" s="1938"/>
      <c r="Q11" s="1938"/>
      <c r="R11" s="1938"/>
      <c r="S11" s="1938"/>
      <c r="T11" s="1938"/>
      <c r="U11" s="1938"/>
      <c r="V11" s="1938"/>
      <c r="W11" s="1938"/>
      <c r="X11" s="1938"/>
      <c r="Y11" s="1938"/>
      <c r="Z11" s="1938"/>
      <c r="AA11" s="1938"/>
      <c r="AB11" s="1938"/>
      <c r="AC11" s="1938"/>
      <c r="AD11" s="1938"/>
      <c r="AE11" s="1938"/>
      <c r="AF11" s="1938"/>
      <c r="AG11" s="1938"/>
      <c r="AI11" s="18"/>
      <c r="AJ11" s="18"/>
      <c r="AK11" s="18"/>
      <c r="AL11" s="18"/>
      <c r="AM11" s="18"/>
      <c r="AN11" s="18"/>
      <c r="AO11" s="18"/>
      <c r="AP11" s="18"/>
      <c r="AQ11" s="18"/>
    </row>
    <row r="12" spans="1:43" s="584" customFormat="1" ht="14">
      <c r="A12" s="597"/>
      <c r="D12" s="1938"/>
      <c r="E12" s="1938"/>
      <c r="F12" s="1938"/>
      <c r="G12" s="1938"/>
      <c r="H12" s="1938"/>
      <c r="I12" s="1938"/>
      <c r="J12" s="1938"/>
      <c r="K12" s="1938"/>
      <c r="L12" s="1938"/>
      <c r="M12" s="1938"/>
      <c r="N12" s="1938"/>
      <c r="O12" s="1938"/>
      <c r="P12" s="1938"/>
      <c r="Q12" s="1938"/>
      <c r="R12" s="1938"/>
      <c r="S12" s="1938"/>
      <c r="T12" s="1938"/>
      <c r="U12" s="1938"/>
      <c r="V12" s="1938"/>
      <c r="W12" s="1938"/>
      <c r="X12" s="1938"/>
      <c r="Y12" s="1938"/>
      <c r="Z12" s="1938"/>
      <c r="AA12" s="1938"/>
      <c r="AB12" s="1938"/>
      <c r="AC12" s="1938"/>
      <c r="AD12" s="1938"/>
      <c r="AE12" s="1938"/>
      <c r="AF12" s="1938"/>
      <c r="AG12" s="1938"/>
      <c r="AI12" s="18"/>
      <c r="AJ12" s="18"/>
      <c r="AK12" s="18"/>
      <c r="AL12" s="18"/>
      <c r="AM12" s="18"/>
      <c r="AN12" s="18"/>
      <c r="AO12" s="18"/>
      <c r="AP12" s="18"/>
      <c r="AQ12" s="18"/>
    </row>
    <row r="13" spans="1:43" s="584" customFormat="1" ht="14">
      <c r="A13" s="597"/>
      <c r="AI13" s="18"/>
      <c r="AJ13" s="18"/>
      <c r="AK13" s="18"/>
      <c r="AL13" s="18"/>
      <c r="AM13" s="18"/>
      <c r="AN13" s="18"/>
      <c r="AO13" s="18"/>
      <c r="AP13" s="18"/>
      <c r="AQ13" s="18"/>
    </row>
    <row r="14" spans="1:43" s="584" customFormat="1" ht="14">
      <c r="A14" s="597"/>
      <c r="D14" s="2126"/>
      <c r="E14" s="2126"/>
      <c r="F14" s="2126"/>
      <c r="G14" s="2126"/>
      <c r="H14" s="2126"/>
      <c r="I14" s="2126"/>
      <c r="J14" s="2126"/>
      <c r="K14" s="2126"/>
      <c r="L14" s="2126"/>
      <c r="M14" s="2126"/>
      <c r="N14" s="2126"/>
      <c r="O14" s="2126"/>
      <c r="P14" s="2126"/>
      <c r="Q14" s="2126"/>
      <c r="R14" s="2126"/>
      <c r="S14" s="2126"/>
      <c r="T14" s="2126"/>
      <c r="U14" s="2126"/>
      <c r="V14" s="2126"/>
      <c r="W14" s="2126"/>
      <c r="X14" s="2126"/>
      <c r="Y14" s="2126"/>
      <c r="Z14" s="2126"/>
      <c r="AA14" s="2126"/>
      <c r="AB14" s="2126"/>
      <c r="AC14" s="2126"/>
      <c r="AD14" s="2126"/>
      <c r="AE14" s="2126"/>
      <c r="AF14" s="2126"/>
      <c r="AG14" s="2126"/>
      <c r="AI14" s="18"/>
      <c r="AJ14" s="18"/>
      <c r="AK14" s="18"/>
      <c r="AL14" s="18"/>
      <c r="AM14" s="18"/>
      <c r="AN14" s="18"/>
      <c r="AO14" s="18"/>
      <c r="AP14" s="18"/>
      <c r="AQ14" s="18"/>
    </row>
    <row r="15" spans="1:43" s="584" customFormat="1" ht="14">
      <c r="A15" s="597"/>
      <c r="D15" s="2126" t="s">
        <v>2717</v>
      </c>
      <c r="E15" s="2126"/>
      <c r="F15" s="2126"/>
      <c r="G15" s="2126"/>
      <c r="H15" s="2126"/>
      <c r="I15" s="2126"/>
      <c r="J15" s="2126"/>
      <c r="K15" s="2126"/>
      <c r="L15" s="2126"/>
      <c r="M15" s="2126"/>
      <c r="N15" s="2126"/>
      <c r="O15" s="2126"/>
      <c r="P15" s="2126"/>
      <c r="Q15" s="2126"/>
      <c r="R15" s="2126"/>
      <c r="S15" s="2126"/>
      <c r="T15" s="2126"/>
      <c r="U15" s="2126"/>
      <c r="V15" s="2126"/>
      <c r="W15" s="2126"/>
      <c r="X15" s="2126"/>
      <c r="Y15" s="2126"/>
      <c r="Z15" s="2126"/>
      <c r="AA15" s="2126"/>
      <c r="AB15" s="2126"/>
      <c r="AC15" s="2126"/>
      <c r="AD15" s="2126"/>
      <c r="AE15" s="2126"/>
      <c r="AF15" s="2126"/>
      <c r="AG15" s="2126"/>
      <c r="AI15" s="18"/>
      <c r="AJ15" s="18"/>
      <c r="AK15" s="18"/>
      <c r="AL15" s="18"/>
      <c r="AM15" s="18"/>
      <c r="AN15" s="18"/>
      <c r="AO15" s="18"/>
      <c r="AP15" s="18"/>
      <c r="AQ15" s="18"/>
    </row>
    <row r="16" spans="1:43" s="584" customFormat="1" ht="14">
      <c r="A16" s="597"/>
      <c r="AI16" s="18"/>
      <c r="AJ16" s="18"/>
      <c r="AK16" s="18"/>
      <c r="AL16" s="18"/>
      <c r="AM16" s="18"/>
      <c r="AN16" s="18"/>
      <c r="AO16" s="18"/>
      <c r="AP16" s="18"/>
      <c r="AQ16" s="18"/>
    </row>
    <row r="17" spans="1:43" s="584" customFormat="1" ht="14">
      <c r="A17" s="597"/>
      <c r="D17" s="596" t="s">
        <v>1330</v>
      </c>
      <c r="AI17" s="18"/>
      <c r="AJ17" s="18"/>
      <c r="AK17" s="18"/>
      <c r="AL17" s="18"/>
      <c r="AM17" s="18"/>
      <c r="AN17" s="18"/>
      <c r="AO17" s="18"/>
      <c r="AP17" s="18"/>
      <c r="AQ17" s="18"/>
    </row>
    <row r="18" spans="1:43" s="584" customFormat="1" ht="14">
      <c r="A18" s="597"/>
      <c r="D18" s="2178" t="s">
        <v>2718</v>
      </c>
      <c r="E18" s="2178"/>
      <c r="F18" s="2178"/>
      <c r="G18" s="2178"/>
      <c r="H18" s="2178"/>
      <c r="I18" s="2178"/>
      <c r="J18" s="2178"/>
      <c r="K18" s="2178"/>
      <c r="L18" s="2178"/>
      <c r="M18" s="2178"/>
      <c r="N18" s="2178"/>
      <c r="O18" s="2178"/>
      <c r="P18" s="2178"/>
      <c r="Q18" s="2178"/>
      <c r="R18" s="2178"/>
      <c r="S18" s="2178"/>
      <c r="T18" s="2178"/>
      <c r="U18" s="2178"/>
      <c r="V18" s="2178"/>
      <c r="W18" s="2178"/>
      <c r="X18" s="2178"/>
      <c r="Y18" s="2178"/>
      <c r="Z18" s="2178"/>
      <c r="AA18" s="2178"/>
      <c r="AB18" s="2178"/>
      <c r="AC18" s="2178"/>
      <c r="AD18" s="2178"/>
      <c r="AE18" s="2178"/>
      <c r="AF18" s="2178"/>
      <c r="AG18" s="2178"/>
      <c r="AI18" s="18"/>
      <c r="AJ18" s="18"/>
      <c r="AK18" s="18"/>
      <c r="AL18" s="18"/>
      <c r="AM18" s="18"/>
      <c r="AN18" s="18"/>
      <c r="AO18" s="18"/>
      <c r="AP18" s="18"/>
      <c r="AQ18" s="18"/>
    </row>
    <row r="19" spans="1:43" s="584" customFormat="1" ht="14">
      <c r="A19" s="597"/>
      <c r="D19" s="2178" t="s">
        <v>2721</v>
      </c>
      <c r="E19" s="2178"/>
      <c r="F19" s="2178"/>
      <c r="G19" s="2178"/>
      <c r="H19" s="2178"/>
      <c r="I19" s="2178"/>
      <c r="J19" s="2178"/>
      <c r="K19" s="2178"/>
      <c r="L19" s="2178"/>
      <c r="M19" s="2178"/>
      <c r="N19" s="2178"/>
      <c r="O19" s="2178"/>
      <c r="P19" s="2178"/>
      <c r="Q19" s="2178"/>
      <c r="R19" s="2178"/>
      <c r="S19" s="2178"/>
      <c r="T19" s="2178"/>
      <c r="U19" s="2178"/>
      <c r="V19" s="2178"/>
      <c r="W19" s="2178"/>
      <c r="X19" s="2178"/>
      <c r="Y19" s="2178"/>
      <c r="Z19" s="2178"/>
      <c r="AA19" s="2178"/>
      <c r="AB19" s="2178"/>
      <c r="AC19" s="2178"/>
      <c r="AD19" s="2178"/>
      <c r="AE19" s="2178"/>
      <c r="AF19" s="2178"/>
      <c r="AG19" s="2178"/>
      <c r="AI19" s="18"/>
      <c r="AJ19" s="18"/>
      <c r="AK19" s="18"/>
      <c r="AL19" s="18"/>
      <c r="AM19" s="18"/>
      <c r="AN19" s="18"/>
      <c r="AO19" s="18"/>
      <c r="AP19" s="18"/>
      <c r="AQ19" s="18"/>
    </row>
    <row r="20" spans="1:43" s="584" customFormat="1" ht="14">
      <c r="A20" s="597"/>
      <c r="D20" s="2178" t="s">
        <v>2719</v>
      </c>
      <c r="E20" s="2178"/>
      <c r="F20" s="2178"/>
      <c r="G20" s="2178"/>
      <c r="H20" s="2178"/>
      <c r="I20" s="2178"/>
      <c r="J20" s="2178"/>
      <c r="K20" s="2178"/>
      <c r="L20" s="2178"/>
      <c r="M20" s="2178"/>
      <c r="N20" s="2178"/>
      <c r="O20" s="2178"/>
      <c r="P20" s="2178"/>
      <c r="Q20" s="2178"/>
      <c r="R20" s="2178"/>
      <c r="S20" s="2178"/>
      <c r="T20" s="2178"/>
      <c r="U20" s="2178"/>
      <c r="V20" s="2178"/>
      <c r="W20" s="2178"/>
      <c r="X20" s="2178"/>
      <c r="Y20" s="2178"/>
      <c r="Z20" s="2178"/>
      <c r="AA20" s="2178"/>
      <c r="AB20" s="2178"/>
      <c r="AC20" s="2178"/>
      <c r="AD20" s="2178"/>
      <c r="AE20" s="2178"/>
      <c r="AF20" s="2178"/>
      <c r="AG20" s="2178"/>
      <c r="AI20" s="18"/>
      <c r="AJ20" s="18"/>
      <c r="AK20" s="18"/>
      <c r="AL20" s="18"/>
      <c r="AM20" s="18"/>
      <c r="AN20" s="18"/>
      <c r="AO20" s="18"/>
      <c r="AP20" s="18"/>
      <c r="AQ20" s="18"/>
    </row>
    <row r="21" spans="1:43" s="584" customFormat="1" ht="14">
      <c r="A21" s="597"/>
      <c r="D21" s="2178" t="s">
        <v>2720</v>
      </c>
      <c r="E21" s="2178"/>
      <c r="F21" s="2178"/>
      <c r="G21" s="2178"/>
      <c r="H21" s="2178"/>
      <c r="I21" s="2178"/>
      <c r="J21" s="2178"/>
      <c r="K21" s="2178"/>
      <c r="L21" s="2178"/>
      <c r="M21" s="2178"/>
      <c r="N21" s="2178"/>
      <c r="O21" s="2178"/>
      <c r="P21" s="2178"/>
      <c r="Q21" s="2178"/>
      <c r="R21" s="2178"/>
      <c r="S21" s="2178"/>
      <c r="T21" s="2178"/>
      <c r="U21" s="2178"/>
      <c r="V21" s="2178"/>
      <c r="W21" s="2178"/>
      <c r="X21" s="2178"/>
      <c r="Y21" s="2178"/>
      <c r="Z21" s="2178"/>
      <c r="AA21" s="2178"/>
      <c r="AB21" s="2178"/>
      <c r="AC21" s="2178"/>
      <c r="AD21" s="2178"/>
      <c r="AE21" s="2178"/>
      <c r="AF21" s="2178"/>
      <c r="AG21" s="2178"/>
      <c r="AI21" s="18"/>
      <c r="AJ21" s="18"/>
      <c r="AK21" s="18"/>
      <c r="AL21" s="18"/>
      <c r="AM21" s="18"/>
      <c r="AN21" s="18"/>
      <c r="AO21" s="18"/>
      <c r="AP21" s="18"/>
      <c r="AQ21" s="18"/>
    </row>
    <row r="22" spans="1:43" s="584" customFormat="1" ht="14">
      <c r="A22" s="597"/>
      <c r="AI22" s="18"/>
      <c r="AJ22" s="18"/>
      <c r="AK22" s="18"/>
      <c r="AL22" s="18"/>
      <c r="AM22" s="18"/>
      <c r="AN22" s="18"/>
      <c r="AO22" s="18"/>
      <c r="AP22" s="18"/>
      <c r="AQ22" s="18"/>
    </row>
    <row r="23" spans="1:43" s="584" customFormat="1" ht="14">
      <c r="A23" s="597"/>
      <c r="D23" s="917" t="s">
        <v>2917</v>
      </c>
      <c r="AI23" s="18"/>
      <c r="AJ23" s="18"/>
      <c r="AK23" s="18"/>
      <c r="AL23" s="18"/>
      <c r="AM23" s="18"/>
      <c r="AN23" s="18"/>
      <c r="AO23" s="18"/>
      <c r="AP23" s="18"/>
      <c r="AQ23" s="18"/>
    </row>
    <row r="24" spans="1:43" s="584" customFormat="1" ht="14.5" thickBot="1">
      <c r="A24" s="597"/>
      <c r="AI24" s="18"/>
      <c r="AJ24" s="18"/>
      <c r="AK24" s="18"/>
      <c r="AL24" s="18"/>
      <c r="AM24" s="18"/>
      <c r="AN24" s="18"/>
      <c r="AO24" s="18"/>
      <c r="AP24" s="18"/>
      <c r="AQ24" s="18"/>
    </row>
    <row r="25" spans="1:43" s="584" customFormat="1" ht="34.75" customHeight="1" thickBot="1">
      <c r="A25" s="597"/>
      <c r="D25" s="2164" t="s">
        <v>1</v>
      </c>
      <c r="E25" s="2164"/>
      <c r="F25" s="2164"/>
      <c r="G25" s="2164"/>
      <c r="H25" s="2164"/>
      <c r="I25" s="2164"/>
      <c r="J25" s="2164"/>
      <c r="K25" s="2164"/>
      <c r="L25" s="2164"/>
      <c r="M25" s="2164"/>
      <c r="N25" s="2164"/>
      <c r="O25" s="2164"/>
      <c r="P25" s="2164" t="s">
        <v>2</v>
      </c>
      <c r="Q25" s="2164"/>
      <c r="R25" s="2164"/>
      <c r="S25" s="2164"/>
      <c r="T25" s="2164"/>
      <c r="U25" s="2164"/>
      <c r="V25" s="2164"/>
      <c r="W25" s="2164"/>
      <c r="X25" s="2164"/>
      <c r="Y25" s="2164" t="s">
        <v>3</v>
      </c>
      <c r="Z25" s="2164"/>
      <c r="AA25" s="2164"/>
      <c r="AB25" s="2164"/>
      <c r="AC25" s="2164"/>
      <c r="AD25" s="2164"/>
      <c r="AE25" s="2164"/>
      <c r="AF25" s="2164"/>
      <c r="AG25" s="2164"/>
      <c r="AI25" s="18"/>
      <c r="AJ25" s="18"/>
      <c r="AK25" s="18"/>
      <c r="AL25" s="18"/>
      <c r="AM25" s="18"/>
      <c r="AN25" s="18"/>
      <c r="AO25" s="18"/>
      <c r="AP25" s="18"/>
      <c r="AQ25" s="18"/>
    </row>
    <row r="26" spans="1:43" s="584" customFormat="1" ht="30" customHeight="1">
      <c r="A26" s="597"/>
      <c r="D26" s="2168" t="s">
        <v>4</v>
      </c>
      <c r="E26" s="2168"/>
      <c r="F26" s="2168"/>
      <c r="G26" s="2168"/>
      <c r="H26" s="2168"/>
      <c r="I26" s="2168"/>
      <c r="J26" s="2168"/>
      <c r="K26" s="2168"/>
      <c r="L26" s="2168"/>
      <c r="M26" s="2168"/>
      <c r="N26" s="2168"/>
      <c r="O26" s="2168"/>
      <c r="P26" s="1923">
        <v>53</v>
      </c>
      <c r="Q26" s="1923"/>
      <c r="R26" s="1923"/>
      <c r="S26" s="1923"/>
      <c r="T26" s="1923"/>
      <c r="U26" s="1923"/>
      <c r="V26" s="1923"/>
      <c r="W26" s="1923"/>
      <c r="X26" s="1923"/>
      <c r="Y26" s="1923">
        <v>52</v>
      </c>
      <c r="Z26" s="1923"/>
      <c r="AA26" s="1923"/>
      <c r="AB26" s="1923"/>
      <c r="AC26" s="1923"/>
      <c r="AD26" s="1923"/>
      <c r="AE26" s="1923"/>
      <c r="AF26" s="1923"/>
      <c r="AG26" s="1923"/>
      <c r="AI26" s="18"/>
      <c r="AJ26" s="18"/>
      <c r="AK26" s="18"/>
      <c r="AL26" s="18"/>
      <c r="AM26" s="18"/>
      <c r="AN26" s="18"/>
      <c r="AO26" s="18"/>
      <c r="AP26" s="18"/>
      <c r="AQ26" s="18"/>
    </row>
    <row r="27" spans="1:43" s="584" customFormat="1" ht="30" customHeight="1">
      <c r="A27" s="597"/>
      <c r="D27" s="2167" t="s">
        <v>5</v>
      </c>
      <c r="E27" s="2167"/>
      <c r="F27" s="2167"/>
      <c r="G27" s="2167"/>
      <c r="H27" s="2167"/>
      <c r="I27" s="2167"/>
      <c r="J27" s="2167"/>
      <c r="K27" s="2167"/>
      <c r="L27" s="2167"/>
      <c r="M27" s="2167"/>
      <c r="N27" s="2167"/>
      <c r="O27" s="2167"/>
      <c r="P27" s="1790">
        <v>55</v>
      </c>
      <c r="Q27" s="1790"/>
      <c r="R27" s="1790"/>
      <c r="S27" s="1790"/>
      <c r="T27" s="1790"/>
      <c r="U27" s="1790"/>
      <c r="V27" s="1790"/>
      <c r="W27" s="1790"/>
      <c r="X27" s="1790"/>
      <c r="Y27" s="1850">
        <v>51</v>
      </c>
      <c r="Z27" s="1850"/>
      <c r="AA27" s="1850"/>
      <c r="AB27" s="1850"/>
      <c r="AC27" s="1850"/>
      <c r="AD27" s="1850"/>
      <c r="AE27" s="1850"/>
      <c r="AF27" s="1850"/>
      <c r="AG27" s="1850"/>
      <c r="AI27" s="18"/>
      <c r="AJ27" s="18"/>
      <c r="AK27" s="18"/>
      <c r="AL27" s="18"/>
      <c r="AM27" s="18"/>
      <c r="AN27" s="18"/>
      <c r="AO27" s="18"/>
      <c r="AP27" s="18"/>
      <c r="AQ27" s="18"/>
    </row>
    <row r="28" spans="1:43" s="584" customFormat="1" ht="30" customHeight="1" thickBot="1">
      <c r="A28" s="597"/>
      <c r="D28" s="2166" t="s">
        <v>6</v>
      </c>
      <c r="E28" s="2166"/>
      <c r="F28" s="2166"/>
      <c r="G28" s="2166"/>
      <c r="H28" s="2166"/>
      <c r="I28" s="2166"/>
      <c r="J28" s="2166"/>
      <c r="K28" s="2166"/>
      <c r="L28" s="2166"/>
      <c r="M28" s="2166"/>
      <c r="N28" s="2166"/>
      <c r="O28" s="2166"/>
      <c r="P28" s="2165">
        <v>3</v>
      </c>
      <c r="Q28" s="2165"/>
      <c r="R28" s="2165"/>
      <c r="S28" s="2165"/>
      <c r="T28" s="2165"/>
      <c r="U28" s="2165"/>
      <c r="V28" s="2165"/>
      <c r="W28" s="2165"/>
      <c r="X28" s="2165"/>
      <c r="Y28" s="2163">
        <v>3</v>
      </c>
      <c r="Z28" s="2163"/>
      <c r="AA28" s="2163"/>
      <c r="AB28" s="2163"/>
      <c r="AC28" s="2163"/>
      <c r="AD28" s="2163"/>
      <c r="AE28" s="2163"/>
      <c r="AF28" s="2163"/>
      <c r="AG28" s="2163"/>
      <c r="AI28" s="18"/>
      <c r="AJ28" s="18"/>
      <c r="AK28" s="18"/>
      <c r="AL28" s="18"/>
      <c r="AM28" s="18"/>
      <c r="AN28" s="18"/>
      <c r="AO28" s="18"/>
      <c r="AP28" s="18"/>
      <c r="AQ28" s="18"/>
    </row>
    <row r="29" spans="1:43" s="584" customFormat="1" ht="14">
      <c r="A29" s="597"/>
      <c r="AI29" s="18"/>
      <c r="AJ29" s="18"/>
      <c r="AK29" s="18"/>
      <c r="AL29" s="18"/>
      <c r="AM29" s="18"/>
      <c r="AN29" s="18"/>
      <c r="AO29" s="18"/>
      <c r="AP29" s="18"/>
      <c r="AQ29" s="18"/>
    </row>
    <row r="30" spans="1:43" s="584" customFormat="1" ht="15" customHeight="1">
      <c r="A30" s="597"/>
      <c r="D30" s="1510" t="s">
        <v>3035</v>
      </c>
      <c r="E30" s="1510"/>
      <c r="F30" s="1510"/>
      <c r="G30" s="1510"/>
      <c r="H30" s="1510"/>
      <c r="I30" s="1510"/>
      <c r="J30" s="1510"/>
      <c r="K30" s="1510"/>
      <c r="L30" s="1510"/>
      <c r="M30" s="1510"/>
      <c r="N30" s="1510"/>
      <c r="O30" s="1510"/>
      <c r="P30" s="1510"/>
      <c r="Q30" s="1510"/>
      <c r="R30" s="1510"/>
      <c r="S30" s="1510"/>
      <c r="T30" s="1510"/>
      <c r="U30" s="1510"/>
      <c r="V30" s="1510"/>
      <c r="W30" s="1510"/>
      <c r="X30" s="1510"/>
      <c r="Y30" s="1510"/>
      <c r="Z30" s="1510"/>
      <c r="AA30" s="1510"/>
      <c r="AB30" s="1510"/>
      <c r="AC30" s="1510"/>
      <c r="AD30" s="1510"/>
      <c r="AE30" s="1510"/>
      <c r="AF30" s="1510"/>
      <c r="AG30" s="1510"/>
      <c r="AI30" s="18"/>
      <c r="AJ30" s="18"/>
      <c r="AK30" s="18"/>
      <c r="AL30" s="18"/>
      <c r="AM30" s="18"/>
      <c r="AN30" s="18"/>
      <c r="AO30" s="18"/>
      <c r="AP30" s="18"/>
      <c r="AQ30" s="18"/>
    </row>
    <row r="31" spans="1:43" s="584" customFormat="1" ht="14.5" thickBot="1">
      <c r="A31" s="597"/>
      <c r="D31" s="773"/>
      <c r="E31" s="773"/>
      <c r="F31" s="773"/>
      <c r="G31" s="773"/>
      <c r="H31" s="773"/>
      <c r="I31" s="773"/>
      <c r="J31" s="773"/>
      <c r="K31" s="773"/>
      <c r="L31" s="773"/>
      <c r="M31" s="773"/>
      <c r="N31" s="773"/>
      <c r="O31" s="773"/>
      <c r="P31" s="773"/>
      <c r="Q31" s="773"/>
      <c r="R31" s="773"/>
      <c r="S31" s="773"/>
      <c r="T31" s="773"/>
      <c r="U31" s="773"/>
      <c r="V31" s="773"/>
      <c r="W31" s="773"/>
      <c r="X31" s="773"/>
      <c r="Y31" s="773"/>
      <c r="Z31" s="773"/>
      <c r="AA31" s="773"/>
      <c r="AB31" s="773"/>
      <c r="AC31" s="773"/>
      <c r="AD31" s="773"/>
      <c r="AE31" s="773"/>
      <c r="AF31" s="773"/>
      <c r="AG31" s="773"/>
      <c r="AI31" s="18"/>
      <c r="AJ31" s="18"/>
      <c r="AK31" s="18"/>
      <c r="AL31" s="18"/>
      <c r="AM31" s="18"/>
      <c r="AN31" s="18"/>
      <c r="AO31" s="18"/>
      <c r="AP31" s="18"/>
      <c r="AQ31" s="18"/>
    </row>
    <row r="32" spans="1:43" s="584" customFormat="1" ht="24.75" customHeight="1" thickBot="1">
      <c r="A32" s="597"/>
      <c r="D32" s="1911" t="s">
        <v>9</v>
      </c>
      <c r="E32" s="1911"/>
      <c r="F32" s="1911"/>
      <c r="G32" s="1911"/>
      <c r="H32" s="1911"/>
      <c r="I32" s="1911"/>
      <c r="J32" s="1911"/>
      <c r="K32" s="1911"/>
      <c r="L32" s="1911"/>
      <c r="M32" s="1911"/>
      <c r="N32" s="1911" t="s">
        <v>10</v>
      </c>
      <c r="O32" s="1911"/>
      <c r="P32" s="1911"/>
      <c r="Q32" s="1911"/>
      <c r="R32" s="1911"/>
      <c r="S32" s="1911"/>
      <c r="T32" s="1911"/>
      <c r="U32" s="1911"/>
      <c r="V32" s="1911"/>
      <c r="W32" s="1911"/>
      <c r="X32" s="1911" t="s">
        <v>11</v>
      </c>
      <c r="Y32" s="1911"/>
      <c r="Z32" s="1911"/>
      <c r="AA32" s="1911"/>
      <c r="AB32" s="1911"/>
      <c r="AC32" s="1911" t="s">
        <v>454</v>
      </c>
      <c r="AD32" s="1911"/>
      <c r="AE32" s="1911"/>
      <c r="AF32" s="1911"/>
      <c r="AG32" s="1911"/>
      <c r="AI32" s="18"/>
      <c r="AJ32" s="18"/>
      <c r="AK32" s="18"/>
      <c r="AL32" s="18"/>
      <c r="AM32" s="18"/>
      <c r="AN32" s="18"/>
      <c r="AO32" s="18"/>
      <c r="AP32" s="18"/>
      <c r="AQ32" s="18"/>
    </row>
    <row r="33" spans="1:43" s="584" customFormat="1" ht="24.75" customHeight="1" thickBot="1">
      <c r="A33" s="597"/>
      <c r="D33" s="1911"/>
      <c r="E33" s="1911"/>
      <c r="F33" s="1911"/>
      <c r="G33" s="1911"/>
      <c r="H33" s="1911"/>
      <c r="I33" s="1911"/>
      <c r="J33" s="1911"/>
      <c r="K33" s="1911"/>
      <c r="L33" s="1911"/>
      <c r="M33" s="1911"/>
      <c r="N33" s="1911" t="s">
        <v>13</v>
      </c>
      <c r="O33" s="1911"/>
      <c r="P33" s="1911"/>
      <c r="Q33" s="1911"/>
      <c r="R33" s="1911"/>
      <c r="S33" s="1911" t="s">
        <v>12</v>
      </c>
      <c r="T33" s="1911"/>
      <c r="U33" s="1911"/>
      <c r="V33" s="1911"/>
      <c r="W33" s="1911"/>
      <c r="X33" s="1911"/>
      <c r="Y33" s="1911"/>
      <c r="Z33" s="1911"/>
      <c r="AA33" s="1911"/>
      <c r="AB33" s="1911"/>
      <c r="AC33" s="1911"/>
      <c r="AD33" s="1911"/>
      <c r="AE33" s="1911"/>
      <c r="AF33" s="1911"/>
      <c r="AG33" s="1911"/>
      <c r="AI33" s="18"/>
      <c r="AJ33" s="18"/>
      <c r="AK33" s="18"/>
      <c r="AL33" s="18"/>
      <c r="AM33" s="18"/>
      <c r="AN33" s="18"/>
      <c r="AO33" s="18"/>
      <c r="AP33" s="18"/>
      <c r="AQ33" s="18"/>
    </row>
    <row r="34" spans="1:43" s="584" customFormat="1" ht="15.75" customHeight="1">
      <c r="A34" s="597"/>
      <c r="D34" s="1912" t="s">
        <v>2722</v>
      </c>
      <c r="E34" s="1913"/>
      <c r="F34" s="1913"/>
      <c r="G34" s="1913"/>
      <c r="H34" s="1913"/>
      <c r="I34" s="1913"/>
      <c r="J34" s="1913"/>
      <c r="K34" s="1913"/>
      <c r="L34" s="1913"/>
      <c r="M34" s="1914"/>
      <c r="N34" s="1915">
        <v>2506390</v>
      </c>
      <c r="O34" s="1916"/>
      <c r="P34" s="1916"/>
      <c r="Q34" s="1916"/>
      <c r="R34" s="1916"/>
      <c r="S34" s="1917">
        <v>1</v>
      </c>
      <c r="T34" s="1917"/>
      <c r="U34" s="1917"/>
      <c r="V34" s="1917"/>
      <c r="W34" s="1917"/>
      <c r="X34" s="1917">
        <v>1</v>
      </c>
      <c r="Y34" s="1917"/>
      <c r="Z34" s="1917"/>
      <c r="AA34" s="1917"/>
      <c r="AB34" s="1917"/>
      <c r="AC34" s="1917">
        <v>1</v>
      </c>
      <c r="AD34" s="1917"/>
      <c r="AE34" s="1917"/>
      <c r="AF34" s="1917"/>
      <c r="AG34" s="1917"/>
      <c r="AI34" s="18"/>
      <c r="AJ34" s="18"/>
      <c r="AK34" s="18"/>
      <c r="AL34" s="18"/>
      <c r="AM34" s="18"/>
      <c r="AN34" s="18"/>
      <c r="AO34" s="18"/>
      <c r="AP34" s="18"/>
      <c r="AQ34" s="18"/>
    </row>
    <row r="35" spans="1:43" s="584" customFormat="1" ht="15.75" customHeight="1">
      <c r="A35" s="597"/>
      <c r="D35" s="1918"/>
      <c r="E35" s="1918"/>
      <c r="F35" s="1918"/>
      <c r="G35" s="1918"/>
      <c r="H35" s="1918"/>
      <c r="I35" s="1918"/>
      <c r="J35" s="1918"/>
      <c r="K35" s="1918"/>
      <c r="L35" s="1918"/>
      <c r="M35" s="1918"/>
      <c r="N35" s="1919"/>
      <c r="O35" s="1919"/>
      <c r="P35" s="1919"/>
      <c r="Q35" s="1919"/>
      <c r="R35" s="1919"/>
      <c r="S35" s="1920"/>
      <c r="T35" s="1920"/>
      <c r="U35" s="1920"/>
      <c r="V35" s="1920"/>
      <c r="W35" s="1920"/>
      <c r="X35" s="1920"/>
      <c r="Y35" s="1920"/>
      <c r="Z35" s="1920"/>
      <c r="AA35" s="1920"/>
      <c r="AB35" s="1920"/>
      <c r="AC35" s="1920"/>
      <c r="AD35" s="1920"/>
      <c r="AE35" s="1920"/>
      <c r="AF35" s="1920"/>
      <c r="AG35" s="1920"/>
      <c r="AI35" s="18"/>
      <c r="AJ35" s="18"/>
      <c r="AK35" s="18"/>
      <c r="AL35" s="18"/>
      <c r="AM35" s="18"/>
      <c r="AN35" s="18"/>
      <c r="AO35" s="18"/>
      <c r="AP35" s="18"/>
      <c r="AQ35" s="18"/>
    </row>
    <row r="36" spans="1:43" s="584" customFormat="1" ht="15.75" customHeight="1" thickBot="1">
      <c r="A36" s="597"/>
      <c r="D36" s="2169" t="s">
        <v>14</v>
      </c>
      <c r="E36" s="2170"/>
      <c r="F36" s="2170"/>
      <c r="G36" s="2170"/>
      <c r="H36" s="2170"/>
      <c r="I36" s="2170"/>
      <c r="J36" s="2170"/>
      <c r="K36" s="2170"/>
      <c r="L36" s="2170"/>
      <c r="M36" s="2171"/>
      <c r="N36" s="2172">
        <f>SUM(N34:R35)</f>
        <v>2506390</v>
      </c>
      <c r="O36" s="2172"/>
      <c r="P36" s="2172"/>
      <c r="Q36" s="2172"/>
      <c r="R36" s="2172"/>
      <c r="S36" s="2173">
        <f>SUM(S34:W35)</f>
        <v>1</v>
      </c>
      <c r="T36" s="2174"/>
      <c r="U36" s="2174"/>
      <c r="V36" s="2174"/>
      <c r="W36" s="2175"/>
      <c r="X36" s="2173">
        <f>SUM(X34:AB35)</f>
        <v>1</v>
      </c>
      <c r="Y36" s="2174"/>
      <c r="Z36" s="2174"/>
      <c r="AA36" s="2174"/>
      <c r="AB36" s="2175"/>
      <c r="AC36" s="2173">
        <f>SUM(AC34:AG35)</f>
        <v>1</v>
      </c>
      <c r="AD36" s="2174"/>
      <c r="AE36" s="2174"/>
      <c r="AF36" s="2174"/>
      <c r="AG36" s="2175"/>
      <c r="AI36" s="18"/>
      <c r="AJ36" s="18"/>
      <c r="AK36" s="18"/>
      <c r="AL36" s="18"/>
      <c r="AM36" s="18"/>
      <c r="AN36" s="18"/>
      <c r="AO36" s="18"/>
      <c r="AP36" s="18"/>
      <c r="AQ36" s="18"/>
    </row>
    <row r="37" spans="1:43" s="584" customFormat="1" ht="14">
      <c r="A37" s="597"/>
      <c r="D37" s="773"/>
      <c r="E37" s="773"/>
      <c r="F37" s="773"/>
      <c r="G37" s="773"/>
      <c r="H37" s="773"/>
      <c r="I37" s="773"/>
      <c r="J37" s="773"/>
      <c r="K37" s="773"/>
      <c r="L37" s="773"/>
      <c r="M37" s="773"/>
      <c r="N37" s="773"/>
      <c r="O37" s="773"/>
      <c r="P37" s="773"/>
      <c r="Q37" s="773"/>
      <c r="R37" s="773"/>
      <c r="S37" s="773"/>
      <c r="T37" s="773"/>
      <c r="U37" s="773"/>
      <c r="V37" s="773"/>
      <c r="W37" s="773"/>
      <c r="X37" s="773"/>
      <c r="Y37" s="773"/>
      <c r="Z37" s="773"/>
      <c r="AA37" s="773"/>
      <c r="AB37" s="773"/>
      <c r="AC37" s="773"/>
      <c r="AD37" s="773"/>
      <c r="AE37" s="773"/>
      <c r="AF37" s="773"/>
      <c r="AG37" s="773"/>
      <c r="AI37" s="18"/>
      <c r="AJ37" s="18"/>
      <c r="AK37" s="18"/>
      <c r="AL37" s="18"/>
      <c r="AM37" s="18"/>
      <c r="AN37" s="18"/>
      <c r="AO37" s="18"/>
      <c r="AP37" s="18"/>
      <c r="AQ37" s="18"/>
    </row>
    <row r="38" spans="1:43" s="584" customFormat="1" ht="14.25" customHeight="1">
      <c r="A38" s="597"/>
      <c r="D38" s="2149" t="s">
        <v>3063</v>
      </c>
      <c r="E38" s="2149"/>
      <c r="F38" s="2149"/>
      <c r="G38" s="2149"/>
      <c r="H38" s="2149"/>
      <c r="I38" s="2149"/>
      <c r="J38" s="2149"/>
      <c r="K38" s="2149"/>
      <c r="L38" s="2149"/>
      <c r="M38" s="2149"/>
      <c r="N38" s="2149"/>
      <c r="O38" s="2149"/>
      <c r="P38" s="2149"/>
      <c r="Q38" s="2149"/>
      <c r="R38" s="2149"/>
      <c r="S38" s="2149"/>
      <c r="T38" s="2149"/>
      <c r="U38" s="2149"/>
      <c r="V38" s="2149"/>
      <c r="W38" s="2149"/>
      <c r="X38" s="2149"/>
      <c r="Y38" s="2149"/>
      <c r="Z38" s="2149"/>
      <c r="AA38" s="2149"/>
      <c r="AB38" s="2149"/>
      <c r="AC38" s="2149"/>
      <c r="AD38" s="2149"/>
      <c r="AE38" s="2149"/>
      <c r="AF38" s="2149"/>
      <c r="AG38" s="2149"/>
      <c r="AI38" s="18"/>
      <c r="AJ38" s="18"/>
      <c r="AK38" s="18"/>
      <c r="AL38" s="18"/>
      <c r="AM38" s="18"/>
      <c r="AN38" s="18"/>
      <c r="AO38" s="18"/>
      <c r="AP38" s="18"/>
      <c r="AQ38" s="18"/>
    </row>
    <row r="39" spans="1:43" s="584" customFormat="1" ht="14">
      <c r="A39" s="597"/>
      <c r="D39" s="2149"/>
      <c r="E39" s="2149"/>
      <c r="F39" s="2149"/>
      <c r="G39" s="2149"/>
      <c r="H39" s="2149"/>
      <c r="I39" s="2149"/>
      <c r="J39" s="2149"/>
      <c r="K39" s="2149"/>
      <c r="L39" s="2149"/>
      <c r="M39" s="2149"/>
      <c r="N39" s="2149"/>
      <c r="O39" s="2149"/>
      <c r="P39" s="2149"/>
      <c r="Q39" s="2149"/>
      <c r="R39" s="2149"/>
      <c r="S39" s="2149"/>
      <c r="T39" s="2149"/>
      <c r="U39" s="2149"/>
      <c r="V39" s="2149"/>
      <c r="W39" s="2149"/>
      <c r="X39" s="2149"/>
      <c r="Y39" s="2149"/>
      <c r="Z39" s="2149"/>
      <c r="AA39" s="2149"/>
      <c r="AB39" s="2149"/>
      <c r="AC39" s="2149"/>
      <c r="AD39" s="2149"/>
      <c r="AE39" s="2149"/>
      <c r="AF39" s="2149"/>
      <c r="AG39" s="2149"/>
      <c r="AI39" s="18"/>
      <c r="AJ39" s="18"/>
      <c r="AK39" s="18"/>
      <c r="AL39" s="18"/>
      <c r="AM39" s="18"/>
      <c r="AN39" s="18"/>
      <c r="AO39" s="18"/>
      <c r="AP39" s="18"/>
      <c r="AQ39" s="18"/>
    </row>
    <row r="40" spans="1:43" s="584" customFormat="1" ht="14">
      <c r="A40" s="597"/>
      <c r="D40" s="2149"/>
      <c r="E40" s="2149"/>
      <c r="F40" s="2149"/>
      <c r="G40" s="2149"/>
      <c r="H40" s="2149"/>
      <c r="I40" s="2149"/>
      <c r="J40" s="2149"/>
      <c r="K40" s="2149"/>
      <c r="L40" s="2149"/>
      <c r="M40" s="2149"/>
      <c r="N40" s="2149"/>
      <c r="O40" s="2149"/>
      <c r="P40" s="2149"/>
      <c r="Q40" s="2149"/>
      <c r="R40" s="2149"/>
      <c r="S40" s="2149"/>
      <c r="T40" s="2149"/>
      <c r="U40" s="2149"/>
      <c r="V40" s="2149"/>
      <c r="W40" s="2149"/>
      <c r="X40" s="2149"/>
      <c r="Y40" s="2149"/>
      <c r="Z40" s="2149"/>
      <c r="AA40" s="2149"/>
      <c r="AB40" s="2149"/>
      <c r="AC40" s="2149"/>
      <c r="AD40" s="2149"/>
      <c r="AE40" s="2149"/>
      <c r="AF40" s="2149"/>
      <c r="AG40" s="2149"/>
      <c r="AI40" s="18"/>
      <c r="AJ40" s="18"/>
      <c r="AK40" s="18"/>
      <c r="AL40" s="18"/>
      <c r="AM40" s="18"/>
      <c r="AN40" s="18"/>
      <c r="AO40" s="18"/>
      <c r="AP40" s="18"/>
      <c r="AQ40" s="18"/>
    </row>
    <row r="41" spans="1:43" s="584" customFormat="1" ht="14">
      <c r="A41" s="597"/>
      <c r="D41" s="2149"/>
      <c r="E41" s="2149"/>
      <c r="F41" s="2149"/>
      <c r="G41" s="2149"/>
      <c r="H41" s="2149"/>
      <c r="I41" s="2149"/>
      <c r="J41" s="2149"/>
      <c r="K41" s="2149"/>
      <c r="L41" s="2149"/>
      <c r="M41" s="2149"/>
      <c r="N41" s="2149"/>
      <c r="O41" s="2149"/>
      <c r="P41" s="2149"/>
      <c r="Q41" s="2149"/>
      <c r="R41" s="2149"/>
      <c r="S41" s="2149"/>
      <c r="T41" s="2149"/>
      <c r="U41" s="2149"/>
      <c r="V41" s="2149"/>
      <c r="W41" s="2149"/>
      <c r="X41" s="2149"/>
      <c r="Y41" s="2149"/>
      <c r="Z41" s="2149"/>
      <c r="AA41" s="2149"/>
      <c r="AB41" s="2149"/>
      <c r="AC41" s="2149"/>
      <c r="AD41" s="2149"/>
      <c r="AE41" s="2149"/>
      <c r="AF41" s="2149"/>
      <c r="AG41" s="2149"/>
      <c r="AI41" s="18"/>
      <c r="AJ41" s="18"/>
      <c r="AK41" s="18"/>
      <c r="AL41" s="18"/>
      <c r="AM41" s="18"/>
      <c r="AN41" s="18"/>
      <c r="AO41" s="18"/>
      <c r="AP41" s="18"/>
      <c r="AQ41" s="18"/>
    </row>
    <row r="42" spans="1:43" s="584" customFormat="1" ht="28.9" customHeight="1">
      <c r="A42" s="597"/>
      <c r="D42" s="2149"/>
      <c r="E42" s="2149"/>
      <c r="F42" s="2149"/>
      <c r="G42" s="2149"/>
      <c r="H42" s="2149"/>
      <c r="I42" s="2149"/>
      <c r="J42" s="2149"/>
      <c r="K42" s="2149"/>
      <c r="L42" s="2149"/>
      <c r="M42" s="2149"/>
      <c r="N42" s="2149"/>
      <c r="O42" s="2149"/>
      <c r="P42" s="2149"/>
      <c r="Q42" s="2149"/>
      <c r="R42" s="2149"/>
      <c r="S42" s="2149"/>
      <c r="T42" s="2149"/>
      <c r="U42" s="2149"/>
      <c r="V42" s="2149"/>
      <c r="W42" s="2149"/>
      <c r="X42" s="2149"/>
      <c r="Y42" s="2149"/>
      <c r="Z42" s="2149"/>
      <c r="AA42" s="2149"/>
      <c r="AB42" s="2149"/>
      <c r="AC42" s="2149"/>
      <c r="AD42" s="2149"/>
      <c r="AE42" s="2149"/>
      <c r="AF42" s="2149"/>
      <c r="AG42" s="2149"/>
      <c r="AI42" s="18"/>
      <c r="AJ42" s="18"/>
      <c r="AK42" s="18"/>
      <c r="AL42" s="18"/>
      <c r="AM42" s="18"/>
      <c r="AN42" s="18"/>
      <c r="AO42" s="18"/>
      <c r="AP42" s="18"/>
      <c r="AQ42" s="18"/>
    </row>
    <row r="43" spans="1:43" s="584" customFormat="1" ht="14.25" customHeight="1">
      <c r="A43" s="597"/>
      <c r="D43" s="2100" t="s">
        <v>2723</v>
      </c>
      <c r="E43" s="2150"/>
      <c r="F43" s="2150"/>
      <c r="G43" s="2150"/>
      <c r="H43" s="2150"/>
      <c r="I43" s="2150"/>
      <c r="J43" s="2150"/>
      <c r="K43" s="2150"/>
      <c r="L43" s="2150"/>
      <c r="M43" s="2150"/>
      <c r="N43" s="2150"/>
      <c r="O43" s="2150"/>
      <c r="P43" s="2150"/>
      <c r="Q43" s="2150"/>
      <c r="R43" s="2150"/>
      <c r="S43" s="2150"/>
      <c r="T43" s="2150"/>
      <c r="U43" s="2150"/>
      <c r="V43" s="2150"/>
      <c r="W43" s="2150"/>
      <c r="X43" s="2150"/>
      <c r="Y43" s="2150"/>
      <c r="Z43" s="2150"/>
      <c r="AA43" s="2150"/>
      <c r="AB43" s="2150"/>
      <c r="AC43" s="2150"/>
      <c r="AD43" s="2150"/>
      <c r="AE43" s="2150"/>
      <c r="AF43" s="2150"/>
      <c r="AG43" s="2150"/>
      <c r="AI43" s="18"/>
      <c r="AJ43" s="18"/>
      <c r="AK43" s="18"/>
      <c r="AL43" s="18"/>
      <c r="AM43" s="18"/>
      <c r="AN43" s="18"/>
      <c r="AO43" s="18"/>
      <c r="AP43" s="18"/>
      <c r="AQ43" s="18"/>
    </row>
    <row r="44" spans="1:43" s="584" customFormat="1" ht="14">
      <c r="A44" s="597"/>
      <c r="AI44" s="18"/>
      <c r="AJ44" s="18"/>
      <c r="AK44" s="18"/>
      <c r="AL44" s="18"/>
      <c r="AM44" s="18"/>
      <c r="AN44" s="18"/>
      <c r="AO44" s="18"/>
      <c r="AP44" s="18"/>
      <c r="AQ44" s="18"/>
    </row>
    <row r="45" spans="1:43" s="584" customFormat="1" ht="14">
      <c r="A45" s="597"/>
      <c r="D45" s="917" t="s">
        <v>2992</v>
      </c>
      <c r="E45" s="587"/>
      <c r="F45" s="587"/>
      <c r="G45" s="587"/>
      <c r="H45" s="587"/>
      <c r="I45" s="587"/>
      <c r="J45" s="587"/>
      <c r="K45" s="587"/>
      <c r="L45" s="587"/>
      <c r="M45" s="587"/>
      <c r="N45" s="587"/>
      <c r="O45" s="587"/>
      <c r="P45" s="587"/>
      <c r="Q45" s="587"/>
      <c r="R45" s="587"/>
      <c r="S45" s="587"/>
      <c r="T45" s="587"/>
      <c r="U45" s="587"/>
      <c r="V45" s="587"/>
      <c r="W45" s="587"/>
      <c r="X45" s="587"/>
      <c r="Y45" s="587"/>
      <c r="Z45" s="587"/>
      <c r="AA45" s="587"/>
      <c r="AB45" s="587"/>
      <c r="AC45" s="587"/>
      <c r="AD45" s="587"/>
      <c r="AE45" s="587"/>
      <c r="AF45" s="587"/>
      <c r="AG45" s="587"/>
      <c r="AI45" s="18"/>
      <c r="AJ45" s="18"/>
      <c r="AK45" s="18"/>
      <c r="AL45" s="18"/>
      <c r="AM45" s="18"/>
      <c r="AN45" s="18"/>
      <c r="AO45" s="18"/>
      <c r="AP45" s="18"/>
      <c r="AQ45" s="18"/>
    </row>
    <row r="46" spans="1:43" s="584" customFormat="1" ht="14">
      <c r="A46" s="597"/>
      <c r="AI46" s="18"/>
      <c r="AJ46" s="18"/>
      <c r="AK46" s="18"/>
      <c r="AL46" s="18"/>
      <c r="AM46" s="18"/>
      <c r="AN46" s="18"/>
      <c r="AO46" s="18"/>
      <c r="AP46" s="18"/>
      <c r="AQ46" s="18"/>
    </row>
    <row r="47" spans="1:43" s="584" customFormat="1" ht="14.5" thickBot="1">
      <c r="A47" s="597"/>
      <c r="D47" s="2148" t="s">
        <v>2724</v>
      </c>
      <c r="E47" s="2148"/>
      <c r="F47" s="2148"/>
      <c r="G47" s="2148"/>
      <c r="H47" s="2148"/>
      <c r="I47" s="2148"/>
      <c r="J47" s="2148"/>
      <c r="K47" s="2148"/>
      <c r="L47" s="2148"/>
      <c r="M47" s="2148"/>
      <c r="N47" s="2148"/>
      <c r="O47" s="2148"/>
      <c r="AI47" s="18"/>
      <c r="AJ47" s="18"/>
      <c r="AK47" s="18"/>
      <c r="AL47" s="18"/>
      <c r="AM47" s="18"/>
      <c r="AN47" s="18"/>
      <c r="AO47" s="18"/>
      <c r="AP47" s="18"/>
      <c r="AQ47" s="18"/>
    </row>
    <row r="48" spans="1:43" s="584" customFormat="1" ht="14.5" thickTop="1">
      <c r="A48" s="597"/>
      <c r="D48" s="1432"/>
      <c r="E48" s="589" t="s">
        <v>2725</v>
      </c>
      <c r="F48" s="589"/>
      <c r="G48" s="589"/>
      <c r="H48" s="589"/>
      <c r="I48" s="589"/>
      <c r="J48" s="589"/>
      <c r="K48" s="589"/>
      <c r="L48" s="589"/>
      <c r="M48" s="589"/>
      <c r="N48" s="589"/>
      <c r="O48" s="589"/>
      <c r="AI48" s="18"/>
      <c r="AJ48" s="18"/>
      <c r="AK48" s="18"/>
      <c r="AL48" s="18"/>
      <c r="AM48" s="18"/>
      <c r="AN48" s="18"/>
      <c r="AO48" s="18"/>
      <c r="AP48" s="18"/>
      <c r="AQ48" s="18"/>
    </row>
    <row r="49" spans="1:43" s="584" customFormat="1" ht="14">
      <c r="A49" s="597"/>
      <c r="D49" s="590"/>
      <c r="AI49" s="18"/>
      <c r="AJ49" s="18"/>
      <c r="AK49" s="18"/>
      <c r="AL49" s="18"/>
      <c r="AM49" s="18"/>
      <c r="AN49" s="18"/>
      <c r="AO49" s="18"/>
      <c r="AP49" s="18"/>
      <c r="AQ49" s="18"/>
    </row>
    <row r="50" spans="1:43" s="584" customFormat="1" ht="14.25" customHeight="1">
      <c r="A50" s="597"/>
      <c r="D50" s="2100" t="s">
        <v>2726</v>
      </c>
      <c r="E50" s="2150"/>
      <c r="F50" s="2150"/>
      <c r="G50" s="2150"/>
      <c r="H50" s="2150"/>
      <c r="I50" s="2150"/>
      <c r="J50" s="2150"/>
      <c r="K50" s="2150"/>
      <c r="L50" s="2150"/>
      <c r="M50" s="2150"/>
      <c r="N50" s="2150"/>
      <c r="O50" s="2150"/>
      <c r="P50" s="2150"/>
      <c r="Q50" s="2150"/>
      <c r="R50" s="2150"/>
      <c r="S50" s="2150"/>
      <c r="T50" s="2150"/>
      <c r="U50" s="2150"/>
      <c r="V50" s="2150"/>
      <c r="W50" s="2150"/>
      <c r="X50" s="2150"/>
      <c r="Y50" s="2150"/>
      <c r="Z50" s="2150"/>
      <c r="AA50" s="2150"/>
      <c r="AB50" s="2150"/>
      <c r="AC50" s="2150"/>
      <c r="AD50" s="2150"/>
      <c r="AE50" s="2150"/>
      <c r="AF50" s="2150"/>
      <c r="AG50" s="2150"/>
      <c r="AI50" s="18"/>
      <c r="AJ50" s="18"/>
      <c r="AK50" s="18"/>
      <c r="AL50" s="18"/>
      <c r="AM50" s="18"/>
      <c r="AN50" s="18"/>
      <c r="AO50" s="18"/>
      <c r="AP50" s="18"/>
      <c r="AQ50" s="18"/>
    </row>
    <row r="51" spans="1:43" s="584" customFormat="1" ht="14">
      <c r="A51" s="597"/>
      <c r="D51" s="2150"/>
      <c r="E51" s="2150"/>
      <c r="F51" s="2150"/>
      <c r="G51" s="2150"/>
      <c r="H51" s="2150"/>
      <c r="I51" s="2150"/>
      <c r="J51" s="2150"/>
      <c r="K51" s="2150"/>
      <c r="L51" s="2150"/>
      <c r="M51" s="2150"/>
      <c r="N51" s="2150"/>
      <c r="O51" s="2150"/>
      <c r="P51" s="2150"/>
      <c r="Q51" s="2150"/>
      <c r="R51" s="2150"/>
      <c r="S51" s="2150"/>
      <c r="T51" s="2150"/>
      <c r="U51" s="2150"/>
      <c r="V51" s="2150"/>
      <c r="W51" s="2150"/>
      <c r="X51" s="2150"/>
      <c r="Y51" s="2150"/>
      <c r="Z51" s="2150"/>
      <c r="AA51" s="2150"/>
      <c r="AB51" s="2150"/>
      <c r="AC51" s="2150"/>
      <c r="AD51" s="2150"/>
      <c r="AE51" s="2150"/>
      <c r="AF51" s="2150"/>
      <c r="AG51" s="2150"/>
      <c r="AI51" s="18"/>
      <c r="AJ51" s="18"/>
      <c r="AK51" s="18"/>
      <c r="AL51" s="18"/>
      <c r="AM51" s="18"/>
      <c r="AN51" s="18"/>
      <c r="AO51" s="18"/>
      <c r="AP51" s="18"/>
      <c r="AQ51" s="18"/>
    </row>
    <row r="52" spans="1:43" s="584" customFormat="1" ht="14">
      <c r="A52" s="597"/>
      <c r="D52" s="582" t="s">
        <v>1332</v>
      </c>
      <c r="AI52" s="18"/>
      <c r="AJ52" s="18"/>
      <c r="AK52" s="18"/>
      <c r="AL52" s="18"/>
      <c r="AM52" s="18"/>
      <c r="AN52" s="18"/>
      <c r="AO52" s="18"/>
      <c r="AP52" s="18"/>
      <c r="AQ52" s="18"/>
    </row>
    <row r="53" spans="1:43" s="584" customFormat="1" ht="14">
      <c r="A53" s="597"/>
      <c r="AI53" s="18"/>
      <c r="AJ53" s="18"/>
      <c r="AK53" s="18"/>
      <c r="AL53" s="18"/>
      <c r="AM53" s="18"/>
      <c r="AN53" s="18"/>
      <c r="AO53" s="18"/>
      <c r="AP53" s="18"/>
      <c r="AQ53" s="18"/>
    </row>
    <row r="54" spans="1:43" s="584" customFormat="1" ht="14">
      <c r="A54" s="597"/>
      <c r="D54" s="2100" t="s">
        <v>2727</v>
      </c>
      <c r="E54" s="2144"/>
      <c r="F54" s="2144"/>
      <c r="G54" s="2144"/>
      <c r="H54" s="2144"/>
      <c r="I54" s="2144"/>
      <c r="J54" s="2144"/>
      <c r="K54" s="2144"/>
      <c r="L54" s="2144"/>
      <c r="M54" s="2144"/>
      <c r="N54" s="2144"/>
      <c r="O54" s="2144"/>
      <c r="P54" s="2144"/>
      <c r="Q54" s="2144"/>
      <c r="R54" s="2144"/>
      <c r="S54" s="2144"/>
      <c r="T54" s="2144"/>
      <c r="U54" s="2144"/>
      <c r="V54" s="2144"/>
      <c r="W54" s="2144"/>
      <c r="X54" s="2144"/>
      <c r="Y54" s="2144"/>
      <c r="Z54" s="2144"/>
      <c r="AA54" s="2144"/>
      <c r="AB54" s="2144"/>
      <c r="AC54" s="2144"/>
      <c r="AD54" s="2144"/>
      <c r="AE54" s="2144"/>
      <c r="AF54" s="2144"/>
      <c r="AG54" s="2144"/>
      <c r="AI54" s="18"/>
      <c r="AJ54" s="18"/>
      <c r="AK54" s="18"/>
      <c r="AL54" s="18"/>
      <c r="AM54" s="18"/>
      <c r="AN54" s="18"/>
      <c r="AO54" s="18"/>
      <c r="AP54" s="18"/>
      <c r="AQ54" s="18"/>
    </row>
    <row r="55" spans="1:43" s="584" customFormat="1" ht="14">
      <c r="A55" s="597"/>
      <c r="D55" s="2144"/>
      <c r="E55" s="2144"/>
      <c r="F55" s="2144"/>
      <c r="G55" s="2144"/>
      <c r="H55" s="2144"/>
      <c r="I55" s="2144"/>
      <c r="J55" s="2144"/>
      <c r="K55" s="2144"/>
      <c r="L55" s="2144"/>
      <c r="M55" s="2144"/>
      <c r="N55" s="2144"/>
      <c r="O55" s="2144"/>
      <c r="P55" s="2144"/>
      <c r="Q55" s="2144"/>
      <c r="R55" s="2144"/>
      <c r="S55" s="2144"/>
      <c r="T55" s="2144"/>
      <c r="U55" s="2144"/>
      <c r="V55" s="2144"/>
      <c r="W55" s="2144"/>
      <c r="X55" s="2144"/>
      <c r="Y55" s="2144"/>
      <c r="Z55" s="2144"/>
      <c r="AA55" s="2144"/>
      <c r="AB55" s="2144"/>
      <c r="AC55" s="2144"/>
      <c r="AD55" s="2144"/>
      <c r="AE55" s="2144"/>
      <c r="AF55" s="2144"/>
      <c r="AG55" s="2144"/>
      <c r="AI55" s="18"/>
      <c r="AJ55" s="18"/>
      <c r="AK55" s="18"/>
      <c r="AL55" s="18"/>
      <c r="AM55" s="18"/>
      <c r="AN55" s="18"/>
      <c r="AO55" s="18"/>
      <c r="AP55" s="18"/>
      <c r="AQ55" s="18"/>
    </row>
    <row r="56" spans="1:43" s="584" customFormat="1" ht="13.9" customHeight="1">
      <c r="A56" s="597"/>
      <c r="D56" s="2028" t="s">
        <v>3037</v>
      </c>
      <c r="E56" s="2028"/>
      <c r="F56" s="2028"/>
      <c r="G56" s="2028"/>
      <c r="H56" s="2028"/>
      <c r="I56" s="2028"/>
      <c r="J56" s="2028"/>
      <c r="K56" s="2028"/>
      <c r="L56" s="2028"/>
      <c r="M56" s="2028"/>
      <c r="N56" s="2028"/>
      <c r="O56" s="2028"/>
      <c r="P56" s="2028"/>
      <c r="Q56" s="2028"/>
      <c r="R56" s="2028"/>
      <c r="S56" s="2028"/>
      <c r="T56" s="2028"/>
      <c r="U56" s="2028"/>
      <c r="V56" s="2028"/>
      <c r="W56" s="2028"/>
      <c r="X56" s="2028"/>
      <c r="Y56" s="2028"/>
      <c r="Z56" s="2028"/>
      <c r="AA56" s="2028"/>
      <c r="AB56" s="2028"/>
      <c r="AC56" s="2028"/>
      <c r="AD56" s="2028"/>
      <c r="AE56" s="2028"/>
      <c r="AF56" s="2028"/>
      <c r="AG56" s="2028"/>
      <c r="AI56" s="18"/>
      <c r="AJ56" s="18"/>
      <c r="AK56" s="18"/>
      <c r="AL56" s="18"/>
      <c r="AM56" s="18"/>
      <c r="AN56" s="18"/>
      <c r="AO56" s="18"/>
      <c r="AP56" s="18"/>
      <c r="AQ56" s="18"/>
    </row>
    <row r="57" spans="1:43" s="584" customFormat="1" ht="14">
      <c r="A57" s="597"/>
      <c r="D57" s="2028"/>
      <c r="E57" s="2028"/>
      <c r="F57" s="2028"/>
      <c r="G57" s="2028"/>
      <c r="H57" s="2028"/>
      <c r="I57" s="2028"/>
      <c r="J57" s="2028"/>
      <c r="K57" s="2028"/>
      <c r="L57" s="2028"/>
      <c r="M57" s="2028"/>
      <c r="N57" s="2028"/>
      <c r="O57" s="2028"/>
      <c r="P57" s="2028"/>
      <c r="Q57" s="2028"/>
      <c r="R57" s="2028"/>
      <c r="S57" s="2028"/>
      <c r="T57" s="2028"/>
      <c r="U57" s="2028"/>
      <c r="V57" s="2028"/>
      <c r="W57" s="2028"/>
      <c r="X57" s="2028"/>
      <c r="Y57" s="2028"/>
      <c r="Z57" s="2028"/>
      <c r="AA57" s="2028"/>
      <c r="AB57" s="2028"/>
      <c r="AC57" s="2028"/>
      <c r="AD57" s="2028"/>
      <c r="AE57" s="2028"/>
      <c r="AF57" s="2028"/>
      <c r="AG57" s="2028"/>
      <c r="AI57" s="18"/>
      <c r="AJ57" s="18"/>
      <c r="AK57" s="18"/>
      <c r="AL57" s="18"/>
      <c r="AM57" s="18"/>
      <c r="AN57" s="18"/>
      <c r="AO57" s="18"/>
      <c r="AP57" s="18"/>
      <c r="AQ57" s="18"/>
    </row>
    <row r="58" spans="1:43" s="584" customFormat="1" ht="14">
      <c r="A58" s="597"/>
      <c r="D58" s="2030" t="s">
        <v>3038</v>
      </c>
      <c r="E58" s="2030"/>
      <c r="F58" s="2030"/>
      <c r="G58" s="2030"/>
      <c r="H58" s="2030"/>
      <c r="I58" s="2030"/>
      <c r="J58" s="2030"/>
      <c r="K58" s="2030"/>
      <c r="L58" s="2030"/>
      <c r="M58" s="2030"/>
      <c r="N58" s="2030"/>
      <c r="O58" s="2030"/>
      <c r="P58" s="2030"/>
      <c r="Q58" s="2030"/>
      <c r="R58" s="2030"/>
      <c r="S58" s="2030"/>
      <c r="T58" s="2030"/>
      <c r="U58" s="2030"/>
      <c r="V58" s="2030"/>
      <c r="W58" s="2030"/>
      <c r="X58" s="2030"/>
      <c r="Y58" s="2030"/>
      <c r="Z58" s="2030"/>
      <c r="AA58" s="2030"/>
      <c r="AB58" s="2030"/>
      <c r="AC58" s="2030"/>
      <c r="AD58" s="2030"/>
      <c r="AE58" s="2030"/>
      <c r="AF58" s="2030"/>
      <c r="AG58" s="2030"/>
      <c r="AI58" s="18"/>
      <c r="AJ58" s="18"/>
      <c r="AK58" s="18"/>
      <c r="AL58" s="18"/>
      <c r="AM58" s="18"/>
      <c r="AN58" s="18"/>
      <c r="AO58" s="18"/>
      <c r="AP58" s="18"/>
      <c r="AQ58" s="18"/>
    </row>
    <row r="59" spans="1:43" s="584" customFormat="1" ht="14">
      <c r="A59" s="597"/>
      <c r="D59" s="1563"/>
      <c r="E59" s="1563"/>
      <c r="F59" s="1563"/>
      <c r="G59" s="1563"/>
      <c r="H59" s="1563"/>
      <c r="I59" s="1563"/>
      <c r="J59" s="1563"/>
      <c r="K59" s="1563"/>
      <c r="L59" s="1563"/>
      <c r="M59" s="1563"/>
      <c r="N59" s="1563"/>
      <c r="O59" s="1563"/>
      <c r="P59" s="1563"/>
      <c r="Q59" s="1563"/>
      <c r="R59" s="1563"/>
      <c r="S59" s="1563"/>
      <c r="T59" s="1563"/>
      <c r="U59" s="1563"/>
      <c r="V59" s="1563"/>
      <c r="W59" s="1563"/>
      <c r="X59" s="1563"/>
      <c r="Y59" s="1563"/>
      <c r="Z59" s="1563"/>
      <c r="AA59" s="1563"/>
      <c r="AB59" s="1563"/>
      <c r="AC59" s="1563"/>
      <c r="AD59" s="1563"/>
      <c r="AE59" s="1563"/>
      <c r="AF59" s="1563"/>
      <c r="AG59" s="1563"/>
      <c r="AI59" s="18"/>
      <c r="AJ59" s="18"/>
      <c r="AK59" s="18"/>
      <c r="AL59" s="18"/>
      <c r="AM59" s="18"/>
      <c r="AN59" s="18"/>
      <c r="AO59" s="18"/>
      <c r="AP59" s="18"/>
      <c r="AQ59" s="18"/>
    </row>
    <row r="60" spans="1:43" s="584" customFormat="1" ht="13.9" customHeight="1">
      <c r="A60" s="597"/>
      <c r="D60" s="2030" t="s">
        <v>3039</v>
      </c>
      <c r="E60" s="2030"/>
      <c r="F60" s="2030"/>
      <c r="G60" s="2030"/>
      <c r="H60" s="2030"/>
      <c r="I60" s="2030"/>
      <c r="J60" s="2030"/>
      <c r="K60" s="2030"/>
      <c r="L60" s="2030"/>
      <c r="M60" s="2030"/>
      <c r="N60" s="2030"/>
      <c r="O60" s="2030"/>
      <c r="P60" s="2030"/>
      <c r="Q60" s="2030"/>
      <c r="R60" s="2030"/>
      <c r="S60" s="2030"/>
      <c r="T60" s="2030"/>
      <c r="U60" s="2030"/>
      <c r="V60" s="2030"/>
      <c r="W60" s="2030"/>
      <c r="X60" s="2030"/>
      <c r="Y60" s="2030"/>
      <c r="Z60" s="2030"/>
      <c r="AA60" s="2030"/>
      <c r="AB60" s="2030"/>
      <c r="AC60" s="2030"/>
      <c r="AD60" s="2030"/>
      <c r="AE60" s="2030"/>
      <c r="AF60" s="2030"/>
      <c r="AG60" s="2030"/>
      <c r="AI60" s="18"/>
      <c r="AJ60" s="18"/>
      <c r="AK60" s="18"/>
      <c r="AL60" s="18"/>
      <c r="AM60" s="18"/>
      <c r="AN60" s="18"/>
      <c r="AO60" s="18"/>
      <c r="AP60" s="18"/>
      <c r="AQ60" s="18"/>
    </row>
    <row r="61" spans="1:43" s="584" customFormat="1" ht="14">
      <c r="A61" s="597"/>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I61" s="18"/>
      <c r="AJ61" s="18"/>
      <c r="AK61" s="18"/>
      <c r="AL61" s="18"/>
      <c r="AM61" s="18"/>
      <c r="AN61" s="18"/>
      <c r="AO61" s="18"/>
      <c r="AP61" s="18"/>
      <c r="AQ61" s="18"/>
    </row>
    <row r="62" spans="1:43" s="584" customFormat="1" ht="14">
      <c r="A62" s="597"/>
      <c r="D62" s="582" t="s">
        <v>2948</v>
      </c>
      <c r="AI62" s="18"/>
      <c r="AJ62" s="18"/>
      <c r="AK62" s="18"/>
      <c r="AL62" s="18"/>
      <c r="AM62" s="18"/>
      <c r="AN62" s="18"/>
      <c r="AO62" s="18"/>
      <c r="AP62" s="18"/>
      <c r="AQ62" s="18"/>
    </row>
    <row r="63" spans="1:43" s="584" customFormat="1" ht="14">
      <c r="A63" s="597"/>
      <c r="AI63" s="18"/>
      <c r="AJ63" s="18"/>
      <c r="AK63" s="18"/>
      <c r="AL63" s="18"/>
      <c r="AM63" s="18"/>
      <c r="AN63" s="18"/>
      <c r="AO63" s="18"/>
      <c r="AP63" s="18"/>
      <c r="AQ63" s="18"/>
    </row>
    <row r="64" spans="1:43" s="584" customFormat="1" ht="14">
      <c r="A64" s="597"/>
      <c r="D64" s="1937" t="s">
        <v>2993</v>
      </c>
      <c r="E64" s="1938"/>
      <c r="F64" s="1938"/>
      <c r="G64" s="1938"/>
      <c r="H64" s="1938"/>
      <c r="I64" s="1938"/>
      <c r="J64" s="1938"/>
      <c r="K64" s="1938"/>
      <c r="L64" s="1938"/>
      <c r="M64" s="1938"/>
      <c r="N64" s="1938"/>
      <c r="O64" s="1938"/>
      <c r="P64" s="1938"/>
      <c r="Q64" s="1938"/>
      <c r="R64" s="1938"/>
      <c r="S64" s="1938"/>
      <c r="T64" s="1938"/>
      <c r="U64" s="1938"/>
      <c r="V64" s="1938"/>
      <c r="W64" s="1938"/>
      <c r="X64" s="1938"/>
      <c r="Y64" s="1938"/>
      <c r="Z64" s="1938"/>
      <c r="AA64" s="1938"/>
      <c r="AB64" s="1938"/>
      <c r="AC64" s="1938"/>
      <c r="AD64" s="1938"/>
      <c r="AE64" s="1938"/>
      <c r="AF64" s="1938"/>
      <c r="AG64" s="1938"/>
      <c r="AI64" s="18"/>
      <c r="AJ64" s="18"/>
      <c r="AK64" s="18"/>
      <c r="AL64" s="18"/>
      <c r="AM64" s="18"/>
      <c r="AN64" s="18"/>
      <c r="AO64" s="18"/>
      <c r="AP64" s="18"/>
      <c r="AQ64" s="18"/>
    </row>
    <row r="65" spans="1:43" s="584" customFormat="1" ht="14">
      <c r="A65" s="597"/>
      <c r="D65" s="1938"/>
      <c r="E65" s="1938"/>
      <c r="F65" s="1938"/>
      <c r="G65" s="1938"/>
      <c r="H65" s="1938"/>
      <c r="I65" s="1938"/>
      <c r="J65" s="1938"/>
      <c r="K65" s="1938"/>
      <c r="L65" s="1938"/>
      <c r="M65" s="1938"/>
      <c r="N65" s="1938"/>
      <c r="O65" s="1938"/>
      <c r="P65" s="1938"/>
      <c r="Q65" s="1938"/>
      <c r="R65" s="1938"/>
      <c r="S65" s="1938"/>
      <c r="T65" s="1938"/>
      <c r="U65" s="1938"/>
      <c r="V65" s="1938"/>
      <c r="W65" s="1938"/>
      <c r="X65" s="1938"/>
      <c r="Y65" s="1938"/>
      <c r="Z65" s="1938"/>
      <c r="AA65" s="1938"/>
      <c r="AB65" s="1938"/>
      <c r="AC65" s="1938"/>
      <c r="AD65" s="1938"/>
      <c r="AE65" s="1938"/>
      <c r="AF65" s="1938"/>
      <c r="AG65" s="1938"/>
      <c r="AI65" s="18"/>
      <c r="AJ65" s="18"/>
      <c r="AK65" s="18"/>
      <c r="AL65" s="18"/>
      <c r="AM65" s="18"/>
      <c r="AN65" s="18"/>
      <c r="AO65" s="18"/>
      <c r="AP65" s="18"/>
      <c r="AQ65" s="18"/>
    </row>
    <row r="66" spans="1:43" s="584" customFormat="1" ht="14">
      <c r="A66" s="597"/>
      <c r="D66" s="1540"/>
      <c r="E66" s="1540"/>
      <c r="F66" s="1540"/>
      <c r="G66" s="1540"/>
      <c r="H66" s="1540"/>
      <c r="I66" s="1540"/>
      <c r="J66" s="1540"/>
      <c r="K66" s="1540"/>
      <c r="L66" s="1540"/>
      <c r="M66" s="1540"/>
      <c r="N66" s="1540"/>
      <c r="O66" s="1540"/>
      <c r="P66" s="1540"/>
      <c r="Q66" s="1540"/>
      <c r="R66" s="1540"/>
      <c r="S66" s="1540"/>
      <c r="T66" s="1540"/>
      <c r="U66" s="1540"/>
      <c r="V66" s="1540"/>
      <c r="W66" s="1540"/>
      <c r="X66" s="1540"/>
      <c r="Y66" s="1540"/>
      <c r="Z66" s="1540"/>
      <c r="AA66" s="1540"/>
      <c r="AB66" s="1540"/>
      <c r="AC66" s="1540"/>
      <c r="AD66" s="1540"/>
      <c r="AE66" s="1540"/>
      <c r="AF66" s="1540"/>
      <c r="AG66" s="1540"/>
      <c r="AI66" s="18"/>
      <c r="AJ66" s="18"/>
      <c r="AK66" s="18"/>
      <c r="AL66" s="18"/>
      <c r="AM66" s="18"/>
      <c r="AN66" s="18"/>
      <c r="AO66" s="18"/>
      <c r="AP66" s="18"/>
      <c r="AQ66" s="18"/>
    </row>
    <row r="67" spans="1:43" s="584" customFormat="1" ht="14">
      <c r="A67" s="597"/>
      <c r="D67" s="582" t="s">
        <v>2947</v>
      </c>
      <c r="AI67" s="18"/>
      <c r="AJ67" s="18"/>
      <c r="AK67" s="18"/>
      <c r="AL67" s="18"/>
      <c r="AM67" s="18"/>
      <c r="AN67" s="18"/>
      <c r="AO67" s="18"/>
      <c r="AP67" s="18"/>
      <c r="AQ67" s="18"/>
    </row>
    <row r="68" spans="1:43" s="584" customFormat="1" ht="14">
      <c r="A68" s="597"/>
      <c r="AI68" s="18"/>
      <c r="AJ68" s="18"/>
      <c r="AK68" s="18"/>
      <c r="AL68" s="18"/>
      <c r="AM68" s="18"/>
      <c r="AN68" s="18"/>
      <c r="AO68" s="18"/>
      <c r="AP68" s="18"/>
      <c r="AQ68" s="18"/>
    </row>
    <row r="69" spans="1:43" s="584" customFormat="1" ht="14">
      <c r="A69" s="597"/>
      <c r="D69" s="2159" t="s">
        <v>2994</v>
      </c>
      <c r="E69" s="2159"/>
      <c r="F69" s="2159"/>
      <c r="G69" s="2159"/>
      <c r="H69" s="2159"/>
      <c r="I69" s="2159"/>
      <c r="J69" s="2159"/>
      <c r="K69" s="2159"/>
      <c r="L69" s="2159"/>
      <c r="M69" s="2159"/>
      <c r="N69" s="2159"/>
      <c r="O69" s="2159"/>
      <c r="P69" s="2159"/>
      <c r="Q69" s="2159"/>
      <c r="R69" s="2159"/>
      <c r="S69" s="2159"/>
      <c r="T69" s="2159"/>
      <c r="U69" s="2159"/>
      <c r="V69" s="2159"/>
      <c r="W69" s="2159"/>
      <c r="X69" s="2159"/>
      <c r="Y69" s="2159"/>
      <c r="Z69" s="2159"/>
      <c r="AA69" s="2159"/>
      <c r="AB69" s="2159"/>
      <c r="AC69" s="2159"/>
      <c r="AD69" s="2159"/>
      <c r="AE69" s="2159"/>
      <c r="AF69" s="2159"/>
      <c r="AG69" s="2159"/>
      <c r="AI69" s="18"/>
      <c r="AJ69" s="18"/>
      <c r="AK69" s="18"/>
      <c r="AL69" s="18"/>
      <c r="AM69" s="18"/>
      <c r="AN69" s="18"/>
      <c r="AO69" s="18"/>
      <c r="AP69" s="18"/>
      <c r="AQ69" s="18"/>
    </row>
    <row r="70" spans="1:43" s="584" customFormat="1" ht="14">
      <c r="A70" s="597"/>
      <c r="D70" s="2159"/>
      <c r="E70" s="2159"/>
      <c r="F70" s="2159"/>
      <c r="G70" s="2159"/>
      <c r="H70" s="2159"/>
      <c r="I70" s="2159"/>
      <c r="J70" s="2159"/>
      <c r="K70" s="2159"/>
      <c r="L70" s="2159"/>
      <c r="M70" s="2159"/>
      <c r="N70" s="2159"/>
      <c r="O70" s="2159"/>
      <c r="P70" s="2159"/>
      <c r="Q70" s="2159"/>
      <c r="R70" s="2159"/>
      <c r="S70" s="2159"/>
      <c r="T70" s="2159"/>
      <c r="U70" s="2159"/>
      <c r="V70" s="2159"/>
      <c r="W70" s="2159"/>
      <c r="X70" s="2159"/>
      <c r="Y70" s="2159"/>
      <c r="Z70" s="2159"/>
      <c r="AA70" s="2159"/>
      <c r="AB70" s="2159"/>
      <c r="AC70" s="2159"/>
      <c r="AD70" s="2159"/>
      <c r="AE70" s="2159"/>
      <c r="AF70" s="2159"/>
      <c r="AG70" s="2159"/>
      <c r="AI70" s="18"/>
      <c r="AJ70" s="18"/>
      <c r="AK70" s="18"/>
      <c r="AL70" s="18"/>
      <c r="AM70" s="18"/>
      <c r="AN70" s="18"/>
      <c r="AO70" s="18"/>
      <c r="AP70" s="18"/>
      <c r="AQ70" s="18"/>
    </row>
    <row r="71" spans="1:43" s="584" customFormat="1" ht="14">
      <c r="A71" s="597"/>
      <c r="AI71" s="18"/>
      <c r="AJ71" s="18"/>
      <c r="AK71" s="18"/>
      <c r="AL71" s="18"/>
      <c r="AM71" s="18"/>
      <c r="AN71" s="18"/>
      <c r="AO71" s="18"/>
      <c r="AP71" s="18"/>
      <c r="AQ71" s="18"/>
    </row>
    <row r="72" spans="1:43" s="584" customFormat="1" ht="14">
      <c r="A72" s="597"/>
      <c r="D72" s="582" t="s">
        <v>2926</v>
      </c>
      <c r="AI72" s="18"/>
      <c r="AJ72" s="18"/>
      <c r="AK72" s="18"/>
      <c r="AL72" s="18"/>
      <c r="AM72" s="18"/>
      <c r="AN72" s="18"/>
      <c r="AO72" s="18"/>
      <c r="AP72" s="18"/>
      <c r="AQ72" s="18"/>
    </row>
    <row r="73" spans="1:43" s="584" customFormat="1" ht="14">
      <c r="A73" s="597"/>
      <c r="AI73" s="18"/>
      <c r="AJ73" s="18"/>
      <c r="AK73" s="18"/>
      <c r="AL73" s="18"/>
      <c r="AM73" s="18"/>
      <c r="AN73" s="18"/>
      <c r="AO73" s="18"/>
      <c r="AP73" s="18"/>
      <c r="AQ73" s="18"/>
    </row>
    <row r="74" spans="1:43" s="584" customFormat="1" ht="14">
      <c r="A74" s="597"/>
      <c r="D74" s="2100" t="s">
        <v>2995</v>
      </c>
      <c r="E74" s="2144"/>
      <c r="F74" s="2144"/>
      <c r="G74" s="2144"/>
      <c r="H74" s="2144"/>
      <c r="I74" s="2144"/>
      <c r="J74" s="2144"/>
      <c r="K74" s="2144"/>
      <c r="L74" s="2144"/>
      <c r="M74" s="2144"/>
      <c r="N74" s="2144"/>
      <c r="O74" s="2144"/>
      <c r="P74" s="2144"/>
      <c r="Q74" s="2144"/>
      <c r="R74" s="2144"/>
      <c r="S74" s="2144"/>
      <c r="T74" s="2144"/>
      <c r="U74" s="2144"/>
      <c r="V74" s="2144"/>
      <c r="W74" s="2144"/>
      <c r="X74" s="2144"/>
      <c r="Y74" s="2144"/>
      <c r="Z74" s="2144"/>
      <c r="AA74" s="2144"/>
      <c r="AB74" s="2144"/>
      <c r="AC74" s="2144"/>
      <c r="AD74" s="2144"/>
      <c r="AE74" s="2144"/>
      <c r="AF74" s="2144"/>
      <c r="AG74" s="2144"/>
      <c r="AI74" s="18"/>
      <c r="AJ74" s="18"/>
      <c r="AK74" s="18"/>
      <c r="AL74" s="18"/>
      <c r="AM74" s="18"/>
      <c r="AN74" s="18"/>
      <c r="AO74" s="18"/>
      <c r="AP74" s="18"/>
      <c r="AQ74" s="18"/>
    </row>
    <row r="75" spans="1:43" s="584" customFormat="1" ht="14">
      <c r="A75" s="597"/>
      <c r="D75" s="2144"/>
      <c r="E75" s="2144"/>
      <c r="F75" s="2144"/>
      <c r="G75" s="2144"/>
      <c r="H75" s="2144"/>
      <c r="I75" s="2144"/>
      <c r="J75" s="2144"/>
      <c r="K75" s="2144"/>
      <c r="L75" s="2144"/>
      <c r="M75" s="2144"/>
      <c r="N75" s="2144"/>
      <c r="O75" s="2144"/>
      <c r="P75" s="2144"/>
      <c r="Q75" s="2144"/>
      <c r="R75" s="2144"/>
      <c r="S75" s="2144"/>
      <c r="T75" s="2144"/>
      <c r="U75" s="2144"/>
      <c r="V75" s="2144"/>
      <c r="W75" s="2144"/>
      <c r="X75" s="2144"/>
      <c r="Y75" s="2144"/>
      <c r="Z75" s="2144"/>
      <c r="AA75" s="2144"/>
      <c r="AB75" s="2144"/>
      <c r="AC75" s="2144"/>
      <c r="AD75" s="2144"/>
      <c r="AE75" s="2144"/>
      <c r="AF75" s="2144"/>
      <c r="AG75" s="2144"/>
      <c r="AI75" s="18"/>
      <c r="AJ75" s="18"/>
      <c r="AK75" s="18"/>
      <c r="AL75" s="18"/>
      <c r="AM75" s="18"/>
      <c r="AN75" s="18"/>
      <c r="AO75" s="18"/>
      <c r="AP75" s="18"/>
      <c r="AQ75" s="18"/>
    </row>
    <row r="76" spans="1:43" s="584" customFormat="1" ht="14">
      <c r="A76" s="597"/>
      <c r="D76" s="582" t="s">
        <v>1334</v>
      </c>
      <c r="AI76" s="18"/>
      <c r="AJ76" s="18"/>
      <c r="AK76" s="18"/>
      <c r="AL76" s="18"/>
      <c r="AM76" s="18"/>
      <c r="AN76" s="18"/>
      <c r="AO76" s="18"/>
      <c r="AP76" s="18"/>
      <c r="AQ76" s="18"/>
    </row>
    <row r="77" spans="1:43" s="584" customFormat="1" ht="14">
      <c r="A77" s="597"/>
      <c r="AI77" s="18"/>
      <c r="AJ77" s="18"/>
      <c r="AK77" s="18"/>
      <c r="AL77" s="18"/>
      <c r="AM77" s="18"/>
      <c r="AN77" s="18"/>
      <c r="AO77" s="18"/>
      <c r="AP77" s="18"/>
      <c r="AQ77" s="18"/>
    </row>
    <row r="78" spans="1:43" s="584" customFormat="1" ht="14">
      <c r="A78" s="597"/>
      <c r="D78" s="2144" t="s">
        <v>1335</v>
      </c>
      <c r="E78" s="2144"/>
      <c r="F78" s="2144"/>
      <c r="G78" s="2144"/>
      <c r="H78" s="2144"/>
      <c r="I78" s="2144"/>
      <c r="J78" s="2144"/>
      <c r="K78" s="2144"/>
      <c r="L78" s="2144"/>
      <c r="M78" s="2144"/>
      <c r="N78" s="2144"/>
      <c r="O78" s="2144"/>
      <c r="P78" s="2144"/>
      <c r="Q78" s="2144"/>
      <c r="R78" s="2144"/>
      <c r="S78" s="2144"/>
      <c r="T78" s="2144"/>
      <c r="U78" s="2144"/>
      <c r="V78" s="2144"/>
      <c r="W78" s="2144"/>
      <c r="X78" s="2144"/>
      <c r="Y78" s="2144"/>
      <c r="Z78" s="2144"/>
      <c r="AA78" s="2144"/>
      <c r="AB78" s="2144"/>
      <c r="AC78" s="2144"/>
      <c r="AD78" s="2144"/>
      <c r="AE78" s="2144"/>
      <c r="AF78" s="2144"/>
      <c r="AG78" s="2144"/>
      <c r="AI78" s="18"/>
      <c r="AJ78" s="18"/>
      <c r="AK78" s="18"/>
      <c r="AL78" s="18"/>
      <c r="AM78" s="18"/>
      <c r="AN78" s="18"/>
      <c r="AO78" s="18"/>
      <c r="AP78" s="18"/>
      <c r="AQ78" s="18"/>
    </row>
    <row r="79" spans="1:43" s="584" customFormat="1" ht="14">
      <c r="A79" s="597"/>
      <c r="D79" s="2144"/>
      <c r="E79" s="2144"/>
      <c r="F79" s="2144"/>
      <c r="G79" s="2144"/>
      <c r="H79" s="2144"/>
      <c r="I79" s="2144"/>
      <c r="J79" s="2144"/>
      <c r="K79" s="2144"/>
      <c r="L79" s="2144"/>
      <c r="M79" s="2144"/>
      <c r="N79" s="2144"/>
      <c r="O79" s="2144"/>
      <c r="P79" s="2144"/>
      <c r="Q79" s="2144"/>
      <c r="R79" s="2144"/>
      <c r="S79" s="2144"/>
      <c r="T79" s="2144"/>
      <c r="U79" s="2144"/>
      <c r="V79" s="2144"/>
      <c r="W79" s="2144"/>
      <c r="X79" s="2144"/>
      <c r="Y79" s="2144"/>
      <c r="Z79" s="2144"/>
      <c r="AA79" s="2144"/>
      <c r="AB79" s="2144"/>
      <c r="AC79" s="2144"/>
      <c r="AD79" s="2144"/>
      <c r="AE79" s="2144"/>
      <c r="AF79" s="2144"/>
      <c r="AG79" s="2144"/>
      <c r="AI79" s="18"/>
      <c r="AJ79" s="18"/>
      <c r="AK79" s="18"/>
      <c r="AL79" s="18"/>
      <c r="AM79" s="18"/>
      <c r="AN79" s="18"/>
      <c r="AO79" s="18"/>
      <c r="AP79" s="18"/>
      <c r="AQ79" s="18"/>
    </row>
    <row r="80" spans="1:43" s="584" customFormat="1" ht="14">
      <c r="A80" s="597"/>
      <c r="AI80" s="18"/>
      <c r="AJ80" s="18"/>
      <c r="AK80" s="18"/>
      <c r="AL80" s="18"/>
      <c r="AM80" s="18"/>
      <c r="AN80" s="18"/>
      <c r="AO80" s="18"/>
      <c r="AP80" s="18"/>
      <c r="AQ80" s="18"/>
    </row>
    <row r="81" spans="1:43" s="584" customFormat="1" ht="14">
      <c r="A81" s="597"/>
      <c r="D81" s="2144" t="s">
        <v>1336</v>
      </c>
      <c r="E81" s="2144"/>
      <c r="F81" s="2144"/>
      <c r="G81" s="2144"/>
      <c r="H81" s="2144"/>
      <c r="I81" s="2144"/>
      <c r="J81" s="2144"/>
      <c r="K81" s="2144"/>
      <c r="L81" s="2144"/>
      <c r="M81" s="2144"/>
      <c r="N81" s="2144"/>
      <c r="O81" s="2144"/>
      <c r="P81" s="2144"/>
      <c r="Q81" s="2144"/>
      <c r="R81" s="2144"/>
      <c r="S81" s="2144"/>
      <c r="T81" s="2144"/>
      <c r="U81" s="2144"/>
      <c r="V81" s="2144"/>
      <c r="W81" s="2144"/>
      <c r="X81" s="2144"/>
      <c r="Y81" s="2144"/>
      <c r="Z81" s="2144"/>
      <c r="AA81" s="2144"/>
      <c r="AB81" s="2144"/>
      <c r="AC81" s="2144"/>
      <c r="AD81" s="2144"/>
      <c r="AE81" s="2144"/>
      <c r="AF81" s="2144"/>
      <c r="AG81" s="2144"/>
      <c r="AI81" s="18"/>
      <c r="AJ81" s="18"/>
      <c r="AK81" s="18"/>
      <c r="AL81" s="18"/>
      <c r="AM81" s="18"/>
      <c r="AN81" s="18"/>
      <c r="AO81" s="18"/>
      <c r="AP81" s="18"/>
      <c r="AQ81" s="18"/>
    </row>
    <row r="82" spans="1:43" s="584" customFormat="1" ht="14">
      <c r="A82" s="597"/>
      <c r="D82" s="2144"/>
      <c r="E82" s="2144"/>
      <c r="F82" s="2144"/>
      <c r="G82" s="2144"/>
      <c r="H82" s="2144"/>
      <c r="I82" s="2144"/>
      <c r="J82" s="2144"/>
      <c r="K82" s="2144"/>
      <c r="L82" s="2144"/>
      <c r="M82" s="2144"/>
      <c r="N82" s="2144"/>
      <c r="O82" s="2144"/>
      <c r="P82" s="2144"/>
      <c r="Q82" s="2144"/>
      <c r="R82" s="2144"/>
      <c r="S82" s="2144"/>
      <c r="T82" s="2144"/>
      <c r="U82" s="2144"/>
      <c r="V82" s="2144"/>
      <c r="W82" s="2144"/>
      <c r="X82" s="2144"/>
      <c r="Y82" s="2144"/>
      <c r="Z82" s="2144"/>
      <c r="AA82" s="2144"/>
      <c r="AB82" s="2144"/>
      <c r="AC82" s="2144"/>
      <c r="AD82" s="2144"/>
      <c r="AE82" s="2144"/>
      <c r="AF82" s="2144"/>
      <c r="AG82" s="2144"/>
      <c r="AI82" s="18"/>
      <c r="AJ82" s="18"/>
      <c r="AK82" s="18"/>
      <c r="AL82" s="18"/>
      <c r="AM82" s="18"/>
      <c r="AN82" s="18"/>
      <c r="AO82" s="18"/>
      <c r="AP82" s="18"/>
      <c r="AQ82" s="18"/>
    </row>
    <row r="83" spans="1:43" s="584" customFormat="1" ht="14">
      <c r="A83" s="597"/>
      <c r="AI83" s="18"/>
      <c r="AJ83" s="18"/>
      <c r="AK83" s="18"/>
      <c r="AL83" s="18"/>
      <c r="AM83" s="18"/>
      <c r="AN83" s="18"/>
      <c r="AO83" s="18"/>
      <c r="AP83" s="18"/>
      <c r="AQ83" s="18"/>
    </row>
    <row r="84" spans="1:43" s="584" customFormat="1" ht="14">
      <c r="A84" s="597"/>
      <c r="D84" s="2100" t="s">
        <v>2949</v>
      </c>
      <c r="E84" s="2144"/>
      <c r="F84" s="2144"/>
      <c r="G84" s="2144"/>
      <c r="H84" s="2144"/>
      <c r="I84" s="2144"/>
      <c r="J84" s="2144"/>
      <c r="K84" s="2144"/>
      <c r="L84" s="2144"/>
      <c r="M84" s="2144"/>
      <c r="N84" s="2144"/>
      <c r="O84" s="2144"/>
      <c r="P84" s="2144"/>
      <c r="Q84" s="2144"/>
      <c r="R84" s="2144"/>
      <c r="S84" s="2144"/>
      <c r="T84" s="2144"/>
      <c r="U84" s="2144"/>
      <c r="V84" s="2144"/>
      <c r="W84" s="2144"/>
      <c r="X84" s="2144"/>
      <c r="Y84" s="2144"/>
      <c r="Z84" s="2144"/>
      <c r="AA84" s="2144"/>
      <c r="AB84" s="2144"/>
      <c r="AC84" s="2144"/>
      <c r="AD84" s="2144"/>
      <c r="AE84" s="2144"/>
      <c r="AF84" s="2144"/>
      <c r="AG84" s="2144"/>
      <c r="AI84" s="18"/>
      <c r="AJ84" s="18"/>
      <c r="AK84" s="18"/>
      <c r="AL84" s="18"/>
      <c r="AM84" s="18"/>
      <c r="AN84" s="18"/>
      <c r="AO84" s="18"/>
      <c r="AP84" s="18"/>
      <c r="AQ84" s="18"/>
    </row>
    <row r="85" spans="1:43" s="584" customFormat="1" ht="42.65" customHeight="1">
      <c r="A85" s="597"/>
      <c r="D85" s="2144"/>
      <c r="E85" s="2144"/>
      <c r="F85" s="2144"/>
      <c r="G85" s="2144"/>
      <c r="H85" s="2144"/>
      <c r="I85" s="2144"/>
      <c r="J85" s="2144"/>
      <c r="K85" s="2144"/>
      <c r="L85" s="2144"/>
      <c r="M85" s="2144"/>
      <c r="N85" s="2144"/>
      <c r="O85" s="2144"/>
      <c r="P85" s="2144"/>
      <c r="Q85" s="2144"/>
      <c r="R85" s="2144"/>
      <c r="S85" s="2144"/>
      <c r="T85" s="2144"/>
      <c r="U85" s="2144"/>
      <c r="V85" s="2144"/>
      <c r="W85" s="2144"/>
      <c r="X85" s="2144"/>
      <c r="Y85" s="2144"/>
      <c r="Z85" s="2144"/>
      <c r="AA85" s="2144"/>
      <c r="AB85" s="2144"/>
      <c r="AC85" s="2144"/>
      <c r="AD85" s="2144"/>
      <c r="AE85" s="2144"/>
      <c r="AF85" s="2144"/>
      <c r="AG85" s="2144"/>
      <c r="AI85" s="18"/>
      <c r="AJ85" s="18"/>
      <c r="AK85" s="18"/>
      <c r="AL85" s="18"/>
      <c r="AM85" s="18"/>
      <c r="AN85" s="18"/>
      <c r="AO85" s="18"/>
      <c r="AP85" s="18"/>
      <c r="AQ85" s="18"/>
    </row>
    <row r="86" spans="1:43" s="584" customFormat="1" ht="14">
      <c r="A86" s="597"/>
      <c r="AI86" s="18"/>
      <c r="AJ86" s="18"/>
      <c r="AK86" s="18"/>
      <c r="AL86" s="18"/>
      <c r="AM86" s="18"/>
      <c r="AN86" s="18"/>
      <c r="AO86" s="18"/>
      <c r="AP86" s="18"/>
      <c r="AQ86" s="18"/>
    </row>
    <row r="87" spans="1:43" s="584" customFormat="1" ht="14">
      <c r="A87" s="597"/>
      <c r="D87" s="600" t="s">
        <v>1337</v>
      </c>
      <c r="AI87" s="18"/>
      <c r="AJ87" s="18"/>
      <c r="AK87" s="18"/>
      <c r="AL87" s="18"/>
      <c r="AM87" s="18"/>
      <c r="AN87" s="18"/>
      <c r="AO87" s="18"/>
      <c r="AP87" s="18"/>
      <c r="AQ87" s="18"/>
    </row>
    <row r="88" spans="1:43" s="584" customFormat="1" ht="14">
      <c r="A88" s="597"/>
      <c r="D88" s="773"/>
      <c r="E88" s="773"/>
      <c r="F88" s="773"/>
      <c r="G88" s="773"/>
      <c r="H88" s="773"/>
      <c r="I88" s="773"/>
      <c r="J88" s="773"/>
      <c r="K88" s="773"/>
      <c r="L88" s="773"/>
      <c r="M88" s="773"/>
      <c r="N88" s="773"/>
      <c r="O88" s="773"/>
      <c r="P88" s="773"/>
      <c r="Q88" s="773"/>
      <c r="R88" s="773"/>
      <c r="S88" s="773"/>
      <c r="T88" s="773"/>
      <c r="U88" s="773"/>
      <c r="V88" s="773"/>
      <c r="W88" s="773"/>
      <c r="X88" s="773"/>
      <c r="Y88" s="773"/>
      <c r="Z88" s="773"/>
      <c r="AA88" s="773"/>
      <c r="AB88" s="773"/>
      <c r="AC88" s="773"/>
      <c r="AD88" s="773"/>
      <c r="AE88" s="773"/>
      <c r="AF88" s="773"/>
      <c r="AG88" s="773"/>
      <c r="AI88" s="18"/>
      <c r="AJ88" s="18"/>
      <c r="AK88" s="18"/>
      <c r="AL88" s="18"/>
      <c r="AM88" s="18"/>
      <c r="AN88" s="18"/>
      <c r="AO88" s="18"/>
      <c r="AP88" s="18"/>
      <c r="AQ88" s="18"/>
    </row>
    <row r="89" spans="1:43" s="584" customFormat="1" ht="14">
      <c r="A89" s="597"/>
      <c r="D89" s="1510" t="s">
        <v>2860</v>
      </c>
      <c r="E89" s="1511"/>
      <c r="F89" s="1511"/>
      <c r="G89" s="1511"/>
      <c r="H89" s="1511"/>
      <c r="I89" s="1511"/>
      <c r="J89" s="1511"/>
      <c r="K89" s="1511"/>
      <c r="L89" s="1511"/>
      <c r="M89" s="1511"/>
      <c r="N89" s="1511"/>
      <c r="O89" s="1511"/>
      <c r="P89" s="1511"/>
      <c r="Q89" s="1511"/>
      <c r="R89" s="1511"/>
      <c r="S89" s="1511"/>
      <c r="T89" s="1511"/>
      <c r="U89" s="1511"/>
      <c r="V89" s="1511"/>
      <c r="W89" s="1511"/>
      <c r="X89" s="1511"/>
      <c r="Y89" s="1511"/>
      <c r="Z89" s="1511"/>
      <c r="AA89" s="1511"/>
      <c r="AB89" s="1511"/>
      <c r="AC89" s="1511"/>
      <c r="AD89" s="1511"/>
      <c r="AE89" s="1511"/>
      <c r="AF89" s="1511"/>
      <c r="AG89" s="1511"/>
      <c r="AI89" s="18"/>
      <c r="AJ89" s="18"/>
      <c r="AK89" s="18"/>
      <c r="AL89" s="18"/>
      <c r="AM89" s="18"/>
      <c r="AN89" s="18"/>
      <c r="AO89" s="18"/>
      <c r="AP89" s="18"/>
      <c r="AQ89" s="18"/>
    </row>
    <row r="90" spans="1:43" s="584" customFormat="1" ht="14">
      <c r="A90" s="597"/>
      <c r="D90" s="1510" t="s">
        <v>2861</v>
      </c>
      <c r="E90" s="1511"/>
      <c r="F90" s="1511"/>
      <c r="G90" s="1511"/>
      <c r="H90" s="1511"/>
      <c r="I90" s="1511"/>
      <c r="J90" s="1511"/>
      <c r="K90" s="1511"/>
      <c r="L90" s="1511"/>
      <c r="M90" s="1511"/>
      <c r="N90" s="1511"/>
      <c r="O90" s="1511"/>
      <c r="P90" s="1511"/>
      <c r="Q90" s="1511"/>
      <c r="R90" s="1511"/>
      <c r="S90" s="1511"/>
      <c r="T90" s="1511"/>
      <c r="U90" s="1511"/>
      <c r="V90" s="1511"/>
      <c r="W90" s="1511"/>
      <c r="X90" s="1511"/>
      <c r="Y90" s="1511"/>
      <c r="Z90" s="1511"/>
      <c r="AA90" s="1511"/>
      <c r="AB90" s="1511"/>
      <c r="AC90" s="1511"/>
      <c r="AD90" s="1511"/>
      <c r="AE90" s="1511"/>
      <c r="AF90" s="1511"/>
      <c r="AG90" s="1511"/>
      <c r="AI90" s="18"/>
      <c r="AJ90" s="18"/>
      <c r="AK90" s="18"/>
      <c r="AL90" s="18"/>
      <c r="AM90" s="18"/>
      <c r="AN90" s="18"/>
      <c r="AO90" s="18"/>
      <c r="AP90" s="18"/>
      <c r="AQ90" s="18"/>
    </row>
    <row r="91" spans="1:43" s="584" customFormat="1" ht="14.5" customHeight="1">
      <c r="A91" s="597"/>
      <c r="D91" s="1570" t="s">
        <v>3040</v>
      </c>
      <c r="E91" s="1570"/>
      <c r="F91" s="1571"/>
      <c r="G91" s="1571"/>
      <c r="H91" s="1571"/>
      <c r="I91" s="1571"/>
      <c r="J91" s="1571"/>
      <c r="K91" s="1571"/>
      <c r="L91" s="1571"/>
      <c r="M91" s="1571"/>
      <c r="N91" s="1571"/>
      <c r="O91" s="1571"/>
      <c r="P91" s="1571"/>
      <c r="Q91" s="1571"/>
      <c r="R91" s="1571"/>
      <c r="S91" s="1571"/>
      <c r="T91" s="1571"/>
      <c r="U91" s="1571"/>
      <c r="V91" s="1511"/>
      <c r="W91" s="1511"/>
      <c r="X91" s="1511"/>
      <c r="Y91" s="1511"/>
      <c r="Z91" s="1511"/>
      <c r="AA91" s="1511"/>
      <c r="AB91" s="1511"/>
      <c r="AC91" s="1511"/>
      <c r="AD91" s="1511"/>
      <c r="AE91" s="1511"/>
      <c r="AF91" s="1511"/>
      <c r="AG91" s="1511"/>
      <c r="AI91" s="18"/>
      <c r="AJ91" s="18"/>
      <c r="AK91" s="18"/>
      <c r="AL91" s="18"/>
      <c r="AM91" s="18"/>
      <c r="AN91" s="18"/>
      <c r="AO91" s="18"/>
      <c r="AP91" s="18"/>
      <c r="AQ91" s="18"/>
    </row>
    <row r="92" spans="1:43" s="584" customFormat="1" ht="6.65" customHeight="1">
      <c r="A92" s="597"/>
      <c r="D92" s="1510"/>
      <c r="E92" s="1511"/>
      <c r="F92" s="1511"/>
      <c r="G92" s="1511"/>
      <c r="H92" s="1511"/>
      <c r="I92" s="1511"/>
      <c r="J92" s="1511"/>
      <c r="K92" s="1511"/>
      <c r="L92" s="1511"/>
      <c r="M92" s="1511"/>
      <c r="N92" s="1511"/>
      <c r="O92" s="1511"/>
      <c r="P92" s="1511"/>
      <c r="Q92" s="1511"/>
      <c r="R92" s="1511"/>
      <c r="S92" s="1511"/>
      <c r="T92" s="1511"/>
      <c r="U92" s="1511"/>
      <c r="V92" s="1511"/>
      <c r="W92" s="1511"/>
      <c r="X92" s="1511"/>
      <c r="Y92" s="1511"/>
      <c r="Z92" s="1511"/>
      <c r="AA92" s="1511"/>
      <c r="AB92" s="1511"/>
      <c r="AC92" s="1511"/>
      <c r="AD92" s="1511"/>
      <c r="AE92" s="1511"/>
      <c r="AF92" s="1511"/>
      <c r="AG92" s="1511"/>
      <c r="AI92" s="18"/>
      <c r="AJ92" s="18"/>
      <c r="AK92" s="18"/>
      <c r="AL92" s="18"/>
      <c r="AM92" s="18"/>
      <c r="AN92" s="18"/>
      <c r="AO92" s="18"/>
      <c r="AP92" s="18"/>
      <c r="AQ92" s="18"/>
    </row>
    <row r="93" spans="1:43" s="584" customFormat="1" ht="14">
      <c r="A93" s="597"/>
      <c r="D93" s="1938" t="s">
        <v>1340</v>
      </c>
      <c r="E93" s="1938"/>
      <c r="F93" s="1938"/>
      <c r="G93" s="1938"/>
      <c r="H93" s="1938"/>
      <c r="I93" s="1938"/>
      <c r="J93" s="1938"/>
      <c r="K93" s="1938"/>
      <c r="L93" s="1938"/>
      <c r="M93" s="1938"/>
      <c r="N93" s="1938"/>
      <c r="O93" s="1938"/>
      <c r="P93" s="1938"/>
      <c r="Q93" s="1938"/>
      <c r="R93" s="1938"/>
      <c r="S93" s="1938"/>
      <c r="T93" s="1938"/>
      <c r="U93" s="1938"/>
      <c r="V93" s="1938"/>
      <c r="W93" s="1938"/>
      <c r="X93" s="1938"/>
      <c r="Y93" s="1938"/>
      <c r="Z93" s="1938"/>
      <c r="AA93" s="1938"/>
      <c r="AB93" s="1938"/>
      <c r="AC93" s="1938"/>
      <c r="AD93" s="1938"/>
      <c r="AE93" s="1938"/>
      <c r="AF93" s="1938"/>
      <c r="AG93" s="1938"/>
      <c r="AI93" s="18"/>
      <c r="AJ93" s="18"/>
      <c r="AK93" s="18"/>
      <c r="AL93" s="18"/>
      <c r="AM93" s="18"/>
      <c r="AN93" s="18"/>
      <c r="AO93" s="18"/>
      <c r="AP93" s="18"/>
      <c r="AQ93" s="18"/>
    </row>
    <row r="94" spans="1:43" s="584" customFormat="1" ht="14">
      <c r="A94" s="597"/>
      <c r="D94" s="1938"/>
      <c r="E94" s="1938"/>
      <c r="F94" s="1938"/>
      <c r="G94" s="1938"/>
      <c r="H94" s="1938"/>
      <c r="I94" s="1938"/>
      <c r="J94" s="1938"/>
      <c r="K94" s="1938"/>
      <c r="L94" s="1938"/>
      <c r="M94" s="1938"/>
      <c r="N94" s="1938"/>
      <c r="O94" s="1938"/>
      <c r="P94" s="1938"/>
      <c r="Q94" s="1938"/>
      <c r="R94" s="1938"/>
      <c r="S94" s="1938"/>
      <c r="T94" s="1938"/>
      <c r="U94" s="1938"/>
      <c r="V94" s="1938"/>
      <c r="W94" s="1938"/>
      <c r="X94" s="1938"/>
      <c r="Y94" s="1938"/>
      <c r="Z94" s="1938"/>
      <c r="AA94" s="1938"/>
      <c r="AB94" s="1938"/>
      <c r="AC94" s="1938"/>
      <c r="AD94" s="1938"/>
      <c r="AE94" s="1938"/>
      <c r="AF94" s="1938"/>
      <c r="AG94" s="1938"/>
      <c r="AI94" s="18"/>
      <c r="AJ94" s="18"/>
      <c r="AK94" s="18"/>
      <c r="AL94" s="18"/>
      <c r="AM94" s="18"/>
      <c r="AN94" s="18"/>
      <c r="AO94" s="18"/>
      <c r="AP94" s="18"/>
      <c r="AQ94" s="18"/>
    </row>
    <row r="95" spans="1:43" s="584" customFormat="1" ht="14">
      <c r="A95" s="597"/>
      <c r="AI95" s="18"/>
      <c r="AJ95" s="18"/>
      <c r="AK95" s="18"/>
      <c r="AL95" s="18"/>
      <c r="AM95" s="18"/>
      <c r="AN95" s="18"/>
      <c r="AO95" s="18"/>
      <c r="AP95" s="18"/>
      <c r="AQ95" s="18"/>
    </row>
    <row r="96" spans="1:43" s="584" customFormat="1" ht="14">
      <c r="A96" s="597"/>
      <c r="D96" s="582" t="s">
        <v>1341</v>
      </c>
      <c r="AI96" s="18"/>
      <c r="AJ96" s="18"/>
      <c r="AK96" s="18"/>
      <c r="AL96" s="18"/>
      <c r="AM96" s="18"/>
      <c r="AN96" s="18"/>
      <c r="AO96" s="18"/>
      <c r="AP96" s="18"/>
      <c r="AQ96" s="18"/>
    </row>
    <row r="97" spans="1:43" s="584" customFormat="1" ht="14">
      <c r="A97" s="597"/>
      <c r="AI97" s="18"/>
      <c r="AJ97" s="18"/>
      <c r="AK97" s="18"/>
      <c r="AL97" s="18"/>
      <c r="AM97" s="18"/>
      <c r="AN97" s="18"/>
      <c r="AO97" s="18"/>
      <c r="AP97" s="18"/>
      <c r="AQ97" s="18"/>
    </row>
    <row r="98" spans="1:43" s="584" customFormat="1" ht="14">
      <c r="A98" s="597"/>
      <c r="D98" s="2144" t="s">
        <v>1342</v>
      </c>
      <c r="E98" s="2144"/>
      <c r="F98" s="2144"/>
      <c r="G98" s="2144"/>
      <c r="H98" s="2144"/>
      <c r="I98" s="2144"/>
      <c r="J98" s="2144"/>
      <c r="K98" s="2144"/>
      <c r="L98" s="2144"/>
      <c r="M98" s="2144"/>
      <c r="N98" s="2144"/>
      <c r="O98" s="2144"/>
      <c r="P98" s="2144"/>
      <c r="Q98" s="2144"/>
      <c r="R98" s="2144"/>
      <c r="S98" s="2144"/>
      <c r="T98" s="2144"/>
      <c r="U98" s="2144"/>
      <c r="V98" s="2144"/>
      <c r="W98" s="2144"/>
      <c r="X98" s="2144"/>
      <c r="Y98" s="2144"/>
      <c r="Z98" s="2144"/>
      <c r="AA98" s="2144"/>
      <c r="AB98" s="2144"/>
      <c r="AC98" s="2144"/>
      <c r="AD98" s="2144"/>
      <c r="AE98" s="2144"/>
      <c r="AF98" s="2144"/>
      <c r="AG98" s="2144"/>
      <c r="AI98" s="18"/>
      <c r="AJ98" s="18"/>
      <c r="AK98" s="18"/>
      <c r="AL98" s="18"/>
      <c r="AM98" s="18"/>
      <c r="AN98" s="18"/>
      <c r="AO98" s="18"/>
      <c r="AP98" s="18"/>
      <c r="AQ98" s="18"/>
    </row>
    <row r="99" spans="1:43" s="584" customFormat="1" ht="14">
      <c r="A99" s="597"/>
      <c r="D99" s="2144"/>
      <c r="E99" s="2144"/>
      <c r="F99" s="2144"/>
      <c r="G99" s="2144"/>
      <c r="H99" s="2144"/>
      <c r="I99" s="2144"/>
      <c r="J99" s="2144"/>
      <c r="K99" s="2144"/>
      <c r="L99" s="2144"/>
      <c r="M99" s="2144"/>
      <c r="N99" s="2144"/>
      <c r="O99" s="2144"/>
      <c r="P99" s="2144"/>
      <c r="Q99" s="2144"/>
      <c r="R99" s="2144"/>
      <c r="S99" s="2144"/>
      <c r="T99" s="2144"/>
      <c r="U99" s="2144"/>
      <c r="V99" s="2144"/>
      <c r="W99" s="2144"/>
      <c r="X99" s="2144"/>
      <c r="Y99" s="2144"/>
      <c r="Z99" s="2144"/>
      <c r="AA99" s="2144"/>
      <c r="AB99" s="2144"/>
      <c r="AC99" s="2144"/>
      <c r="AD99" s="2144"/>
      <c r="AE99" s="2144"/>
      <c r="AF99" s="2144"/>
      <c r="AG99" s="2144"/>
      <c r="AI99" s="18"/>
      <c r="AJ99" s="18"/>
      <c r="AK99" s="18"/>
      <c r="AL99" s="18"/>
      <c r="AM99" s="18"/>
      <c r="AN99" s="18"/>
      <c r="AO99" s="18"/>
      <c r="AP99" s="18"/>
      <c r="AQ99" s="18"/>
    </row>
    <row r="100" spans="1:43" s="584" customFormat="1" ht="14">
      <c r="A100" s="597"/>
      <c r="AI100" s="18"/>
      <c r="AJ100" s="18"/>
      <c r="AK100" s="18"/>
      <c r="AL100" s="18"/>
      <c r="AM100" s="18"/>
      <c r="AN100" s="18"/>
      <c r="AO100" s="18"/>
      <c r="AP100" s="18"/>
      <c r="AQ100" s="18"/>
    </row>
    <row r="101" spans="1:43" s="584" customFormat="1" ht="14">
      <c r="A101" s="597"/>
      <c r="D101" s="2144" t="s">
        <v>1343</v>
      </c>
      <c r="E101" s="2144"/>
      <c r="F101" s="2144"/>
      <c r="G101" s="2144"/>
      <c r="H101" s="2144"/>
      <c r="I101" s="2144"/>
      <c r="J101" s="2144"/>
      <c r="K101" s="2144"/>
      <c r="L101" s="2144"/>
      <c r="M101" s="2144"/>
      <c r="N101" s="2144"/>
      <c r="O101" s="2144"/>
      <c r="P101" s="2144"/>
      <c r="Q101" s="2144"/>
      <c r="R101" s="2144"/>
      <c r="S101" s="2144"/>
      <c r="T101" s="2144"/>
      <c r="U101" s="2144"/>
      <c r="V101" s="2144"/>
      <c r="W101" s="2144"/>
      <c r="X101" s="2144"/>
      <c r="Y101" s="2144"/>
      <c r="Z101" s="2144"/>
      <c r="AA101" s="2144"/>
      <c r="AB101" s="2144"/>
      <c r="AC101" s="2144"/>
      <c r="AD101" s="2144"/>
      <c r="AE101" s="2144"/>
      <c r="AF101" s="2144"/>
      <c r="AG101" s="2144"/>
      <c r="AI101" s="18"/>
      <c r="AJ101" s="18"/>
      <c r="AK101" s="18"/>
      <c r="AL101" s="18"/>
      <c r="AM101" s="18"/>
      <c r="AN101" s="18"/>
      <c r="AO101" s="18"/>
      <c r="AP101" s="18"/>
      <c r="AQ101" s="18"/>
    </row>
    <row r="102" spans="1:43" s="584" customFormat="1" ht="14">
      <c r="A102" s="597"/>
      <c r="D102" s="2144"/>
      <c r="E102" s="2144"/>
      <c r="F102" s="2144"/>
      <c r="G102" s="2144"/>
      <c r="H102" s="2144"/>
      <c r="I102" s="2144"/>
      <c r="J102" s="2144"/>
      <c r="K102" s="2144"/>
      <c r="L102" s="2144"/>
      <c r="M102" s="2144"/>
      <c r="N102" s="2144"/>
      <c r="O102" s="2144"/>
      <c r="P102" s="2144"/>
      <c r="Q102" s="2144"/>
      <c r="R102" s="2144"/>
      <c r="S102" s="2144"/>
      <c r="T102" s="2144"/>
      <c r="U102" s="2144"/>
      <c r="V102" s="2144"/>
      <c r="W102" s="2144"/>
      <c r="X102" s="2144"/>
      <c r="Y102" s="2144"/>
      <c r="Z102" s="2144"/>
      <c r="AA102" s="2144"/>
      <c r="AB102" s="2144"/>
      <c r="AC102" s="2144"/>
      <c r="AD102" s="2144"/>
      <c r="AE102" s="2144"/>
      <c r="AF102" s="2144"/>
      <c r="AG102" s="2144"/>
      <c r="AI102" s="18"/>
      <c r="AJ102" s="18"/>
      <c r="AK102" s="18"/>
      <c r="AL102" s="18"/>
      <c r="AM102" s="18"/>
      <c r="AN102" s="18"/>
      <c r="AO102" s="18"/>
      <c r="AP102" s="18"/>
      <c r="AQ102" s="18"/>
    </row>
    <row r="103" spans="1:43" s="584" customFormat="1" ht="14">
      <c r="A103" s="597"/>
      <c r="AI103" s="18"/>
      <c r="AJ103" s="18"/>
      <c r="AK103" s="18"/>
      <c r="AL103" s="18"/>
      <c r="AM103" s="18"/>
      <c r="AN103" s="18"/>
      <c r="AO103" s="18"/>
      <c r="AP103" s="18"/>
      <c r="AQ103" s="18"/>
    </row>
    <row r="104" spans="1:43" s="584" customFormat="1" ht="14">
      <c r="A104" s="597"/>
      <c r="D104" s="2144" t="s">
        <v>1344</v>
      </c>
      <c r="E104" s="2144"/>
      <c r="F104" s="2144"/>
      <c r="G104" s="2144"/>
      <c r="H104" s="2144"/>
      <c r="I104" s="2144"/>
      <c r="J104" s="2144"/>
      <c r="K104" s="2144"/>
      <c r="L104" s="2144"/>
      <c r="M104" s="2144"/>
      <c r="N104" s="2144"/>
      <c r="O104" s="2144"/>
      <c r="P104" s="2144"/>
      <c r="Q104" s="2144"/>
      <c r="R104" s="2144"/>
      <c r="S104" s="2144"/>
      <c r="T104" s="2144"/>
      <c r="U104" s="2144"/>
      <c r="V104" s="2144"/>
      <c r="W104" s="2144"/>
      <c r="X104" s="2144"/>
      <c r="Y104" s="2144"/>
      <c r="Z104" s="2144"/>
      <c r="AA104" s="2144"/>
      <c r="AB104" s="2144"/>
      <c r="AC104" s="2144"/>
      <c r="AD104" s="2144"/>
      <c r="AE104" s="2144"/>
      <c r="AF104" s="2144"/>
      <c r="AG104" s="2144"/>
      <c r="AI104" s="18"/>
      <c r="AJ104" s="18"/>
      <c r="AK104" s="18"/>
      <c r="AL104" s="18"/>
      <c r="AM104" s="18"/>
      <c r="AN104" s="18"/>
      <c r="AO104" s="18"/>
      <c r="AP104" s="18"/>
      <c r="AQ104" s="18"/>
    </row>
    <row r="105" spans="1:43" s="584" customFormat="1" ht="14">
      <c r="A105" s="597"/>
      <c r="D105" s="2144"/>
      <c r="E105" s="2144"/>
      <c r="F105" s="2144"/>
      <c r="G105" s="2144"/>
      <c r="H105" s="2144"/>
      <c r="I105" s="2144"/>
      <c r="J105" s="2144"/>
      <c r="K105" s="2144"/>
      <c r="L105" s="2144"/>
      <c r="M105" s="2144"/>
      <c r="N105" s="2144"/>
      <c r="O105" s="2144"/>
      <c r="P105" s="2144"/>
      <c r="Q105" s="2144"/>
      <c r="R105" s="2144"/>
      <c r="S105" s="2144"/>
      <c r="T105" s="2144"/>
      <c r="U105" s="2144"/>
      <c r="V105" s="2144"/>
      <c r="W105" s="2144"/>
      <c r="X105" s="2144"/>
      <c r="Y105" s="2144"/>
      <c r="Z105" s="2144"/>
      <c r="AA105" s="2144"/>
      <c r="AB105" s="2144"/>
      <c r="AC105" s="2144"/>
      <c r="AD105" s="2144"/>
      <c r="AE105" s="2144"/>
      <c r="AF105" s="2144"/>
      <c r="AG105" s="2144"/>
      <c r="AI105" s="18"/>
      <c r="AJ105" s="18"/>
      <c r="AK105" s="18"/>
      <c r="AL105" s="18"/>
      <c r="AM105" s="18"/>
      <c r="AN105" s="18"/>
      <c r="AO105" s="18"/>
      <c r="AP105" s="18"/>
      <c r="AQ105" s="18"/>
    </row>
    <row r="106" spans="1:43" s="584" customFormat="1" ht="14">
      <c r="A106" s="597"/>
      <c r="AI106" s="18"/>
      <c r="AJ106" s="18"/>
      <c r="AK106" s="18"/>
      <c r="AL106" s="18"/>
      <c r="AM106" s="18"/>
      <c r="AN106" s="18"/>
      <c r="AO106" s="18"/>
      <c r="AP106" s="18"/>
      <c r="AQ106" s="18"/>
    </row>
    <row r="107" spans="1:43" s="584" customFormat="1" ht="14">
      <c r="A107" s="597"/>
      <c r="D107" s="600" t="s">
        <v>1337</v>
      </c>
      <c r="AI107" s="18"/>
      <c r="AJ107" s="18"/>
      <c r="AK107" s="18"/>
      <c r="AL107" s="18"/>
      <c r="AM107" s="18"/>
      <c r="AN107" s="18"/>
      <c r="AO107" s="18"/>
      <c r="AP107" s="18"/>
      <c r="AQ107" s="18"/>
    </row>
    <row r="108" spans="1:43" s="584" customFormat="1" ht="14">
      <c r="A108" s="597"/>
      <c r="AI108" s="18"/>
      <c r="AJ108" s="18"/>
      <c r="AK108" s="18"/>
      <c r="AL108" s="18"/>
      <c r="AM108" s="18"/>
      <c r="AN108" s="18"/>
      <c r="AO108" s="18"/>
      <c r="AP108" s="18"/>
      <c r="AQ108" s="18"/>
    </row>
    <row r="109" spans="1:43" s="584" customFormat="1" ht="14">
      <c r="A109" s="597"/>
      <c r="D109" s="2144" t="s">
        <v>1349</v>
      </c>
      <c r="E109" s="2144"/>
      <c r="F109" s="2144"/>
      <c r="G109" s="2144"/>
      <c r="H109" s="2144"/>
      <c r="I109" s="2144"/>
      <c r="J109" s="2144"/>
      <c r="K109" s="2144"/>
      <c r="L109" s="2144"/>
      <c r="M109" s="2144"/>
      <c r="N109" s="2144"/>
      <c r="O109" s="2144"/>
      <c r="P109" s="2144"/>
      <c r="Q109" s="2144"/>
      <c r="R109" s="2144"/>
      <c r="S109" s="2144"/>
      <c r="T109" s="2144"/>
      <c r="U109" s="2144"/>
      <c r="V109" s="2144"/>
      <c r="W109" s="2144"/>
      <c r="X109" s="2144"/>
      <c r="Y109" s="2144"/>
      <c r="Z109" s="2144"/>
      <c r="AA109" s="2144"/>
      <c r="AB109" s="2144"/>
      <c r="AC109" s="2144"/>
      <c r="AD109" s="2144"/>
      <c r="AE109" s="2144"/>
      <c r="AF109" s="2144"/>
      <c r="AG109" s="2144"/>
      <c r="AI109" s="18"/>
      <c r="AJ109" s="18"/>
      <c r="AK109" s="18"/>
      <c r="AL109" s="18"/>
      <c r="AM109" s="18"/>
      <c r="AN109" s="18"/>
      <c r="AO109" s="18"/>
      <c r="AP109" s="18"/>
      <c r="AQ109" s="18"/>
    </row>
    <row r="110" spans="1:43" s="584" customFormat="1" ht="14">
      <c r="A110" s="597"/>
      <c r="D110" s="2144"/>
      <c r="E110" s="2144"/>
      <c r="F110" s="2144"/>
      <c r="G110" s="2144"/>
      <c r="H110" s="2144"/>
      <c r="I110" s="2144"/>
      <c r="J110" s="2144"/>
      <c r="K110" s="2144"/>
      <c r="L110" s="2144"/>
      <c r="M110" s="2144"/>
      <c r="N110" s="2144"/>
      <c r="O110" s="2144"/>
      <c r="P110" s="2144"/>
      <c r="Q110" s="2144"/>
      <c r="R110" s="2144"/>
      <c r="S110" s="2144"/>
      <c r="T110" s="2144"/>
      <c r="U110" s="2144"/>
      <c r="V110" s="2144"/>
      <c r="W110" s="2144"/>
      <c r="X110" s="2144"/>
      <c r="Y110" s="2144"/>
      <c r="Z110" s="2144"/>
      <c r="AA110" s="2144"/>
      <c r="AB110" s="2144"/>
      <c r="AC110" s="2144"/>
      <c r="AD110" s="2144"/>
      <c r="AE110" s="2144"/>
      <c r="AF110" s="2144"/>
      <c r="AG110" s="2144"/>
      <c r="AI110" s="18"/>
      <c r="AJ110" s="18"/>
      <c r="AK110" s="18"/>
      <c r="AL110" s="18"/>
      <c r="AM110" s="18"/>
      <c r="AN110" s="18"/>
      <c r="AO110" s="18"/>
      <c r="AP110" s="18"/>
      <c r="AQ110" s="18"/>
    </row>
    <row r="111" spans="1:43" s="584" customFormat="1" ht="14">
      <c r="A111" s="597"/>
      <c r="D111" s="2144"/>
      <c r="E111" s="2144"/>
      <c r="F111" s="2144"/>
      <c r="G111" s="2144"/>
      <c r="H111" s="2144"/>
      <c r="I111" s="2144"/>
      <c r="J111" s="2144"/>
      <c r="K111" s="2144"/>
      <c r="L111" s="2144"/>
      <c r="M111" s="2144"/>
      <c r="N111" s="2144"/>
      <c r="O111" s="2144"/>
      <c r="P111" s="2144"/>
      <c r="Q111" s="2144"/>
      <c r="R111" s="2144"/>
      <c r="S111" s="2144"/>
      <c r="T111" s="2144"/>
      <c r="U111" s="2144"/>
      <c r="V111" s="2144"/>
      <c r="W111" s="2144"/>
      <c r="X111" s="2144"/>
      <c r="Y111" s="2144"/>
      <c r="Z111" s="2144"/>
      <c r="AA111" s="2144"/>
      <c r="AB111" s="2144"/>
      <c r="AC111" s="2144"/>
      <c r="AD111" s="2144"/>
      <c r="AE111" s="2144"/>
      <c r="AF111" s="2144"/>
      <c r="AG111" s="2144"/>
      <c r="AI111" s="18"/>
      <c r="AJ111" s="18"/>
      <c r="AK111" s="18"/>
      <c r="AL111" s="18"/>
      <c r="AM111" s="18"/>
      <c r="AN111" s="18"/>
      <c r="AO111" s="18"/>
      <c r="AP111" s="18"/>
      <c r="AQ111" s="18"/>
    </row>
    <row r="112" spans="1:43" s="584" customFormat="1" ht="14">
      <c r="A112" s="597"/>
      <c r="D112" s="599"/>
      <c r="E112" s="599"/>
      <c r="F112" s="599"/>
      <c r="G112" s="599"/>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599"/>
      <c r="AD112" s="599"/>
      <c r="AE112" s="599"/>
      <c r="AF112" s="599"/>
      <c r="AG112" s="599"/>
      <c r="AI112" s="18"/>
      <c r="AJ112" s="18"/>
      <c r="AK112" s="18"/>
      <c r="AL112" s="18"/>
      <c r="AM112" s="18"/>
      <c r="AN112" s="18"/>
      <c r="AO112" s="18"/>
      <c r="AP112" s="18"/>
      <c r="AQ112" s="18"/>
    </row>
    <row r="113" spans="1:43" s="584" customFormat="1" ht="29.25" customHeight="1" thickBot="1">
      <c r="A113" s="597"/>
      <c r="D113" s="602"/>
      <c r="E113" s="602"/>
      <c r="F113" s="602"/>
      <c r="G113" s="602"/>
      <c r="H113" s="602"/>
      <c r="I113" s="602"/>
      <c r="J113" s="602"/>
      <c r="K113" s="602"/>
      <c r="L113" s="602"/>
      <c r="M113" s="602"/>
      <c r="N113" s="602"/>
      <c r="O113" s="2157" t="s">
        <v>1338</v>
      </c>
      <c r="P113" s="2157"/>
      <c r="Q113" s="2157"/>
      <c r="R113" s="2157"/>
      <c r="S113" s="2157"/>
      <c r="T113" s="2158" t="s">
        <v>2868</v>
      </c>
      <c r="U113" s="2158"/>
      <c r="V113" s="2158"/>
      <c r="W113" s="2158"/>
      <c r="X113" s="2158"/>
      <c r="Y113" s="2157" t="s">
        <v>1396</v>
      </c>
      <c r="Z113" s="2157"/>
      <c r="AA113" s="2157"/>
      <c r="AB113" s="2157"/>
      <c r="AC113" s="2157"/>
      <c r="AI113" s="18"/>
      <c r="AJ113" s="18"/>
      <c r="AK113" s="18"/>
      <c r="AL113" s="18"/>
      <c r="AM113" s="18"/>
      <c r="AN113" s="18"/>
      <c r="AO113" s="18"/>
      <c r="AP113" s="18"/>
      <c r="AQ113" s="18"/>
    </row>
    <row r="114" spans="1:43" s="584" customFormat="1" ht="14">
      <c r="A114" s="597"/>
      <c r="D114" s="2151" t="s">
        <v>42</v>
      </c>
      <c r="E114" s="2151"/>
      <c r="F114" s="2151"/>
      <c r="G114" s="2151"/>
      <c r="H114" s="2151"/>
      <c r="I114" s="2151"/>
      <c r="J114" s="2151"/>
      <c r="K114" s="2151"/>
      <c r="L114" s="2151"/>
      <c r="M114" s="2151"/>
      <c r="N114" s="2151"/>
      <c r="O114" s="2152" t="s">
        <v>2852</v>
      </c>
      <c r="P114" s="2152"/>
      <c r="Q114" s="2152"/>
      <c r="R114" s="2152"/>
      <c r="S114" s="2152"/>
      <c r="T114" s="2152">
        <v>10</v>
      </c>
      <c r="U114" s="2152"/>
      <c r="V114" s="2152"/>
      <c r="W114" s="2152"/>
      <c r="X114" s="2152"/>
      <c r="Y114" s="2153" t="s">
        <v>2728</v>
      </c>
      <c r="Z114" s="2153"/>
      <c r="AA114" s="2153"/>
      <c r="AB114" s="2153"/>
      <c r="AC114" s="2153"/>
      <c r="AI114" s="18"/>
      <c r="AJ114" s="18"/>
      <c r="AK114" s="18"/>
      <c r="AL114" s="18"/>
      <c r="AM114" s="18"/>
      <c r="AN114" s="18"/>
      <c r="AO114" s="18"/>
      <c r="AP114" s="18"/>
      <c r="AQ114" s="18"/>
    </row>
    <row r="115" spans="1:43" s="584" customFormat="1" ht="14">
      <c r="A115" s="597"/>
      <c r="D115" s="2151" t="s">
        <v>1345</v>
      </c>
      <c r="E115" s="2151"/>
      <c r="F115" s="2151"/>
      <c r="G115" s="2151"/>
      <c r="H115" s="2151"/>
      <c r="I115" s="2151"/>
      <c r="J115" s="2151"/>
      <c r="K115" s="2151"/>
      <c r="L115" s="2151"/>
      <c r="M115" s="2151"/>
      <c r="N115" s="2151"/>
      <c r="O115" s="2154" t="s">
        <v>2869</v>
      </c>
      <c r="P115" s="2154"/>
      <c r="Q115" s="2154"/>
      <c r="R115" s="2154"/>
      <c r="S115" s="2154"/>
      <c r="T115" s="2155" t="s">
        <v>2870</v>
      </c>
      <c r="U115" s="2156"/>
      <c r="V115" s="2156"/>
      <c r="W115" s="2156"/>
      <c r="X115" s="2156"/>
      <c r="Y115" s="2153" t="s">
        <v>2728</v>
      </c>
      <c r="Z115" s="2153"/>
      <c r="AA115" s="2153"/>
      <c r="AB115" s="2153"/>
      <c r="AC115" s="2153"/>
      <c r="AI115" s="18"/>
      <c r="AJ115" s="18"/>
      <c r="AK115" s="18"/>
      <c r="AL115" s="18"/>
      <c r="AM115" s="18"/>
      <c r="AN115" s="18"/>
      <c r="AO115" s="18"/>
      <c r="AP115" s="18"/>
      <c r="AQ115" s="18"/>
    </row>
    <row r="116" spans="1:43" s="584" customFormat="1" ht="14">
      <c r="A116" s="597"/>
      <c r="D116" s="2151" t="s">
        <v>1346</v>
      </c>
      <c r="E116" s="2151"/>
      <c r="F116" s="2151"/>
      <c r="G116" s="2151"/>
      <c r="H116" s="2151"/>
      <c r="I116" s="2151"/>
      <c r="J116" s="2151"/>
      <c r="K116" s="2151"/>
      <c r="L116" s="2151"/>
      <c r="M116" s="2151"/>
      <c r="N116" s="2151"/>
      <c r="O116" s="2182" t="s">
        <v>1339</v>
      </c>
      <c r="P116" s="2182"/>
      <c r="Q116" s="2182"/>
      <c r="R116" s="2182"/>
      <c r="S116" s="2182"/>
      <c r="T116" s="2182" t="s">
        <v>1339</v>
      </c>
      <c r="U116" s="2182"/>
      <c r="V116" s="2182"/>
      <c r="W116" s="2182"/>
      <c r="X116" s="2182"/>
      <c r="Y116" s="2182" t="s">
        <v>1339</v>
      </c>
      <c r="Z116" s="2182"/>
      <c r="AA116" s="2182"/>
      <c r="AB116" s="2182"/>
      <c r="AC116" s="2182"/>
      <c r="AI116" s="18"/>
      <c r="AJ116" s="18"/>
      <c r="AK116" s="18"/>
      <c r="AL116" s="18"/>
      <c r="AM116" s="18"/>
      <c r="AN116" s="18"/>
      <c r="AO116" s="18"/>
      <c r="AP116" s="18"/>
      <c r="AQ116" s="18"/>
    </row>
    <row r="117" spans="1:43" s="584" customFormat="1" ht="14">
      <c r="A117" s="597"/>
      <c r="D117" s="2151" t="s">
        <v>1347</v>
      </c>
      <c r="E117" s="2151"/>
      <c r="F117" s="2151"/>
      <c r="G117" s="2151"/>
      <c r="H117" s="2151"/>
      <c r="I117" s="2151"/>
      <c r="J117" s="2151"/>
      <c r="K117" s="2151"/>
      <c r="L117" s="2151"/>
      <c r="M117" s="2151"/>
      <c r="N117" s="2151"/>
      <c r="O117" s="2182" t="s">
        <v>1339</v>
      </c>
      <c r="P117" s="2182"/>
      <c r="Q117" s="2182"/>
      <c r="R117" s="2182"/>
      <c r="S117" s="2182"/>
      <c r="T117" s="2182" t="s">
        <v>1339</v>
      </c>
      <c r="U117" s="2182"/>
      <c r="V117" s="2182"/>
      <c r="W117" s="2182"/>
      <c r="X117" s="2182"/>
      <c r="Y117" s="2182" t="s">
        <v>1339</v>
      </c>
      <c r="Z117" s="2182"/>
      <c r="AA117" s="2182"/>
      <c r="AB117" s="2182"/>
      <c r="AC117" s="2182"/>
      <c r="AI117" s="18"/>
      <c r="AJ117" s="18"/>
      <c r="AK117" s="18"/>
      <c r="AL117" s="18"/>
      <c r="AM117" s="18"/>
      <c r="AN117" s="18"/>
      <c r="AO117" s="18"/>
      <c r="AP117" s="18"/>
      <c r="AQ117" s="18"/>
    </row>
    <row r="118" spans="1:43" s="584" customFormat="1" ht="14">
      <c r="A118" s="597"/>
      <c r="D118" s="2183" t="s">
        <v>1348</v>
      </c>
      <c r="E118" s="2183"/>
      <c r="F118" s="2183"/>
      <c r="G118" s="2183"/>
      <c r="H118" s="2183"/>
      <c r="I118" s="2183"/>
      <c r="J118" s="2183"/>
      <c r="K118" s="2183"/>
      <c r="L118" s="2183"/>
      <c r="M118" s="2183"/>
      <c r="N118" s="2183"/>
      <c r="O118" s="2184" t="s">
        <v>1339</v>
      </c>
      <c r="P118" s="2184"/>
      <c r="Q118" s="2184"/>
      <c r="R118" s="2184"/>
      <c r="S118" s="2184"/>
      <c r="T118" s="2184" t="s">
        <v>1339</v>
      </c>
      <c r="U118" s="2184"/>
      <c r="V118" s="2184"/>
      <c r="W118" s="2184"/>
      <c r="X118" s="2184"/>
      <c r="Y118" s="2184" t="s">
        <v>1339</v>
      </c>
      <c r="Z118" s="2184"/>
      <c r="AA118" s="2184"/>
      <c r="AB118" s="2184"/>
      <c r="AC118" s="2184"/>
      <c r="AI118" s="18"/>
      <c r="AJ118" s="18"/>
      <c r="AK118" s="18"/>
      <c r="AL118" s="18"/>
      <c r="AM118" s="18"/>
      <c r="AN118" s="18"/>
      <c r="AO118" s="18"/>
      <c r="AP118" s="18"/>
      <c r="AQ118" s="18"/>
    </row>
    <row r="119" spans="1:43" s="584" customFormat="1" ht="14">
      <c r="A119" s="597"/>
      <c r="AI119" s="18"/>
      <c r="AJ119" s="18"/>
      <c r="AK119" s="18"/>
      <c r="AL119" s="18"/>
      <c r="AM119" s="18"/>
      <c r="AN119" s="18"/>
      <c r="AO119" s="18"/>
      <c r="AP119" s="18"/>
      <c r="AQ119" s="18"/>
    </row>
    <row r="120" spans="1:43" s="584" customFormat="1" ht="14">
      <c r="A120" s="597"/>
      <c r="D120" s="2144" t="s">
        <v>1350</v>
      </c>
      <c r="E120" s="2144"/>
      <c r="F120" s="2144"/>
      <c r="G120" s="2144"/>
      <c r="H120" s="2144"/>
      <c r="I120" s="2144"/>
      <c r="J120" s="2144"/>
      <c r="K120" s="2144"/>
      <c r="L120" s="2144"/>
      <c r="M120" s="2144"/>
      <c r="N120" s="2144"/>
      <c r="O120" s="2144"/>
      <c r="P120" s="2144"/>
      <c r="Q120" s="2144"/>
      <c r="R120" s="2144"/>
      <c r="S120" s="2144"/>
      <c r="T120" s="2144"/>
      <c r="U120" s="2144"/>
      <c r="V120" s="2144"/>
      <c r="W120" s="2144"/>
      <c r="X120" s="2144"/>
      <c r="Y120" s="2144"/>
      <c r="Z120" s="2144"/>
      <c r="AA120" s="2144"/>
      <c r="AB120" s="2144"/>
      <c r="AC120" s="2144"/>
      <c r="AD120" s="2144"/>
      <c r="AE120" s="2144"/>
      <c r="AF120" s="2144"/>
      <c r="AG120" s="2144"/>
      <c r="AI120" s="18"/>
      <c r="AJ120" s="18"/>
      <c r="AK120" s="18"/>
      <c r="AL120" s="18"/>
      <c r="AM120" s="18"/>
      <c r="AN120" s="18"/>
      <c r="AO120" s="18"/>
      <c r="AP120" s="18"/>
      <c r="AQ120" s="18"/>
    </row>
    <row r="121" spans="1:43" s="584" customFormat="1" ht="14">
      <c r="A121" s="597"/>
      <c r="D121" s="2144"/>
      <c r="E121" s="2144"/>
      <c r="F121" s="2144"/>
      <c r="G121" s="2144"/>
      <c r="H121" s="2144"/>
      <c r="I121" s="2144"/>
      <c r="J121" s="2144"/>
      <c r="K121" s="2144"/>
      <c r="L121" s="2144"/>
      <c r="M121" s="2144"/>
      <c r="N121" s="2144"/>
      <c r="O121" s="2144"/>
      <c r="P121" s="2144"/>
      <c r="Q121" s="2144"/>
      <c r="R121" s="2144"/>
      <c r="S121" s="2144"/>
      <c r="T121" s="2144"/>
      <c r="U121" s="2144"/>
      <c r="V121" s="2144"/>
      <c r="W121" s="2144"/>
      <c r="X121" s="2144"/>
      <c r="Y121" s="2144"/>
      <c r="Z121" s="2144"/>
      <c r="AA121" s="2144"/>
      <c r="AB121" s="2144"/>
      <c r="AC121" s="2144"/>
      <c r="AD121" s="2144"/>
      <c r="AE121" s="2144"/>
      <c r="AF121" s="2144"/>
      <c r="AG121" s="2144"/>
      <c r="AI121" s="18"/>
      <c r="AJ121" s="18"/>
      <c r="AK121" s="18"/>
      <c r="AL121" s="18"/>
      <c r="AM121" s="18"/>
      <c r="AN121" s="18"/>
      <c r="AO121" s="18"/>
      <c r="AP121" s="18"/>
      <c r="AQ121" s="18"/>
    </row>
    <row r="122" spans="1:43" s="584" customFormat="1" ht="14">
      <c r="A122" s="597"/>
      <c r="AI122" s="18"/>
      <c r="AJ122" s="18"/>
      <c r="AK122" s="18"/>
      <c r="AL122" s="18"/>
      <c r="AM122" s="18"/>
      <c r="AN122" s="18"/>
      <c r="AO122" s="18"/>
      <c r="AP122" s="18"/>
      <c r="AQ122" s="18"/>
    </row>
    <row r="123" spans="1:43" s="584" customFormat="1" ht="14">
      <c r="A123" s="597"/>
      <c r="D123" s="582" t="s">
        <v>1352</v>
      </c>
      <c r="AI123" s="18"/>
      <c r="AJ123" s="18"/>
      <c r="AK123" s="18"/>
      <c r="AL123" s="18"/>
      <c r="AM123" s="18"/>
      <c r="AN123" s="18"/>
      <c r="AO123" s="18"/>
      <c r="AP123" s="18"/>
      <c r="AQ123" s="18"/>
    </row>
    <row r="124" spans="1:43" s="584" customFormat="1" ht="14">
      <c r="A124" s="597"/>
      <c r="AI124" s="18"/>
      <c r="AJ124" s="18"/>
      <c r="AK124" s="18"/>
      <c r="AL124" s="18"/>
      <c r="AM124" s="18"/>
      <c r="AN124" s="18"/>
      <c r="AO124" s="18"/>
      <c r="AP124" s="18"/>
      <c r="AQ124" s="18"/>
    </row>
    <row r="125" spans="1:43" s="584" customFormat="1" ht="14">
      <c r="A125" s="597"/>
      <c r="D125" s="2100" t="s">
        <v>2729</v>
      </c>
      <c r="E125" s="2144"/>
      <c r="F125" s="2144"/>
      <c r="G125" s="2144"/>
      <c r="H125" s="2144"/>
      <c r="I125" s="2144"/>
      <c r="J125" s="2144"/>
      <c r="K125" s="2144"/>
      <c r="L125" s="2144"/>
      <c r="M125" s="2144"/>
      <c r="N125" s="2144"/>
      <c r="O125" s="2144"/>
      <c r="P125" s="2144"/>
      <c r="Q125" s="2144"/>
      <c r="R125" s="2144"/>
      <c r="S125" s="2144"/>
      <c r="T125" s="2144"/>
      <c r="U125" s="2144"/>
      <c r="V125" s="2144"/>
      <c r="W125" s="2144"/>
      <c r="X125" s="2144"/>
      <c r="Y125" s="2144"/>
      <c r="Z125" s="2144"/>
      <c r="AA125" s="2144"/>
      <c r="AB125" s="2144"/>
      <c r="AC125" s="2144"/>
      <c r="AD125" s="2144"/>
      <c r="AE125" s="2144"/>
      <c r="AF125" s="2144"/>
      <c r="AG125" s="2144"/>
      <c r="AI125" s="18"/>
      <c r="AJ125" s="18"/>
      <c r="AK125" s="18"/>
      <c r="AL125" s="18"/>
      <c r="AM125" s="18"/>
      <c r="AN125" s="18"/>
      <c r="AO125" s="18"/>
      <c r="AP125" s="18"/>
      <c r="AQ125" s="18"/>
    </row>
    <row r="126" spans="1:43" s="584" customFormat="1" ht="3" customHeight="1">
      <c r="A126" s="597"/>
      <c r="D126" s="2144"/>
      <c r="E126" s="2144"/>
      <c r="F126" s="2144"/>
      <c r="G126" s="2144"/>
      <c r="H126" s="2144"/>
      <c r="I126" s="2144"/>
      <c r="J126" s="2144"/>
      <c r="K126" s="2144"/>
      <c r="L126" s="2144"/>
      <c r="M126" s="2144"/>
      <c r="N126" s="2144"/>
      <c r="O126" s="2144"/>
      <c r="P126" s="2144"/>
      <c r="Q126" s="2144"/>
      <c r="R126" s="2144"/>
      <c r="S126" s="2144"/>
      <c r="T126" s="2144"/>
      <c r="U126" s="2144"/>
      <c r="V126" s="2144"/>
      <c r="W126" s="2144"/>
      <c r="X126" s="2144"/>
      <c r="Y126" s="2144"/>
      <c r="Z126" s="2144"/>
      <c r="AA126" s="2144"/>
      <c r="AB126" s="2144"/>
      <c r="AC126" s="2144"/>
      <c r="AD126" s="2144"/>
      <c r="AE126" s="2144"/>
      <c r="AF126" s="2144"/>
      <c r="AG126" s="2144"/>
      <c r="AI126" s="18"/>
      <c r="AJ126" s="18"/>
      <c r="AK126" s="18"/>
      <c r="AL126" s="18"/>
      <c r="AM126" s="18"/>
      <c r="AN126" s="18"/>
      <c r="AO126" s="18"/>
      <c r="AP126" s="18"/>
      <c r="AQ126" s="18"/>
    </row>
    <row r="127" spans="1:43" s="584" customFormat="1" ht="14" hidden="1">
      <c r="A127" s="597"/>
      <c r="D127" s="2144"/>
      <c r="E127" s="2144"/>
      <c r="F127" s="2144"/>
      <c r="G127" s="2144"/>
      <c r="H127" s="2144"/>
      <c r="I127" s="2144"/>
      <c r="J127" s="2144"/>
      <c r="K127" s="2144"/>
      <c r="L127" s="2144"/>
      <c r="M127" s="2144"/>
      <c r="N127" s="2144"/>
      <c r="O127" s="2144"/>
      <c r="P127" s="2144"/>
      <c r="Q127" s="2144"/>
      <c r="R127" s="2144"/>
      <c r="S127" s="2144"/>
      <c r="T127" s="2144"/>
      <c r="U127" s="2144"/>
      <c r="V127" s="2144"/>
      <c r="W127" s="2144"/>
      <c r="X127" s="2144"/>
      <c r="Y127" s="2144"/>
      <c r="Z127" s="2144"/>
      <c r="AA127" s="2144"/>
      <c r="AB127" s="2144"/>
      <c r="AC127" s="2144"/>
      <c r="AD127" s="2144"/>
      <c r="AE127" s="2144"/>
      <c r="AF127" s="2144"/>
      <c r="AG127" s="2144"/>
      <c r="AI127" s="18"/>
      <c r="AJ127" s="18"/>
      <c r="AK127" s="18"/>
      <c r="AL127" s="18"/>
      <c r="AM127" s="18"/>
      <c r="AN127" s="18"/>
      <c r="AO127" s="18"/>
      <c r="AP127" s="18"/>
      <c r="AQ127" s="18"/>
    </row>
    <row r="128" spans="1:43" s="584" customFormat="1" ht="14">
      <c r="A128" s="597"/>
      <c r="AI128" s="18"/>
      <c r="AJ128" s="18"/>
      <c r="AK128" s="18"/>
      <c r="AL128" s="18"/>
      <c r="AM128" s="18"/>
      <c r="AN128" s="18"/>
      <c r="AO128" s="18"/>
      <c r="AP128" s="18"/>
      <c r="AQ128" s="18"/>
    </row>
    <row r="129" spans="1:43" s="584" customFormat="1" ht="14">
      <c r="A129" s="597"/>
      <c r="D129" s="582" t="s">
        <v>1351</v>
      </c>
      <c r="AI129" s="18"/>
      <c r="AJ129" s="18"/>
      <c r="AK129" s="18"/>
      <c r="AL129" s="18"/>
      <c r="AM129" s="18"/>
      <c r="AN129" s="18"/>
      <c r="AO129" s="18"/>
      <c r="AP129" s="18"/>
      <c r="AQ129" s="18"/>
    </row>
    <row r="130" spans="1:43" s="584" customFormat="1" ht="14">
      <c r="A130" s="597"/>
      <c r="AI130" s="18"/>
      <c r="AJ130" s="18"/>
      <c r="AK130" s="18"/>
      <c r="AL130" s="18"/>
      <c r="AM130" s="18"/>
      <c r="AN130" s="18"/>
      <c r="AO130" s="18"/>
      <c r="AP130" s="18"/>
      <c r="AQ130" s="18"/>
    </row>
    <row r="131" spans="1:43" s="584" customFormat="1" ht="14">
      <c r="A131" s="597"/>
      <c r="D131" s="1937" t="s">
        <v>2871</v>
      </c>
      <c r="E131" s="1938"/>
      <c r="F131" s="1938"/>
      <c r="G131" s="1938"/>
      <c r="H131" s="1938"/>
      <c r="I131" s="1938"/>
      <c r="J131" s="1938"/>
      <c r="K131" s="1938"/>
      <c r="L131" s="1938"/>
      <c r="M131" s="1938"/>
      <c r="N131" s="1938"/>
      <c r="O131" s="1938"/>
      <c r="P131" s="1938"/>
      <c r="Q131" s="1938"/>
      <c r="R131" s="1938"/>
      <c r="S131" s="1938"/>
      <c r="T131" s="1938"/>
      <c r="U131" s="1938"/>
      <c r="V131" s="1938"/>
      <c r="W131" s="1938"/>
      <c r="X131" s="1938"/>
      <c r="Y131" s="1938"/>
      <c r="Z131" s="1938"/>
      <c r="AA131" s="1938"/>
      <c r="AB131" s="1938"/>
      <c r="AC131" s="1938"/>
      <c r="AD131" s="1938"/>
      <c r="AE131" s="1938"/>
      <c r="AF131" s="1938"/>
      <c r="AG131" s="1938"/>
      <c r="AI131" s="18"/>
      <c r="AJ131" s="18"/>
      <c r="AK131" s="18"/>
      <c r="AL131" s="18"/>
      <c r="AM131" s="18"/>
      <c r="AN131" s="18"/>
      <c r="AO131" s="18"/>
      <c r="AP131" s="18"/>
      <c r="AQ131" s="18"/>
    </row>
    <row r="132" spans="1:43" s="584" customFormat="1" ht="14">
      <c r="A132" s="597"/>
      <c r="D132" s="1938"/>
      <c r="E132" s="1938"/>
      <c r="F132" s="1938"/>
      <c r="G132" s="1938"/>
      <c r="H132" s="1938"/>
      <c r="I132" s="1938"/>
      <c r="J132" s="1938"/>
      <c r="K132" s="1938"/>
      <c r="L132" s="1938"/>
      <c r="M132" s="1938"/>
      <c r="N132" s="1938"/>
      <c r="O132" s="1938"/>
      <c r="P132" s="1938"/>
      <c r="Q132" s="1938"/>
      <c r="R132" s="1938"/>
      <c r="S132" s="1938"/>
      <c r="T132" s="1938"/>
      <c r="U132" s="1938"/>
      <c r="V132" s="1938"/>
      <c r="W132" s="1938"/>
      <c r="X132" s="1938"/>
      <c r="Y132" s="1938"/>
      <c r="Z132" s="1938"/>
      <c r="AA132" s="1938"/>
      <c r="AB132" s="1938"/>
      <c r="AC132" s="1938"/>
      <c r="AD132" s="1938"/>
      <c r="AE132" s="1938"/>
      <c r="AF132" s="1938"/>
      <c r="AG132" s="1938"/>
      <c r="AI132" s="18"/>
      <c r="AJ132" s="18"/>
      <c r="AK132" s="18"/>
      <c r="AL132" s="18"/>
      <c r="AM132" s="18"/>
      <c r="AN132" s="18"/>
      <c r="AO132" s="18"/>
      <c r="AP132" s="18"/>
      <c r="AQ132" s="18"/>
    </row>
    <row r="133" spans="1:43" s="584" customFormat="1" ht="14">
      <c r="A133" s="597"/>
      <c r="D133" s="1938"/>
      <c r="E133" s="1938"/>
      <c r="F133" s="1938"/>
      <c r="G133" s="1938"/>
      <c r="H133" s="1938"/>
      <c r="I133" s="1938"/>
      <c r="J133" s="1938"/>
      <c r="K133" s="1938"/>
      <c r="L133" s="1938"/>
      <c r="M133" s="1938"/>
      <c r="N133" s="1938"/>
      <c r="O133" s="1938"/>
      <c r="P133" s="1938"/>
      <c r="Q133" s="1938"/>
      <c r="R133" s="1938"/>
      <c r="S133" s="1938"/>
      <c r="T133" s="1938"/>
      <c r="U133" s="1938"/>
      <c r="V133" s="1938"/>
      <c r="W133" s="1938"/>
      <c r="X133" s="1938"/>
      <c r="Y133" s="1938"/>
      <c r="Z133" s="1938"/>
      <c r="AA133" s="1938"/>
      <c r="AB133" s="1938"/>
      <c r="AC133" s="1938"/>
      <c r="AD133" s="1938"/>
      <c r="AE133" s="1938"/>
      <c r="AF133" s="1938"/>
      <c r="AG133" s="1938"/>
      <c r="AI133" s="18"/>
      <c r="AJ133" s="18"/>
      <c r="AK133" s="18"/>
      <c r="AL133" s="18"/>
      <c r="AM133" s="18"/>
      <c r="AN133" s="18"/>
      <c r="AO133" s="18"/>
      <c r="AP133" s="18"/>
      <c r="AQ133" s="18"/>
    </row>
    <row r="134" spans="1:43" s="584" customFormat="1" ht="14">
      <c r="A134" s="597"/>
      <c r="D134" s="1938"/>
      <c r="E134" s="1938"/>
      <c r="F134" s="1938"/>
      <c r="G134" s="1938"/>
      <c r="H134" s="1938"/>
      <c r="I134" s="1938"/>
      <c r="J134" s="1938"/>
      <c r="K134" s="1938"/>
      <c r="L134" s="1938"/>
      <c r="M134" s="1938"/>
      <c r="N134" s="1938"/>
      <c r="O134" s="1938"/>
      <c r="P134" s="1938"/>
      <c r="Q134" s="1938"/>
      <c r="R134" s="1938"/>
      <c r="S134" s="1938"/>
      <c r="T134" s="1938"/>
      <c r="U134" s="1938"/>
      <c r="V134" s="1938"/>
      <c r="W134" s="1938"/>
      <c r="X134" s="1938"/>
      <c r="Y134" s="1938"/>
      <c r="Z134" s="1938"/>
      <c r="AA134" s="1938"/>
      <c r="AB134" s="1938"/>
      <c r="AC134" s="1938"/>
      <c r="AD134" s="1938"/>
      <c r="AE134" s="1938"/>
      <c r="AF134" s="1938"/>
      <c r="AG134" s="1938"/>
      <c r="AI134" s="18"/>
      <c r="AJ134" s="18"/>
      <c r="AK134" s="18"/>
      <c r="AL134" s="18"/>
      <c r="AM134" s="18"/>
      <c r="AN134" s="18"/>
      <c r="AO134" s="18"/>
      <c r="AP134" s="18"/>
      <c r="AQ134" s="18"/>
    </row>
    <row r="135" spans="1:43" s="584" customFormat="1" ht="14">
      <c r="A135" s="597"/>
      <c r="D135" s="1938"/>
      <c r="E135" s="1938"/>
      <c r="F135" s="1938"/>
      <c r="G135" s="1938"/>
      <c r="H135" s="1938"/>
      <c r="I135" s="1938"/>
      <c r="J135" s="1938"/>
      <c r="K135" s="1938"/>
      <c r="L135" s="1938"/>
      <c r="M135" s="1938"/>
      <c r="N135" s="1938"/>
      <c r="O135" s="1938"/>
      <c r="P135" s="1938"/>
      <c r="Q135" s="1938"/>
      <c r="R135" s="1938"/>
      <c r="S135" s="1938"/>
      <c r="T135" s="1938"/>
      <c r="U135" s="1938"/>
      <c r="V135" s="1938"/>
      <c r="W135" s="1938"/>
      <c r="X135" s="1938"/>
      <c r="Y135" s="1938"/>
      <c r="Z135" s="1938"/>
      <c r="AA135" s="1938"/>
      <c r="AB135" s="1938"/>
      <c r="AC135" s="1938"/>
      <c r="AD135" s="1938"/>
      <c r="AE135" s="1938"/>
      <c r="AF135" s="1938"/>
      <c r="AG135" s="1938"/>
      <c r="AI135" s="18"/>
      <c r="AJ135" s="18"/>
      <c r="AK135" s="18"/>
      <c r="AL135" s="18"/>
      <c r="AM135" s="18"/>
      <c r="AN135" s="18"/>
      <c r="AO135" s="18"/>
      <c r="AP135" s="18"/>
      <c r="AQ135" s="18"/>
    </row>
    <row r="136" spans="1:43" s="584" customFormat="1" ht="14">
      <c r="A136" s="597"/>
      <c r="D136" s="2100" t="s">
        <v>2730</v>
      </c>
      <c r="E136" s="2144"/>
      <c r="F136" s="2144"/>
      <c r="G136" s="2144"/>
      <c r="H136" s="2144"/>
      <c r="I136" s="2144"/>
      <c r="J136" s="2144"/>
      <c r="K136" s="2144"/>
      <c r="L136" s="2144"/>
      <c r="M136" s="2144"/>
      <c r="N136" s="2144"/>
      <c r="O136" s="2144"/>
      <c r="P136" s="2144"/>
      <c r="Q136" s="2144"/>
      <c r="R136" s="2144"/>
      <c r="S136" s="2144"/>
      <c r="T136" s="2144"/>
      <c r="U136" s="2144"/>
      <c r="V136" s="2144"/>
      <c r="W136" s="2144"/>
      <c r="X136" s="2144"/>
      <c r="Y136" s="2144"/>
      <c r="Z136" s="2144"/>
      <c r="AA136" s="2144"/>
      <c r="AB136" s="2144"/>
      <c r="AC136" s="2144"/>
      <c r="AD136" s="2144"/>
      <c r="AE136" s="2144"/>
      <c r="AF136" s="2144"/>
      <c r="AG136" s="2144"/>
      <c r="AI136" s="18"/>
      <c r="AJ136" s="18"/>
      <c r="AK136" s="18"/>
      <c r="AL136" s="18"/>
      <c r="AM136" s="18"/>
      <c r="AN136" s="18"/>
      <c r="AO136" s="18"/>
      <c r="AP136" s="18"/>
      <c r="AQ136" s="18"/>
    </row>
    <row r="137" spans="1:43" s="584" customFormat="1" ht="14">
      <c r="A137" s="597"/>
      <c r="D137" s="2144"/>
      <c r="E137" s="2144"/>
      <c r="F137" s="2144"/>
      <c r="G137" s="2144"/>
      <c r="H137" s="2144"/>
      <c r="I137" s="2144"/>
      <c r="J137" s="2144"/>
      <c r="K137" s="2144"/>
      <c r="L137" s="2144"/>
      <c r="M137" s="2144"/>
      <c r="N137" s="2144"/>
      <c r="O137" s="2144"/>
      <c r="P137" s="2144"/>
      <c r="Q137" s="2144"/>
      <c r="R137" s="2144"/>
      <c r="S137" s="2144"/>
      <c r="T137" s="2144"/>
      <c r="U137" s="2144"/>
      <c r="V137" s="2144"/>
      <c r="W137" s="2144"/>
      <c r="X137" s="2144"/>
      <c r="Y137" s="2144"/>
      <c r="Z137" s="2144"/>
      <c r="AA137" s="2144"/>
      <c r="AB137" s="2144"/>
      <c r="AC137" s="2144"/>
      <c r="AD137" s="2144"/>
      <c r="AE137" s="2144"/>
      <c r="AF137" s="2144"/>
      <c r="AG137" s="2144"/>
      <c r="AI137" s="18"/>
      <c r="AJ137" s="18"/>
      <c r="AK137" s="18"/>
      <c r="AL137" s="18"/>
      <c r="AM137" s="18"/>
      <c r="AN137" s="18"/>
      <c r="AO137" s="18"/>
      <c r="AP137" s="18"/>
      <c r="AQ137" s="18"/>
    </row>
    <row r="138" spans="1:43" s="584" customFormat="1" ht="14">
      <c r="A138" s="597"/>
      <c r="AI138" s="18"/>
      <c r="AJ138" s="18"/>
      <c r="AK138" s="18"/>
      <c r="AL138" s="18"/>
      <c r="AM138" s="18"/>
      <c r="AN138" s="18"/>
      <c r="AO138" s="18"/>
      <c r="AP138" s="18"/>
      <c r="AQ138" s="18"/>
    </row>
    <row r="139" spans="1:43" s="584" customFormat="1" ht="54.75" customHeight="1">
      <c r="A139" s="597"/>
      <c r="D139" s="1823" t="s">
        <v>2872</v>
      </c>
      <c r="E139" s="2181"/>
      <c r="F139" s="2181"/>
      <c r="G139" s="2181"/>
      <c r="H139" s="2181"/>
      <c r="I139" s="2181"/>
      <c r="J139" s="2181"/>
      <c r="K139" s="2181"/>
      <c r="L139" s="2181"/>
      <c r="M139" s="2181"/>
      <c r="N139" s="2181"/>
      <c r="O139" s="2181"/>
      <c r="P139" s="2181"/>
      <c r="Q139" s="2181"/>
      <c r="R139" s="2181"/>
      <c r="S139" s="2181"/>
      <c r="T139" s="2181"/>
      <c r="U139" s="2181"/>
      <c r="V139" s="2181"/>
      <c r="W139" s="2181"/>
      <c r="X139" s="2181"/>
      <c r="Y139" s="2181"/>
      <c r="Z139" s="2181"/>
      <c r="AA139" s="2181"/>
      <c r="AB139" s="2181"/>
      <c r="AC139" s="2181"/>
      <c r="AD139" s="2181"/>
      <c r="AE139" s="2181"/>
      <c r="AF139" s="2181"/>
      <c r="AG139" s="2181"/>
      <c r="AI139" s="18"/>
      <c r="AJ139" s="18"/>
      <c r="AK139" s="18"/>
      <c r="AL139" s="18"/>
      <c r="AM139" s="18"/>
      <c r="AN139" s="18"/>
      <c r="AO139" s="18"/>
      <c r="AP139" s="18"/>
      <c r="AQ139" s="18"/>
    </row>
    <row r="140" spans="1:43" s="584" customFormat="1" ht="14">
      <c r="A140" s="597"/>
      <c r="D140" s="1551"/>
      <c r="E140" s="1553"/>
      <c r="F140" s="1553"/>
      <c r="G140" s="1553"/>
      <c r="H140" s="1553"/>
      <c r="I140" s="1553"/>
      <c r="J140" s="1553"/>
      <c r="K140" s="1553"/>
      <c r="L140" s="1553"/>
      <c r="M140" s="1553"/>
      <c r="N140" s="1553"/>
      <c r="O140" s="1553"/>
      <c r="P140" s="1553"/>
      <c r="Q140" s="1553"/>
      <c r="R140" s="1553"/>
      <c r="S140" s="1553"/>
      <c r="T140" s="1553"/>
      <c r="U140" s="1553"/>
      <c r="V140" s="1553"/>
      <c r="W140" s="1553"/>
      <c r="X140" s="1553"/>
      <c r="Y140" s="1553"/>
      <c r="Z140" s="1553"/>
      <c r="AA140" s="1553"/>
      <c r="AB140" s="1553"/>
      <c r="AC140" s="1553"/>
      <c r="AD140" s="1553"/>
      <c r="AE140" s="1553"/>
      <c r="AF140" s="1553"/>
      <c r="AG140" s="1553"/>
      <c r="AI140" s="18"/>
      <c r="AJ140" s="18"/>
      <c r="AK140" s="18"/>
      <c r="AL140" s="18"/>
      <c r="AM140" s="18"/>
      <c r="AN140" s="18"/>
      <c r="AO140" s="18"/>
      <c r="AP140" s="18"/>
      <c r="AQ140" s="18"/>
    </row>
    <row r="141" spans="1:43" s="584" customFormat="1" ht="14">
      <c r="A141" s="597"/>
      <c r="D141" s="1465" t="s">
        <v>3041</v>
      </c>
      <c r="E141" s="1507"/>
      <c r="F141" s="1507"/>
      <c r="G141" s="1562"/>
      <c r="H141" s="1562"/>
      <c r="I141" s="1562"/>
      <c r="J141" s="1562"/>
      <c r="K141" s="1562"/>
      <c r="L141" s="1562"/>
      <c r="M141" s="1562"/>
      <c r="N141" s="1562"/>
      <c r="O141" s="1562"/>
      <c r="P141" s="1562"/>
      <c r="Q141" s="1562"/>
      <c r="R141" s="1562"/>
      <c r="S141" s="1562"/>
      <c r="T141" s="1562"/>
      <c r="U141" s="1562"/>
      <c r="V141" s="1562"/>
      <c r="W141" s="1562"/>
      <c r="X141" s="1562"/>
      <c r="Y141" s="1562"/>
      <c r="Z141" s="1562"/>
      <c r="AA141" s="1562"/>
      <c r="AB141" s="1562"/>
      <c r="AC141" s="1562"/>
      <c r="AD141" s="1562"/>
      <c r="AE141" s="1562"/>
      <c r="AF141" s="1562"/>
      <c r="AG141" s="1562"/>
      <c r="AI141" s="18"/>
      <c r="AJ141" s="18"/>
      <c r="AK141" s="18"/>
      <c r="AL141" s="18"/>
      <c r="AM141" s="18"/>
      <c r="AN141" s="18"/>
      <c r="AO141" s="18"/>
      <c r="AP141" s="18"/>
      <c r="AQ141" s="18"/>
    </row>
    <row r="142" spans="1:43" s="584" customFormat="1" ht="14">
      <c r="A142" s="597"/>
      <c r="D142" s="1557"/>
      <c r="E142" s="1562"/>
      <c r="F142" s="1562"/>
      <c r="G142" s="1562"/>
      <c r="H142" s="1562"/>
      <c r="I142" s="1562"/>
      <c r="J142" s="1562"/>
      <c r="K142" s="1562"/>
      <c r="L142" s="1562"/>
      <c r="M142" s="1562"/>
      <c r="N142" s="1562"/>
      <c r="O142" s="1562"/>
      <c r="P142" s="1562"/>
      <c r="Q142" s="1562"/>
      <c r="R142" s="1562"/>
      <c r="S142" s="1562"/>
      <c r="T142" s="1562"/>
      <c r="U142" s="1562"/>
      <c r="V142" s="1562"/>
      <c r="W142" s="1562"/>
      <c r="X142" s="1562"/>
      <c r="Y142" s="1562"/>
      <c r="Z142" s="1562"/>
      <c r="AA142" s="1562"/>
      <c r="AB142" s="1562"/>
      <c r="AC142" s="1562"/>
      <c r="AD142" s="1562"/>
      <c r="AE142" s="1562"/>
      <c r="AF142" s="1562"/>
      <c r="AG142" s="1562"/>
      <c r="AI142" s="18"/>
      <c r="AJ142" s="18"/>
      <c r="AK142" s="18"/>
      <c r="AL142" s="18"/>
      <c r="AM142" s="18"/>
      <c r="AN142" s="18"/>
      <c r="AO142" s="18"/>
      <c r="AP142" s="18"/>
      <c r="AQ142" s="18"/>
    </row>
    <row r="143" spans="1:43" s="584" customFormat="1" ht="13.9" customHeight="1">
      <c r="A143" s="597"/>
      <c r="D143" s="2185" t="s">
        <v>3042</v>
      </c>
      <c r="E143" s="2185"/>
      <c r="F143" s="2185"/>
      <c r="G143" s="2185"/>
      <c r="H143" s="2185"/>
      <c r="I143" s="2185"/>
      <c r="J143" s="2185"/>
      <c r="K143" s="2185"/>
      <c r="L143" s="2185"/>
      <c r="M143" s="2185"/>
      <c r="N143" s="2185"/>
      <c r="O143" s="2185"/>
      <c r="P143" s="2185"/>
      <c r="Q143" s="2185"/>
      <c r="R143" s="2185"/>
      <c r="S143" s="2185"/>
      <c r="T143" s="2185"/>
      <c r="U143" s="2185"/>
      <c r="V143" s="2185"/>
      <c r="W143" s="2185"/>
      <c r="X143" s="2185"/>
      <c r="Y143" s="2185"/>
      <c r="Z143" s="2185"/>
      <c r="AA143" s="2185"/>
      <c r="AB143" s="2185"/>
      <c r="AC143" s="2185"/>
      <c r="AD143" s="2185"/>
      <c r="AE143" s="2185"/>
      <c r="AF143" s="2185"/>
      <c r="AG143" s="2185"/>
      <c r="AI143" s="18"/>
      <c r="AJ143" s="18"/>
      <c r="AK143" s="18"/>
      <c r="AL143" s="18"/>
      <c r="AM143" s="18"/>
      <c r="AN143" s="18"/>
      <c r="AO143" s="18"/>
      <c r="AP143" s="18"/>
      <c r="AQ143" s="18"/>
    </row>
    <row r="144" spans="1:43" s="584" customFormat="1" ht="14">
      <c r="A144" s="597"/>
      <c r="D144" s="2185"/>
      <c r="E144" s="2185"/>
      <c r="F144" s="2185"/>
      <c r="G144" s="2185"/>
      <c r="H144" s="2185"/>
      <c r="I144" s="2185"/>
      <c r="J144" s="2185"/>
      <c r="K144" s="2185"/>
      <c r="L144" s="2185"/>
      <c r="M144" s="2185"/>
      <c r="N144" s="2185"/>
      <c r="O144" s="2185"/>
      <c r="P144" s="2185"/>
      <c r="Q144" s="2185"/>
      <c r="R144" s="2185"/>
      <c r="S144" s="2185"/>
      <c r="T144" s="2185"/>
      <c r="U144" s="2185"/>
      <c r="V144" s="2185"/>
      <c r="W144" s="2185"/>
      <c r="X144" s="2185"/>
      <c r="Y144" s="2185"/>
      <c r="Z144" s="2185"/>
      <c r="AA144" s="2185"/>
      <c r="AB144" s="2185"/>
      <c r="AC144" s="2185"/>
      <c r="AD144" s="2185"/>
      <c r="AE144" s="2185"/>
      <c r="AF144" s="2185"/>
      <c r="AG144" s="2185"/>
      <c r="AI144" s="18"/>
      <c r="AJ144" s="18"/>
      <c r="AK144" s="18"/>
      <c r="AL144" s="18"/>
      <c r="AM144" s="18"/>
      <c r="AN144" s="18"/>
      <c r="AO144" s="18"/>
      <c r="AP144" s="18"/>
      <c r="AQ144" s="18"/>
    </row>
    <row r="145" spans="1:43" s="584" customFormat="1" ht="14">
      <c r="A145" s="597"/>
      <c r="D145" s="2185"/>
      <c r="E145" s="2185"/>
      <c r="F145" s="2185"/>
      <c r="G145" s="2185"/>
      <c r="H145" s="2185"/>
      <c r="I145" s="2185"/>
      <c r="J145" s="2185"/>
      <c r="K145" s="2185"/>
      <c r="L145" s="2185"/>
      <c r="M145" s="2185"/>
      <c r="N145" s="2185"/>
      <c r="O145" s="2185"/>
      <c r="P145" s="2185"/>
      <c r="Q145" s="2185"/>
      <c r="R145" s="2185"/>
      <c r="S145" s="2185"/>
      <c r="T145" s="2185"/>
      <c r="U145" s="2185"/>
      <c r="V145" s="2185"/>
      <c r="W145" s="2185"/>
      <c r="X145" s="2185"/>
      <c r="Y145" s="2185"/>
      <c r="Z145" s="2185"/>
      <c r="AA145" s="2185"/>
      <c r="AB145" s="2185"/>
      <c r="AC145" s="2185"/>
      <c r="AD145" s="2185"/>
      <c r="AE145" s="2185"/>
      <c r="AF145" s="2185"/>
      <c r="AG145" s="2185"/>
      <c r="AI145" s="18"/>
      <c r="AJ145" s="18"/>
      <c r="AK145" s="18"/>
      <c r="AL145" s="18"/>
      <c r="AM145" s="18"/>
      <c r="AN145" s="18"/>
      <c r="AO145" s="18"/>
      <c r="AP145" s="18"/>
      <c r="AQ145" s="18"/>
    </row>
    <row r="146" spans="1:43" s="584" customFormat="1" ht="14">
      <c r="A146" s="597"/>
      <c r="AI146" s="18"/>
      <c r="AJ146" s="18"/>
      <c r="AK146" s="18"/>
      <c r="AL146" s="18"/>
      <c r="AM146" s="18"/>
      <c r="AN146" s="18"/>
      <c r="AO146" s="18"/>
      <c r="AP146" s="18"/>
      <c r="AQ146" s="18"/>
    </row>
    <row r="147" spans="1:43" s="584" customFormat="1" ht="14">
      <c r="A147" s="597"/>
      <c r="D147" s="582" t="s">
        <v>3043</v>
      </c>
      <c r="AI147" s="18"/>
      <c r="AJ147" s="18"/>
      <c r="AK147" s="18"/>
      <c r="AL147" s="18"/>
      <c r="AM147" s="18"/>
      <c r="AN147" s="18"/>
      <c r="AO147" s="18"/>
      <c r="AP147" s="18"/>
      <c r="AQ147" s="18"/>
    </row>
    <row r="148" spans="1:43" s="584" customFormat="1" ht="14">
      <c r="A148" s="597"/>
      <c r="AI148" s="18"/>
      <c r="AJ148" s="18"/>
      <c r="AK148" s="18"/>
      <c r="AL148" s="18"/>
      <c r="AM148" s="18"/>
      <c r="AN148" s="18"/>
      <c r="AO148" s="18"/>
      <c r="AP148" s="18"/>
      <c r="AQ148" s="18"/>
    </row>
    <row r="149" spans="1:43" s="584" customFormat="1" ht="14">
      <c r="A149" s="597"/>
      <c r="D149" s="2100" t="s">
        <v>2024</v>
      </c>
      <c r="E149" s="2144"/>
      <c r="F149" s="2144"/>
      <c r="G149" s="2144"/>
      <c r="H149" s="2144"/>
      <c r="I149" s="2144"/>
      <c r="J149" s="2144"/>
      <c r="K149" s="2144"/>
      <c r="L149" s="2144"/>
      <c r="M149" s="2144"/>
      <c r="N149" s="2144"/>
      <c r="O149" s="2144"/>
      <c r="P149" s="2144"/>
      <c r="Q149" s="2144"/>
      <c r="R149" s="2144"/>
      <c r="S149" s="2144"/>
      <c r="T149" s="2144"/>
      <c r="U149" s="2144"/>
      <c r="V149" s="2144"/>
      <c r="W149" s="2144"/>
      <c r="X149" s="2144"/>
      <c r="Y149" s="2144"/>
      <c r="Z149" s="2144"/>
      <c r="AA149" s="2144"/>
      <c r="AB149" s="2144"/>
      <c r="AC149" s="2144"/>
      <c r="AD149" s="2144"/>
      <c r="AE149" s="2144"/>
      <c r="AF149" s="2144"/>
      <c r="AG149" s="2144"/>
      <c r="AI149" s="18"/>
      <c r="AJ149" s="18"/>
      <c r="AK149" s="18"/>
      <c r="AL149" s="18"/>
      <c r="AM149" s="18"/>
      <c r="AN149" s="18"/>
      <c r="AO149" s="18"/>
      <c r="AP149" s="18"/>
      <c r="AQ149" s="18"/>
    </row>
    <row r="150" spans="1:43" s="584" customFormat="1" ht="14">
      <c r="A150" s="597"/>
      <c r="D150" s="2144"/>
      <c r="E150" s="2144"/>
      <c r="F150" s="2144"/>
      <c r="G150" s="2144"/>
      <c r="H150" s="2144"/>
      <c r="I150" s="2144"/>
      <c r="J150" s="2144"/>
      <c r="K150" s="2144"/>
      <c r="L150" s="2144"/>
      <c r="M150" s="2144"/>
      <c r="N150" s="2144"/>
      <c r="O150" s="2144"/>
      <c r="P150" s="2144"/>
      <c r="Q150" s="2144"/>
      <c r="R150" s="2144"/>
      <c r="S150" s="2144"/>
      <c r="T150" s="2144"/>
      <c r="U150" s="2144"/>
      <c r="V150" s="2144"/>
      <c r="W150" s="2144"/>
      <c r="X150" s="2144"/>
      <c r="Y150" s="2144"/>
      <c r="Z150" s="2144"/>
      <c r="AA150" s="2144"/>
      <c r="AB150" s="2144"/>
      <c r="AC150" s="2144"/>
      <c r="AD150" s="2144"/>
      <c r="AE150" s="2144"/>
      <c r="AF150" s="2144"/>
      <c r="AG150" s="2144"/>
      <c r="AI150" s="18"/>
      <c r="AJ150" s="18"/>
      <c r="AK150" s="18"/>
      <c r="AL150" s="18"/>
      <c r="AM150" s="18"/>
      <c r="AN150" s="18"/>
      <c r="AO150" s="18"/>
      <c r="AP150" s="18"/>
      <c r="AQ150" s="18"/>
    </row>
    <row r="151" spans="1:43" s="584" customFormat="1" ht="14">
      <c r="A151" s="597"/>
      <c r="D151" s="2144"/>
      <c r="E151" s="2144"/>
      <c r="F151" s="2144"/>
      <c r="G151" s="2144"/>
      <c r="H151" s="2144"/>
      <c r="I151" s="2144"/>
      <c r="J151" s="2144"/>
      <c r="K151" s="2144"/>
      <c r="L151" s="2144"/>
      <c r="M151" s="2144"/>
      <c r="N151" s="2144"/>
      <c r="O151" s="2144"/>
      <c r="P151" s="2144"/>
      <c r="Q151" s="2144"/>
      <c r="R151" s="2144"/>
      <c r="S151" s="2144"/>
      <c r="T151" s="2144"/>
      <c r="U151" s="2144"/>
      <c r="V151" s="2144"/>
      <c r="W151" s="2144"/>
      <c r="X151" s="2144"/>
      <c r="Y151" s="2144"/>
      <c r="Z151" s="2144"/>
      <c r="AA151" s="2144"/>
      <c r="AB151" s="2144"/>
      <c r="AC151" s="2144"/>
      <c r="AD151" s="2144"/>
      <c r="AE151" s="2144"/>
      <c r="AF151" s="2144"/>
      <c r="AG151" s="2144"/>
      <c r="AI151" s="18"/>
      <c r="AJ151" s="18"/>
      <c r="AK151" s="18"/>
      <c r="AL151" s="18"/>
      <c r="AM151" s="18"/>
      <c r="AN151" s="18"/>
      <c r="AO151" s="18"/>
      <c r="AP151" s="18"/>
      <c r="AQ151" s="18"/>
    </row>
    <row r="152" spans="1:43" s="584" customFormat="1" ht="14">
      <c r="A152" s="597"/>
      <c r="AI152" s="18"/>
      <c r="AJ152" s="18"/>
      <c r="AK152" s="18"/>
      <c r="AL152" s="18"/>
      <c r="AM152" s="18"/>
      <c r="AN152" s="18"/>
      <c r="AO152" s="18"/>
      <c r="AP152" s="18"/>
      <c r="AQ152" s="18"/>
    </row>
    <row r="153" spans="1:43" s="584" customFormat="1" ht="14">
      <c r="A153" s="597"/>
      <c r="D153" s="582" t="s">
        <v>3044</v>
      </c>
      <c r="AI153" s="18"/>
      <c r="AJ153" s="18"/>
      <c r="AK153" s="18"/>
      <c r="AL153" s="18"/>
      <c r="AM153" s="18"/>
      <c r="AN153" s="18"/>
      <c r="AO153" s="18"/>
      <c r="AP153" s="18"/>
      <c r="AQ153" s="18"/>
    </row>
    <row r="154" spans="1:43" s="584" customFormat="1" ht="14">
      <c r="A154" s="597"/>
      <c r="AI154" s="18"/>
      <c r="AJ154" s="18"/>
      <c r="AK154" s="18"/>
      <c r="AL154" s="18"/>
      <c r="AM154" s="18"/>
      <c r="AN154" s="18"/>
      <c r="AO154" s="18"/>
      <c r="AP154" s="18"/>
      <c r="AQ154" s="18"/>
    </row>
    <row r="155" spans="1:43" s="584" customFormat="1" ht="14">
      <c r="A155" s="597"/>
      <c r="D155" s="2144" t="s">
        <v>1353</v>
      </c>
      <c r="E155" s="2144"/>
      <c r="F155" s="2144"/>
      <c r="G155" s="2144"/>
      <c r="H155" s="2144"/>
      <c r="I155" s="2144"/>
      <c r="J155" s="2144"/>
      <c r="K155" s="2144"/>
      <c r="L155" s="2144"/>
      <c r="M155" s="2144"/>
      <c r="N155" s="2144"/>
      <c r="O155" s="2144"/>
      <c r="P155" s="2144"/>
      <c r="Q155" s="2144"/>
      <c r="R155" s="2144"/>
      <c r="S155" s="2144"/>
      <c r="T155" s="2144"/>
      <c r="U155" s="2144"/>
      <c r="V155" s="2144"/>
      <c r="W155" s="2144"/>
      <c r="X155" s="2144"/>
      <c r="Y155" s="2144"/>
      <c r="Z155" s="2144"/>
      <c r="AA155" s="2144"/>
      <c r="AB155" s="2144"/>
      <c r="AC155" s="2144"/>
      <c r="AD155" s="2144"/>
      <c r="AE155" s="2144"/>
      <c r="AF155" s="2144"/>
      <c r="AG155" s="2144"/>
      <c r="AI155" s="18"/>
      <c r="AJ155" s="18"/>
      <c r="AK155" s="18"/>
      <c r="AL155" s="18"/>
      <c r="AM155" s="18"/>
      <c r="AN155" s="18"/>
      <c r="AO155" s="18"/>
      <c r="AP155" s="18"/>
      <c r="AQ155" s="18"/>
    </row>
    <row r="156" spans="1:43" s="584" customFormat="1" ht="14">
      <c r="A156" s="597"/>
      <c r="D156" s="2144"/>
      <c r="E156" s="2144"/>
      <c r="F156" s="2144"/>
      <c r="G156" s="2144"/>
      <c r="H156" s="2144"/>
      <c r="I156" s="2144"/>
      <c r="J156" s="2144"/>
      <c r="K156" s="2144"/>
      <c r="L156" s="2144"/>
      <c r="M156" s="2144"/>
      <c r="N156" s="2144"/>
      <c r="O156" s="2144"/>
      <c r="P156" s="2144"/>
      <c r="Q156" s="2144"/>
      <c r="R156" s="2144"/>
      <c r="S156" s="2144"/>
      <c r="T156" s="2144"/>
      <c r="U156" s="2144"/>
      <c r="V156" s="2144"/>
      <c r="W156" s="2144"/>
      <c r="X156" s="2144"/>
      <c r="Y156" s="2144"/>
      <c r="Z156" s="2144"/>
      <c r="AA156" s="2144"/>
      <c r="AB156" s="2144"/>
      <c r="AC156" s="2144"/>
      <c r="AD156" s="2144"/>
      <c r="AE156" s="2144"/>
      <c r="AF156" s="2144"/>
      <c r="AG156" s="2144"/>
      <c r="AI156" s="18"/>
      <c r="AJ156" s="18"/>
      <c r="AK156" s="18"/>
      <c r="AL156" s="18"/>
      <c r="AM156" s="18"/>
      <c r="AN156" s="18"/>
      <c r="AO156" s="18"/>
      <c r="AP156" s="18"/>
      <c r="AQ156" s="18"/>
    </row>
    <row r="157" spans="1:43" s="584" customFormat="1" ht="14">
      <c r="A157" s="597"/>
      <c r="AI157" s="18"/>
      <c r="AJ157" s="18"/>
      <c r="AK157" s="18"/>
      <c r="AL157" s="18"/>
      <c r="AM157" s="18"/>
      <c r="AN157" s="18"/>
      <c r="AO157" s="18"/>
      <c r="AP157" s="18"/>
      <c r="AQ157" s="18"/>
    </row>
    <row r="158" spans="1:43" s="584" customFormat="1" ht="14">
      <c r="A158" s="597"/>
      <c r="D158" s="582" t="s">
        <v>3045</v>
      </c>
      <c r="AI158" s="18"/>
      <c r="AJ158" s="18"/>
      <c r="AK158" s="18"/>
      <c r="AL158" s="18"/>
      <c r="AM158" s="18"/>
      <c r="AN158" s="18"/>
      <c r="AO158" s="18"/>
      <c r="AP158" s="18"/>
      <c r="AQ158" s="18"/>
    </row>
    <row r="159" spans="1:43" s="584" customFormat="1" ht="14">
      <c r="A159" s="597"/>
      <c r="AI159" s="18"/>
      <c r="AJ159" s="18"/>
      <c r="AK159" s="18"/>
      <c r="AL159" s="18"/>
      <c r="AM159" s="18"/>
      <c r="AN159" s="18"/>
      <c r="AO159" s="18"/>
      <c r="AP159" s="18"/>
      <c r="AQ159" s="18"/>
    </row>
    <row r="160" spans="1:43" s="584" customFormat="1" ht="38.25" customHeight="1">
      <c r="A160" s="597"/>
      <c r="D160" s="2180" t="s">
        <v>2783</v>
      </c>
      <c r="E160" s="2180"/>
      <c r="F160" s="2180"/>
      <c r="G160" s="2180"/>
      <c r="H160" s="2180"/>
      <c r="I160" s="2180"/>
      <c r="J160" s="2180"/>
      <c r="K160" s="2180"/>
      <c r="L160" s="2180"/>
      <c r="M160" s="2180"/>
      <c r="N160" s="2180"/>
      <c r="O160" s="2180"/>
      <c r="P160" s="2180"/>
      <c r="Q160" s="2180"/>
      <c r="R160" s="2180"/>
      <c r="S160" s="2180"/>
      <c r="T160" s="2180"/>
      <c r="U160" s="2180"/>
      <c r="V160" s="2180"/>
      <c r="W160" s="2180"/>
      <c r="X160" s="2180"/>
      <c r="Y160" s="2180"/>
      <c r="Z160" s="2180"/>
      <c r="AA160" s="2180"/>
      <c r="AB160" s="2180"/>
      <c r="AC160" s="2180"/>
      <c r="AD160" s="2180"/>
      <c r="AE160" s="2180"/>
      <c r="AF160" s="2180"/>
      <c r="AG160" s="2180"/>
      <c r="AI160" s="18"/>
      <c r="AJ160" s="18"/>
      <c r="AK160" s="18"/>
      <c r="AL160" s="18"/>
      <c r="AM160" s="18"/>
      <c r="AN160" s="18"/>
      <c r="AO160" s="18"/>
      <c r="AP160" s="18"/>
      <c r="AQ160" s="18"/>
    </row>
    <row r="161" spans="1:43" s="584" customFormat="1" ht="1.5" customHeight="1">
      <c r="A161" s="597"/>
      <c r="D161" s="2180"/>
      <c r="E161" s="2180"/>
      <c r="F161" s="2180"/>
      <c r="G161" s="2180"/>
      <c r="H161" s="2180"/>
      <c r="I161" s="2180"/>
      <c r="J161" s="2180"/>
      <c r="K161" s="2180"/>
      <c r="L161" s="2180"/>
      <c r="M161" s="2180"/>
      <c r="N161" s="2180"/>
      <c r="O161" s="2180"/>
      <c r="P161" s="2180"/>
      <c r="Q161" s="2180"/>
      <c r="R161" s="2180"/>
      <c r="S161" s="2180"/>
      <c r="T161" s="2180"/>
      <c r="U161" s="2180"/>
      <c r="V161" s="2180"/>
      <c r="W161" s="2180"/>
      <c r="X161" s="2180"/>
      <c r="Y161" s="2180"/>
      <c r="Z161" s="2180"/>
      <c r="AA161" s="2180"/>
      <c r="AB161" s="2180"/>
      <c r="AC161" s="2180"/>
      <c r="AD161" s="2180"/>
      <c r="AE161" s="2180"/>
      <c r="AF161" s="2180"/>
      <c r="AG161" s="2180"/>
      <c r="AI161" s="18"/>
      <c r="AJ161" s="18"/>
      <c r="AK161" s="18"/>
      <c r="AL161" s="18"/>
      <c r="AM161" s="18"/>
      <c r="AN161" s="18"/>
      <c r="AO161" s="18"/>
      <c r="AP161" s="18"/>
      <c r="AQ161" s="18"/>
    </row>
    <row r="162" spans="1:43" s="584" customFormat="1" ht="14.25" customHeight="1">
      <c r="A162" s="597"/>
      <c r="D162" s="2100" t="s">
        <v>1354</v>
      </c>
      <c r="E162" s="2100"/>
      <c r="F162" s="2100"/>
      <c r="G162" s="2100"/>
      <c r="H162" s="2100"/>
      <c r="I162" s="2100"/>
      <c r="J162" s="2100"/>
      <c r="K162" s="2100"/>
      <c r="L162" s="2100"/>
      <c r="M162" s="2100"/>
      <c r="N162" s="2100"/>
      <c r="O162" s="2100"/>
      <c r="P162" s="2100"/>
      <c r="Q162" s="2100"/>
      <c r="R162" s="2100"/>
      <c r="S162" s="2100"/>
      <c r="T162" s="2100"/>
      <c r="U162" s="2100"/>
      <c r="V162" s="2100"/>
      <c r="W162" s="2100"/>
      <c r="X162" s="2100"/>
      <c r="Y162" s="2100"/>
      <c r="Z162" s="2100"/>
      <c r="AA162" s="2100"/>
      <c r="AB162" s="2100"/>
      <c r="AC162" s="2100"/>
      <c r="AD162" s="2100"/>
      <c r="AE162" s="2100"/>
      <c r="AF162" s="2100"/>
      <c r="AG162" s="2100"/>
      <c r="AI162" s="18"/>
      <c r="AJ162" s="18"/>
      <c r="AK162" s="18"/>
      <c r="AL162" s="18"/>
      <c r="AM162" s="18"/>
      <c r="AN162" s="18"/>
      <c r="AO162" s="18"/>
      <c r="AP162" s="18"/>
      <c r="AQ162" s="18"/>
    </row>
    <row r="163" spans="1:43" s="584" customFormat="1" ht="14">
      <c r="A163" s="597"/>
      <c r="D163" s="2100"/>
      <c r="E163" s="2100"/>
      <c r="F163" s="2100"/>
      <c r="G163" s="2100"/>
      <c r="H163" s="2100"/>
      <c r="I163" s="2100"/>
      <c r="J163" s="2100"/>
      <c r="K163" s="2100"/>
      <c r="L163" s="2100"/>
      <c r="M163" s="2100"/>
      <c r="N163" s="2100"/>
      <c r="O163" s="2100"/>
      <c r="P163" s="2100"/>
      <c r="Q163" s="2100"/>
      <c r="R163" s="2100"/>
      <c r="S163" s="2100"/>
      <c r="T163" s="2100"/>
      <c r="U163" s="2100"/>
      <c r="V163" s="2100"/>
      <c r="W163" s="2100"/>
      <c r="X163" s="2100"/>
      <c r="Y163" s="2100"/>
      <c r="Z163" s="2100"/>
      <c r="AA163" s="2100"/>
      <c r="AB163" s="2100"/>
      <c r="AC163" s="2100"/>
      <c r="AD163" s="2100"/>
      <c r="AE163" s="2100"/>
      <c r="AF163" s="2100"/>
      <c r="AG163" s="2100"/>
      <c r="AI163" s="18"/>
      <c r="AJ163" s="18"/>
      <c r="AK163" s="18"/>
      <c r="AL163" s="18"/>
      <c r="AM163" s="18"/>
      <c r="AN163" s="18"/>
      <c r="AO163" s="18"/>
      <c r="AP163" s="18"/>
      <c r="AQ163" s="18"/>
    </row>
    <row r="164" spans="1:43" s="584" customFormat="1" ht="14">
      <c r="A164" s="597"/>
      <c r="D164" s="1427"/>
      <c r="E164" s="1427"/>
      <c r="F164" s="1427"/>
      <c r="G164" s="1427"/>
      <c r="H164" s="1427"/>
      <c r="I164" s="1427"/>
      <c r="J164" s="1427"/>
      <c r="K164" s="1427"/>
      <c r="L164" s="1427"/>
      <c r="M164" s="1427"/>
      <c r="N164" s="1427"/>
      <c r="O164" s="1427"/>
      <c r="P164" s="1427"/>
      <c r="Q164" s="1427"/>
      <c r="R164" s="1427"/>
      <c r="S164" s="1427"/>
      <c r="T164" s="1427"/>
      <c r="U164" s="1427"/>
      <c r="V164" s="1427"/>
      <c r="W164" s="1427"/>
      <c r="X164" s="1427"/>
      <c r="Y164" s="1427"/>
      <c r="Z164" s="1427"/>
      <c r="AA164" s="1427"/>
      <c r="AB164" s="1427"/>
      <c r="AC164" s="1427"/>
      <c r="AD164" s="1427"/>
      <c r="AE164" s="1427"/>
      <c r="AF164" s="1427"/>
      <c r="AG164" s="1427"/>
      <c r="AI164" s="18"/>
      <c r="AJ164" s="18"/>
      <c r="AK164" s="18"/>
      <c r="AL164" s="18"/>
      <c r="AM164" s="18"/>
      <c r="AN164" s="18"/>
      <c r="AO164" s="18"/>
      <c r="AP164" s="18"/>
      <c r="AQ164" s="18"/>
    </row>
    <row r="165" spans="1:43" s="584" customFormat="1" ht="14">
      <c r="A165" s="597"/>
      <c r="D165" s="582" t="s">
        <v>3046</v>
      </c>
      <c r="AI165" s="18"/>
      <c r="AJ165" s="18"/>
      <c r="AK165" s="18"/>
      <c r="AL165" s="18"/>
      <c r="AM165" s="18"/>
      <c r="AN165" s="18"/>
      <c r="AO165" s="18"/>
      <c r="AP165" s="18"/>
      <c r="AQ165" s="18"/>
    </row>
    <row r="166" spans="1:43" s="584" customFormat="1" ht="14">
      <c r="A166" s="597"/>
      <c r="AI166" s="18"/>
      <c r="AJ166" s="18"/>
      <c r="AK166" s="18"/>
      <c r="AL166" s="18"/>
      <c r="AM166" s="18"/>
      <c r="AN166" s="18"/>
      <c r="AO166" s="18"/>
      <c r="AP166" s="18"/>
      <c r="AQ166" s="18"/>
    </row>
    <row r="167" spans="1:43" s="584" customFormat="1" ht="14">
      <c r="A167" s="597"/>
      <c r="D167" s="1937" t="s">
        <v>2873</v>
      </c>
      <c r="E167" s="1938"/>
      <c r="F167" s="1938"/>
      <c r="G167" s="1938"/>
      <c r="H167" s="1938"/>
      <c r="I167" s="1938"/>
      <c r="J167" s="1938"/>
      <c r="K167" s="1938"/>
      <c r="L167" s="1938"/>
      <c r="M167" s="1938"/>
      <c r="N167" s="1938"/>
      <c r="O167" s="1938"/>
      <c r="P167" s="1938"/>
      <c r="Q167" s="1938"/>
      <c r="R167" s="1938"/>
      <c r="S167" s="1938"/>
      <c r="T167" s="1938"/>
      <c r="U167" s="1938"/>
      <c r="V167" s="1938"/>
      <c r="W167" s="1938"/>
      <c r="X167" s="1938"/>
      <c r="Y167" s="1938"/>
      <c r="Z167" s="1938"/>
      <c r="AA167" s="1938"/>
      <c r="AB167" s="1938"/>
      <c r="AC167" s="1938"/>
      <c r="AD167" s="1938"/>
      <c r="AE167" s="1938"/>
      <c r="AF167" s="1938"/>
      <c r="AG167" s="1938"/>
      <c r="AI167" s="18"/>
      <c r="AJ167" s="18"/>
      <c r="AK167" s="18"/>
      <c r="AL167" s="18"/>
      <c r="AM167" s="18"/>
      <c r="AN167" s="18"/>
      <c r="AO167" s="18"/>
      <c r="AP167" s="18"/>
      <c r="AQ167" s="18"/>
    </row>
    <row r="168" spans="1:43" s="584" customFormat="1" ht="79.5" customHeight="1">
      <c r="A168" s="597"/>
      <c r="D168" s="1938"/>
      <c r="E168" s="1938"/>
      <c r="F168" s="1938"/>
      <c r="G168" s="1938"/>
      <c r="H168" s="1938"/>
      <c r="I168" s="1938"/>
      <c r="J168" s="1938"/>
      <c r="K168" s="1938"/>
      <c r="L168" s="1938"/>
      <c r="M168" s="1938"/>
      <c r="N168" s="1938"/>
      <c r="O168" s="1938"/>
      <c r="P168" s="1938"/>
      <c r="Q168" s="1938"/>
      <c r="R168" s="1938"/>
      <c r="S168" s="1938"/>
      <c r="T168" s="1938"/>
      <c r="U168" s="1938"/>
      <c r="V168" s="1938"/>
      <c r="W168" s="1938"/>
      <c r="X168" s="1938"/>
      <c r="Y168" s="1938"/>
      <c r="Z168" s="1938"/>
      <c r="AA168" s="1938"/>
      <c r="AB168" s="1938"/>
      <c r="AC168" s="1938"/>
      <c r="AD168" s="1938"/>
      <c r="AE168" s="1938"/>
      <c r="AF168" s="1938"/>
      <c r="AG168" s="1938"/>
      <c r="AI168" s="18"/>
      <c r="AJ168" s="18"/>
      <c r="AK168" s="18"/>
      <c r="AL168" s="18"/>
      <c r="AM168" s="18"/>
      <c r="AN168" s="18"/>
      <c r="AO168" s="18"/>
      <c r="AP168" s="18"/>
      <c r="AQ168" s="18"/>
    </row>
    <row r="169" spans="1:43" s="584" customFormat="1" ht="14">
      <c r="A169" s="597"/>
      <c r="D169" s="1535"/>
      <c r="E169" s="1535"/>
      <c r="F169" s="1535"/>
      <c r="G169" s="1535"/>
      <c r="H169" s="1535"/>
      <c r="I169" s="1535"/>
      <c r="J169" s="1535"/>
      <c r="K169" s="1535"/>
      <c r="L169" s="1535"/>
      <c r="M169" s="1535"/>
      <c r="N169" s="1535"/>
      <c r="O169" s="1535"/>
      <c r="P169" s="1535"/>
      <c r="Q169" s="1535"/>
      <c r="R169" s="1535"/>
      <c r="S169" s="1535"/>
      <c r="T169" s="1535"/>
      <c r="U169" s="1535"/>
      <c r="V169" s="1535"/>
      <c r="W169" s="1535"/>
      <c r="X169" s="1535"/>
      <c r="Y169" s="1535"/>
      <c r="Z169" s="1535"/>
      <c r="AA169" s="1535"/>
      <c r="AB169" s="1535"/>
      <c r="AC169" s="1535"/>
      <c r="AD169" s="1535"/>
      <c r="AE169" s="1535"/>
      <c r="AF169" s="1535"/>
      <c r="AG169" s="1535"/>
      <c r="AI169" s="18"/>
      <c r="AJ169" s="18"/>
      <c r="AK169" s="18"/>
      <c r="AL169" s="18"/>
      <c r="AM169" s="18"/>
      <c r="AN169" s="18"/>
      <c r="AO169" s="18"/>
      <c r="AP169" s="18"/>
      <c r="AQ169" s="18"/>
    </row>
    <row r="170" spans="1:43" s="584" customFormat="1" ht="14">
      <c r="A170" s="597"/>
      <c r="D170" s="1937" t="s">
        <v>2918</v>
      </c>
      <c r="E170" s="1937"/>
      <c r="F170" s="1937"/>
      <c r="G170" s="1937"/>
      <c r="H170" s="1937"/>
      <c r="I170" s="1937"/>
      <c r="J170" s="1937"/>
      <c r="K170" s="1937"/>
      <c r="L170" s="1937"/>
      <c r="M170" s="1937"/>
      <c r="N170" s="1937"/>
      <c r="O170" s="1937"/>
      <c r="P170" s="1937"/>
      <c r="Q170" s="1937"/>
      <c r="R170" s="1937"/>
      <c r="S170" s="1937"/>
      <c r="T170" s="1937"/>
      <c r="U170" s="1937"/>
      <c r="V170" s="1937"/>
      <c r="W170" s="1937"/>
      <c r="X170" s="1937"/>
      <c r="Y170" s="1937"/>
      <c r="Z170" s="1937"/>
      <c r="AA170" s="1937"/>
      <c r="AB170" s="1937"/>
      <c r="AC170" s="1937"/>
      <c r="AD170" s="1937"/>
      <c r="AE170" s="1937"/>
      <c r="AF170" s="1937"/>
      <c r="AG170" s="1937"/>
      <c r="AI170" s="18"/>
      <c r="AJ170" s="18"/>
      <c r="AK170" s="18"/>
      <c r="AL170" s="18"/>
      <c r="AM170" s="18"/>
      <c r="AN170" s="18"/>
      <c r="AO170" s="18"/>
      <c r="AP170" s="18"/>
      <c r="AQ170" s="18"/>
    </row>
    <row r="171" spans="1:43" s="584" customFormat="1" ht="14">
      <c r="A171" s="597"/>
      <c r="AI171" s="18"/>
      <c r="AJ171" s="18"/>
      <c r="AK171" s="18"/>
      <c r="AL171" s="18"/>
      <c r="AM171" s="18"/>
      <c r="AN171" s="18"/>
      <c r="AO171" s="18"/>
      <c r="AP171" s="18"/>
      <c r="AQ171" s="18"/>
    </row>
    <row r="172" spans="1:43" s="584" customFormat="1" ht="14">
      <c r="A172" s="597"/>
      <c r="D172" s="582" t="s">
        <v>3047</v>
      </c>
      <c r="AI172" s="18"/>
      <c r="AJ172" s="18"/>
      <c r="AK172" s="18"/>
      <c r="AL172" s="18"/>
      <c r="AM172" s="18"/>
      <c r="AN172" s="18"/>
      <c r="AO172" s="18"/>
      <c r="AP172" s="18"/>
      <c r="AQ172" s="18"/>
    </row>
    <row r="173" spans="1:43" s="584" customFormat="1" ht="14">
      <c r="A173" s="597"/>
      <c r="AI173" s="18"/>
      <c r="AJ173" s="18"/>
      <c r="AK173" s="18"/>
      <c r="AL173" s="18"/>
      <c r="AM173" s="18"/>
      <c r="AN173" s="18"/>
      <c r="AO173" s="18"/>
      <c r="AP173" s="18"/>
      <c r="AQ173" s="18"/>
    </row>
    <row r="174" spans="1:43" s="584" customFormat="1" ht="14">
      <c r="A174" s="597"/>
      <c r="D174" s="2144" t="s">
        <v>1355</v>
      </c>
      <c r="E174" s="2144"/>
      <c r="F174" s="2144"/>
      <c r="G174" s="2144"/>
      <c r="H174" s="2144"/>
      <c r="I174" s="2144"/>
      <c r="J174" s="2144"/>
      <c r="K174" s="2144"/>
      <c r="L174" s="2144"/>
      <c r="M174" s="2144"/>
      <c r="N174" s="2144"/>
      <c r="O174" s="2144"/>
      <c r="P174" s="2144"/>
      <c r="Q174" s="2144"/>
      <c r="R174" s="2144"/>
      <c r="S174" s="2144"/>
      <c r="T174" s="2144"/>
      <c r="U174" s="2144"/>
      <c r="V174" s="2144"/>
      <c r="W174" s="2144"/>
      <c r="X174" s="2144"/>
      <c r="Y174" s="2144"/>
      <c r="Z174" s="2144"/>
      <c r="AA174" s="2144"/>
      <c r="AB174" s="2144"/>
      <c r="AC174" s="2144"/>
      <c r="AD174" s="2144"/>
      <c r="AE174" s="2144"/>
      <c r="AF174" s="2144"/>
      <c r="AG174" s="2144"/>
      <c r="AI174" s="18"/>
      <c r="AJ174" s="18"/>
      <c r="AK174" s="18"/>
      <c r="AL174" s="18"/>
      <c r="AM174" s="18"/>
      <c r="AN174" s="18"/>
      <c r="AO174" s="18"/>
      <c r="AP174" s="18"/>
      <c r="AQ174" s="18"/>
    </row>
    <row r="175" spans="1:43" s="584" customFormat="1" ht="14">
      <c r="A175" s="597"/>
      <c r="D175" s="2144"/>
      <c r="E175" s="2144"/>
      <c r="F175" s="2144"/>
      <c r="G175" s="2144"/>
      <c r="H175" s="2144"/>
      <c r="I175" s="2144"/>
      <c r="J175" s="2144"/>
      <c r="K175" s="2144"/>
      <c r="L175" s="2144"/>
      <c r="M175" s="2144"/>
      <c r="N175" s="2144"/>
      <c r="O175" s="2144"/>
      <c r="P175" s="2144"/>
      <c r="Q175" s="2144"/>
      <c r="R175" s="2144"/>
      <c r="S175" s="2144"/>
      <c r="T175" s="2144"/>
      <c r="U175" s="2144"/>
      <c r="V175" s="2144"/>
      <c r="W175" s="2144"/>
      <c r="X175" s="2144"/>
      <c r="Y175" s="2144"/>
      <c r="Z175" s="2144"/>
      <c r="AA175" s="2144"/>
      <c r="AB175" s="2144"/>
      <c r="AC175" s="2144"/>
      <c r="AD175" s="2144"/>
      <c r="AE175" s="2144"/>
      <c r="AF175" s="2144"/>
      <c r="AG175" s="2144"/>
      <c r="AI175" s="18"/>
      <c r="AJ175" s="18"/>
      <c r="AK175" s="18"/>
      <c r="AL175" s="18"/>
      <c r="AM175" s="18"/>
      <c r="AN175" s="18"/>
      <c r="AO175" s="18"/>
      <c r="AP175" s="18"/>
      <c r="AQ175" s="18"/>
    </row>
    <row r="176" spans="1:43" s="584" customFormat="1" ht="14">
      <c r="A176" s="597"/>
      <c r="AI176" s="18"/>
      <c r="AJ176" s="18"/>
      <c r="AK176" s="18"/>
      <c r="AL176" s="18"/>
      <c r="AM176" s="18"/>
      <c r="AN176" s="18"/>
      <c r="AO176" s="18"/>
      <c r="AP176" s="18"/>
      <c r="AQ176" s="18"/>
    </row>
    <row r="177" spans="1:43" s="584" customFormat="1" ht="14">
      <c r="A177" s="597"/>
      <c r="D177" s="582" t="s">
        <v>3048</v>
      </c>
      <c r="AI177" s="18"/>
      <c r="AJ177" s="18"/>
      <c r="AK177" s="18"/>
      <c r="AL177" s="18"/>
      <c r="AM177" s="18"/>
      <c r="AN177" s="18"/>
      <c r="AO177" s="18"/>
      <c r="AP177" s="18"/>
      <c r="AQ177" s="18"/>
    </row>
    <row r="178" spans="1:43" s="584" customFormat="1" ht="14">
      <c r="A178" s="597"/>
      <c r="AI178" s="18"/>
      <c r="AJ178" s="18"/>
      <c r="AK178" s="18"/>
      <c r="AL178" s="18"/>
      <c r="AM178" s="18"/>
      <c r="AN178" s="18"/>
      <c r="AO178" s="18"/>
      <c r="AP178" s="18"/>
      <c r="AQ178" s="18"/>
    </row>
    <row r="179" spans="1:43" s="584" customFormat="1" ht="14">
      <c r="A179" s="597"/>
      <c r="D179" s="2100" t="s">
        <v>2731</v>
      </c>
      <c r="E179" s="2144"/>
      <c r="F179" s="2144"/>
      <c r="G179" s="2144"/>
      <c r="H179" s="2144"/>
      <c r="I179" s="2144"/>
      <c r="J179" s="2144"/>
      <c r="K179" s="2144"/>
      <c r="L179" s="2144"/>
      <c r="M179" s="2144"/>
      <c r="N179" s="2144"/>
      <c r="O179" s="2144"/>
      <c r="P179" s="2144"/>
      <c r="Q179" s="2144"/>
      <c r="R179" s="2144"/>
      <c r="S179" s="2144"/>
      <c r="T179" s="2144"/>
      <c r="U179" s="2144"/>
      <c r="V179" s="2144"/>
      <c r="W179" s="2144"/>
      <c r="X179" s="2144"/>
      <c r="Y179" s="2144"/>
      <c r="Z179" s="2144"/>
      <c r="AA179" s="2144"/>
      <c r="AB179" s="2144"/>
      <c r="AC179" s="2144"/>
      <c r="AD179" s="2144"/>
      <c r="AE179" s="2144"/>
      <c r="AF179" s="2144"/>
      <c r="AG179" s="2144"/>
      <c r="AI179" s="18"/>
      <c r="AJ179" s="18"/>
      <c r="AK179" s="18"/>
      <c r="AL179" s="18"/>
      <c r="AM179" s="18"/>
      <c r="AN179" s="18"/>
      <c r="AO179" s="18"/>
      <c r="AP179" s="18"/>
      <c r="AQ179" s="18"/>
    </row>
    <row r="180" spans="1:43" s="584" customFormat="1" ht="14">
      <c r="A180" s="597"/>
      <c r="D180" s="2144"/>
      <c r="E180" s="2144"/>
      <c r="F180" s="2144"/>
      <c r="G180" s="2144"/>
      <c r="H180" s="2144"/>
      <c r="I180" s="2144"/>
      <c r="J180" s="2144"/>
      <c r="K180" s="2144"/>
      <c r="L180" s="2144"/>
      <c r="M180" s="2144"/>
      <c r="N180" s="2144"/>
      <c r="O180" s="2144"/>
      <c r="P180" s="2144"/>
      <c r="Q180" s="2144"/>
      <c r="R180" s="2144"/>
      <c r="S180" s="2144"/>
      <c r="T180" s="2144"/>
      <c r="U180" s="2144"/>
      <c r="V180" s="2144"/>
      <c r="W180" s="2144"/>
      <c r="X180" s="2144"/>
      <c r="Y180" s="2144"/>
      <c r="Z180" s="2144"/>
      <c r="AA180" s="2144"/>
      <c r="AB180" s="2144"/>
      <c r="AC180" s="2144"/>
      <c r="AD180" s="2144"/>
      <c r="AE180" s="2144"/>
      <c r="AF180" s="2144"/>
      <c r="AG180" s="2144"/>
      <c r="AI180" s="18"/>
      <c r="AJ180" s="18"/>
      <c r="AK180" s="18"/>
      <c r="AL180" s="18"/>
      <c r="AM180" s="18"/>
      <c r="AN180" s="18"/>
      <c r="AO180" s="18"/>
      <c r="AP180" s="18"/>
      <c r="AQ180" s="18"/>
    </row>
    <row r="181" spans="1:43" s="584" customFormat="1" ht="14">
      <c r="A181" s="597"/>
      <c r="AI181" s="18"/>
      <c r="AJ181" s="18"/>
      <c r="AK181" s="18"/>
      <c r="AL181" s="18"/>
      <c r="AM181" s="18"/>
      <c r="AN181" s="18"/>
      <c r="AO181" s="18"/>
      <c r="AP181" s="18"/>
      <c r="AQ181" s="18"/>
    </row>
    <row r="182" spans="1:43" s="584" customFormat="1" ht="14">
      <c r="A182" s="597"/>
      <c r="D182" s="2142" t="s">
        <v>2764</v>
      </c>
      <c r="E182" s="2145"/>
      <c r="F182" s="2145"/>
      <c r="G182" s="2145"/>
      <c r="H182" s="2145"/>
      <c r="I182" s="2145"/>
      <c r="J182" s="2145"/>
      <c r="K182" s="2145"/>
      <c r="L182" s="2145"/>
      <c r="M182" s="2145"/>
      <c r="N182" s="2145"/>
      <c r="O182" s="2145"/>
      <c r="P182" s="2145"/>
      <c r="Q182" s="2145"/>
      <c r="R182" s="2145"/>
      <c r="S182" s="2145"/>
      <c r="T182" s="2145"/>
      <c r="U182" s="2145"/>
      <c r="V182" s="2145"/>
      <c r="W182" s="2145"/>
      <c r="X182" s="2145"/>
      <c r="Y182" s="2145"/>
      <c r="Z182" s="2145"/>
      <c r="AA182" s="2145"/>
      <c r="AB182" s="2145"/>
      <c r="AC182" s="2145"/>
      <c r="AD182" s="2145"/>
      <c r="AE182" s="2145"/>
      <c r="AF182" s="2145"/>
      <c r="AG182" s="2145"/>
      <c r="AI182" s="18"/>
      <c r="AJ182" s="18"/>
      <c r="AK182" s="18"/>
      <c r="AL182" s="18"/>
      <c r="AM182" s="18"/>
      <c r="AN182" s="18"/>
      <c r="AO182" s="18"/>
      <c r="AP182" s="18"/>
      <c r="AQ182" s="18"/>
    </row>
    <row r="183" spans="1:43" s="584" customFormat="1" ht="14">
      <c r="A183" s="597"/>
      <c r="D183" s="2145"/>
      <c r="E183" s="2145"/>
      <c r="F183" s="2145"/>
      <c r="G183" s="2145"/>
      <c r="H183" s="2145"/>
      <c r="I183" s="2145"/>
      <c r="J183" s="2145"/>
      <c r="K183" s="2145"/>
      <c r="L183" s="2145"/>
      <c r="M183" s="2145"/>
      <c r="N183" s="2145"/>
      <c r="O183" s="2145"/>
      <c r="P183" s="2145"/>
      <c r="Q183" s="2145"/>
      <c r="R183" s="2145"/>
      <c r="S183" s="2145"/>
      <c r="T183" s="2145"/>
      <c r="U183" s="2145"/>
      <c r="V183" s="2145"/>
      <c r="W183" s="2145"/>
      <c r="X183" s="2145"/>
      <c r="Y183" s="2145"/>
      <c r="Z183" s="2145"/>
      <c r="AA183" s="2145"/>
      <c r="AB183" s="2145"/>
      <c r="AC183" s="2145"/>
      <c r="AD183" s="2145"/>
      <c r="AE183" s="2145"/>
      <c r="AF183" s="2145"/>
      <c r="AG183" s="2145"/>
      <c r="AI183" s="18"/>
      <c r="AJ183" s="18"/>
      <c r="AK183" s="18"/>
      <c r="AL183" s="18"/>
      <c r="AM183" s="18"/>
      <c r="AN183" s="18"/>
      <c r="AO183" s="18"/>
      <c r="AP183" s="18"/>
      <c r="AQ183" s="18"/>
    </row>
    <row r="184" spans="1:43" s="584" customFormat="1" ht="14">
      <c r="A184" s="597"/>
      <c r="D184" s="2145"/>
      <c r="E184" s="2145"/>
      <c r="F184" s="2145"/>
      <c r="G184" s="2145"/>
      <c r="H184" s="2145"/>
      <c r="I184" s="2145"/>
      <c r="J184" s="2145"/>
      <c r="K184" s="2145"/>
      <c r="L184" s="2145"/>
      <c r="M184" s="2145"/>
      <c r="N184" s="2145"/>
      <c r="O184" s="2145"/>
      <c r="P184" s="2145"/>
      <c r="Q184" s="2145"/>
      <c r="R184" s="2145"/>
      <c r="S184" s="2145"/>
      <c r="T184" s="2145"/>
      <c r="U184" s="2145"/>
      <c r="V184" s="2145"/>
      <c r="W184" s="2145"/>
      <c r="X184" s="2145"/>
      <c r="Y184" s="2145"/>
      <c r="Z184" s="2145"/>
      <c r="AA184" s="2145"/>
      <c r="AB184" s="2145"/>
      <c r="AC184" s="2145"/>
      <c r="AD184" s="2145"/>
      <c r="AE184" s="2145"/>
      <c r="AF184" s="2145"/>
      <c r="AG184" s="2145"/>
      <c r="AI184" s="18"/>
      <c r="AJ184" s="18"/>
      <c r="AK184" s="18"/>
      <c r="AL184" s="18"/>
      <c r="AM184" s="18"/>
      <c r="AN184" s="18"/>
      <c r="AO184" s="18"/>
      <c r="AP184" s="18"/>
      <c r="AQ184" s="18"/>
    </row>
    <row r="185" spans="1:43" s="584" customFormat="1" ht="2.25" customHeight="1">
      <c r="A185" s="597"/>
      <c r="D185" s="2145"/>
      <c r="E185" s="2145"/>
      <c r="F185" s="2145"/>
      <c r="G185" s="2145"/>
      <c r="H185" s="2145"/>
      <c r="I185" s="2145"/>
      <c r="J185" s="2145"/>
      <c r="K185" s="2145"/>
      <c r="L185" s="2145"/>
      <c r="M185" s="2145"/>
      <c r="N185" s="2145"/>
      <c r="O185" s="2145"/>
      <c r="P185" s="2145"/>
      <c r="Q185" s="2145"/>
      <c r="R185" s="2145"/>
      <c r="S185" s="2145"/>
      <c r="T185" s="2145"/>
      <c r="U185" s="2145"/>
      <c r="V185" s="2145"/>
      <c r="W185" s="2145"/>
      <c r="X185" s="2145"/>
      <c r="Y185" s="2145"/>
      <c r="Z185" s="2145"/>
      <c r="AA185" s="2145"/>
      <c r="AB185" s="2145"/>
      <c r="AC185" s="2145"/>
      <c r="AD185" s="2145"/>
      <c r="AE185" s="2145"/>
      <c r="AF185" s="2145"/>
      <c r="AG185" s="2145"/>
      <c r="AI185" s="18"/>
      <c r="AJ185" s="18"/>
      <c r="AK185" s="18"/>
      <c r="AL185" s="18"/>
      <c r="AM185" s="18"/>
      <c r="AN185" s="18"/>
      <c r="AO185" s="18"/>
      <c r="AP185" s="18"/>
      <c r="AQ185" s="18"/>
    </row>
    <row r="186" spans="1:43" s="584" customFormat="1" ht="14" hidden="1">
      <c r="A186" s="597"/>
      <c r="D186" s="2145"/>
      <c r="E186" s="2145"/>
      <c r="F186" s="2145"/>
      <c r="G186" s="2145"/>
      <c r="H186" s="2145"/>
      <c r="I186" s="2145"/>
      <c r="J186" s="2145"/>
      <c r="K186" s="2145"/>
      <c r="L186" s="2145"/>
      <c r="M186" s="2145"/>
      <c r="N186" s="2145"/>
      <c r="O186" s="2145"/>
      <c r="P186" s="2145"/>
      <c r="Q186" s="2145"/>
      <c r="R186" s="2145"/>
      <c r="S186" s="2145"/>
      <c r="T186" s="2145"/>
      <c r="U186" s="2145"/>
      <c r="V186" s="2145"/>
      <c r="W186" s="2145"/>
      <c r="X186" s="2145"/>
      <c r="Y186" s="2145"/>
      <c r="Z186" s="2145"/>
      <c r="AA186" s="2145"/>
      <c r="AB186" s="2145"/>
      <c r="AC186" s="2145"/>
      <c r="AD186" s="2145"/>
      <c r="AE186" s="2145"/>
      <c r="AF186" s="2145"/>
      <c r="AG186" s="2145"/>
      <c r="AI186" s="18"/>
      <c r="AJ186" s="18"/>
      <c r="AK186" s="18"/>
      <c r="AL186" s="18"/>
      <c r="AM186" s="18"/>
      <c r="AN186" s="18"/>
      <c r="AO186" s="18"/>
      <c r="AP186" s="18"/>
      <c r="AQ186" s="18"/>
    </row>
    <row r="187" spans="1:43" s="584" customFormat="1" ht="14">
      <c r="A187" s="597"/>
      <c r="AI187" s="18"/>
      <c r="AJ187" s="18"/>
      <c r="AK187" s="18"/>
      <c r="AL187" s="18"/>
      <c r="AM187" s="18"/>
      <c r="AN187" s="18"/>
      <c r="AO187" s="18"/>
      <c r="AP187" s="18"/>
      <c r="AQ187" s="18"/>
    </row>
    <row r="188" spans="1:43" s="584" customFormat="1" ht="14">
      <c r="A188" s="597"/>
      <c r="D188" s="2135" t="s">
        <v>2765</v>
      </c>
      <c r="E188" s="2179"/>
      <c r="F188" s="2179"/>
      <c r="G188" s="2179"/>
      <c r="H188" s="2179"/>
      <c r="I188" s="2179"/>
      <c r="J188" s="2179"/>
      <c r="K188" s="2179"/>
      <c r="L188" s="2179"/>
      <c r="M188" s="2179"/>
      <c r="N188" s="2179"/>
      <c r="O188" s="2179"/>
      <c r="P188" s="2179"/>
      <c r="Q188" s="2179"/>
      <c r="R188" s="2179"/>
      <c r="S188" s="2179"/>
      <c r="T188" s="2179"/>
      <c r="U188" s="2179"/>
      <c r="V188" s="2179"/>
      <c r="W188" s="2179"/>
      <c r="X188" s="2179"/>
      <c r="Y188" s="2179"/>
      <c r="Z188" s="2179"/>
      <c r="AA188" s="2179"/>
      <c r="AB188" s="2179"/>
      <c r="AC188" s="2179"/>
      <c r="AD188" s="2179"/>
      <c r="AE188" s="2179"/>
      <c r="AF188" s="2179"/>
      <c r="AG188" s="2179"/>
      <c r="AI188" s="18"/>
      <c r="AJ188" s="18"/>
      <c r="AK188" s="18"/>
      <c r="AL188" s="18"/>
      <c r="AM188" s="18"/>
      <c r="AN188" s="18"/>
      <c r="AO188" s="18"/>
      <c r="AP188" s="18"/>
      <c r="AQ188" s="18"/>
    </row>
    <row r="189" spans="1:43" s="584" customFormat="1" ht="14">
      <c r="A189" s="597"/>
      <c r="K189" s="767"/>
      <c r="AI189" s="18"/>
      <c r="AJ189" s="18"/>
      <c r="AK189" s="18"/>
      <c r="AL189" s="18"/>
      <c r="AM189" s="18"/>
      <c r="AN189" s="18"/>
      <c r="AO189" s="18"/>
      <c r="AP189" s="18"/>
      <c r="AQ189" s="18"/>
    </row>
    <row r="190" spans="1:43" s="584" customFormat="1" ht="14">
      <c r="A190" s="597"/>
      <c r="D190" s="582" t="s">
        <v>3049</v>
      </c>
      <c r="AI190" s="18"/>
      <c r="AJ190" s="18"/>
      <c r="AK190" s="18"/>
      <c r="AL190" s="18"/>
      <c r="AM190" s="18"/>
      <c r="AN190" s="18"/>
      <c r="AO190" s="18"/>
      <c r="AP190" s="18"/>
      <c r="AQ190" s="18"/>
    </row>
    <row r="191" spans="1:43" s="584" customFormat="1" ht="14">
      <c r="A191" s="597"/>
      <c r="AI191" s="18"/>
      <c r="AJ191" s="18"/>
      <c r="AK191" s="18"/>
      <c r="AL191" s="18"/>
      <c r="AM191" s="18"/>
      <c r="AN191" s="18"/>
      <c r="AO191" s="18"/>
      <c r="AP191" s="18"/>
      <c r="AQ191" s="18"/>
    </row>
    <row r="192" spans="1:43" s="584" customFormat="1" ht="14">
      <c r="A192" s="597"/>
      <c r="D192" s="2144" t="s">
        <v>1356</v>
      </c>
      <c r="E192" s="2144"/>
      <c r="F192" s="2144"/>
      <c r="G192" s="2144"/>
      <c r="H192" s="2144"/>
      <c r="I192" s="2144"/>
      <c r="J192" s="2144"/>
      <c r="K192" s="2144"/>
      <c r="L192" s="2144"/>
      <c r="M192" s="2144"/>
      <c r="N192" s="2144"/>
      <c r="O192" s="2144"/>
      <c r="P192" s="2144"/>
      <c r="Q192" s="2144"/>
      <c r="R192" s="2144"/>
      <c r="S192" s="2144"/>
      <c r="T192" s="2144"/>
      <c r="U192" s="2144"/>
      <c r="V192" s="2144"/>
      <c r="W192" s="2144"/>
      <c r="X192" s="2144"/>
      <c r="Y192" s="2144"/>
      <c r="Z192" s="2144"/>
      <c r="AA192" s="2144"/>
      <c r="AB192" s="2144"/>
      <c r="AC192" s="2144"/>
      <c r="AD192" s="2144"/>
      <c r="AE192" s="2144"/>
      <c r="AF192" s="2144"/>
      <c r="AG192" s="2144"/>
      <c r="AI192" s="18"/>
      <c r="AJ192" s="18"/>
      <c r="AK192" s="18"/>
      <c r="AL192" s="18"/>
      <c r="AM192" s="18"/>
      <c r="AN192" s="18"/>
      <c r="AO192" s="18"/>
      <c r="AP192" s="18"/>
      <c r="AQ192" s="18"/>
    </row>
    <row r="193" spans="1:43" s="584" customFormat="1" ht="14">
      <c r="A193" s="597"/>
      <c r="D193" s="2144"/>
      <c r="E193" s="2144"/>
      <c r="F193" s="2144"/>
      <c r="G193" s="2144"/>
      <c r="H193" s="2144"/>
      <c r="I193" s="2144"/>
      <c r="J193" s="2144"/>
      <c r="K193" s="2144"/>
      <c r="L193" s="2144"/>
      <c r="M193" s="2144"/>
      <c r="N193" s="2144"/>
      <c r="O193" s="2144"/>
      <c r="P193" s="2144"/>
      <c r="Q193" s="2144"/>
      <c r="R193" s="2144"/>
      <c r="S193" s="2144"/>
      <c r="T193" s="2144"/>
      <c r="U193" s="2144"/>
      <c r="V193" s="2144"/>
      <c r="W193" s="2144"/>
      <c r="X193" s="2144"/>
      <c r="Y193" s="2144"/>
      <c r="Z193" s="2144"/>
      <c r="AA193" s="2144"/>
      <c r="AB193" s="2144"/>
      <c r="AC193" s="2144"/>
      <c r="AD193" s="2144"/>
      <c r="AE193" s="2144"/>
      <c r="AF193" s="2144"/>
      <c r="AG193" s="2144"/>
      <c r="AI193" s="18"/>
      <c r="AJ193" s="18"/>
      <c r="AK193" s="18"/>
      <c r="AL193" s="18"/>
      <c r="AM193" s="18"/>
      <c r="AN193" s="18"/>
      <c r="AO193" s="18"/>
      <c r="AP193" s="18"/>
      <c r="AQ193" s="18"/>
    </row>
    <row r="194" spans="1:43" s="584" customFormat="1" ht="14">
      <c r="A194" s="597"/>
      <c r="AI194" s="18"/>
      <c r="AJ194" s="18"/>
      <c r="AK194" s="18"/>
      <c r="AL194" s="18"/>
      <c r="AM194" s="18"/>
      <c r="AN194" s="18"/>
      <c r="AO194" s="18"/>
      <c r="AP194" s="18"/>
      <c r="AQ194" s="18"/>
    </row>
    <row r="195" spans="1:43" s="584" customFormat="1" ht="14">
      <c r="A195" s="597"/>
      <c r="D195" s="2144" t="s">
        <v>1357</v>
      </c>
      <c r="E195" s="2144"/>
      <c r="F195" s="2144"/>
      <c r="G195" s="2144"/>
      <c r="H195" s="2144"/>
      <c r="I195" s="2144"/>
      <c r="J195" s="2144"/>
      <c r="K195" s="2144"/>
      <c r="L195" s="2144"/>
      <c r="M195" s="2144"/>
      <c r="N195" s="2144"/>
      <c r="O195" s="2144"/>
      <c r="P195" s="2144"/>
      <c r="Q195" s="2144"/>
      <c r="R195" s="2144"/>
      <c r="S195" s="2144"/>
      <c r="T195" s="2144"/>
      <c r="U195" s="2144"/>
      <c r="V195" s="2144"/>
      <c r="W195" s="2144"/>
      <c r="X195" s="2144"/>
      <c r="Y195" s="2144"/>
      <c r="Z195" s="2144"/>
      <c r="AA195" s="2144"/>
      <c r="AB195" s="2144"/>
      <c r="AC195" s="2144"/>
      <c r="AD195" s="2144"/>
      <c r="AE195" s="2144"/>
      <c r="AF195" s="2144"/>
      <c r="AG195" s="2144"/>
      <c r="AI195" s="18"/>
      <c r="AJ195" s="18"/>
      <c r="AK195" s="18"/>
      <c r="AL195" s="18"/>
      <c r="AM195" s="18"/>
      <c r="AN195" s="18"/>
      <c r="AO195" s="18"/>
      <c r="AP195" s="18"/>
      <c r="AQ195" s="18"/>
    </row>
    <row r="196" spans="1:43" s="584" customFormat="1" ht="14">
      <c r="A196" s="597"/>
      <c r="D196" s="2144"/>
      <c r="E196" s="2144"/>
      <c r="F196" s="2144"/>
      <c r="G196" s="2144"/>
      <c r="H196" s="2144"/>
      <c r="I196" s="2144"/>
      <c r="J196" s="2144"/>
      <c r="K196" s="2144"/>
      <c r="L196" s="2144"/>
      <c r="M196" s="2144"/>
      <c r="N196" s="2144"/>
      <c r="O196" s="2144"/>
      <c r="P196" s="2144"/>
      <c r="Q196" s="2144"/>
      <c r="R196" s="2144"/>
      <c r="S196" s="2144"/>
      <c r="T196" s="2144"/>
      <c r="U196" s="2144"/>
      <c r="V196" s="2144"/>
      <c r="W196" s="2144"/>
      <c r="X196" s="2144"/>
      <c r="Y196" s="2144"/>
      <c r="Z196" s="2144"/>
      <c r="AA196" s="2144"/>
      <c r="AB196" s="2144"/>
      <c r="AC196" s="2144"/>
      <c r="AD196" s="2144"/>
      <c r="AE196" s="2144"/>
      <c r="AF196" s="2144"/>
      <c r="AG196" s="2144"/>
      <c r="AI196" s="18"/>
      <c r="AJ196" s="18"/>
      <c r="AK196" s="18"/>
      <c r="AL196" s="18"/>
      <c r="AM196" s="18"/>
      <c r="AN196" s="18"/>
      <c r="AO196" s="18"/>
      <c r="AP196" s="18"/>
      <c r="AQ196" s="18"/>
    </row>
    <row r="197" spans="1:43" s="584" customFormat="1" ht="14">
      <c r="A197" s="597"/>
      <c r="AI197" s="18"/>
      <c r="AJ197" s="18"/>
      <c r="AK197" s="18"/>
      <c r="AL197" s="18"/>
      <c r="AM197" s="18"/>
      <c r="AN197" s="18"/>
      <c r="AO197" s="18"/>
      <c r="AP197" s="18"/>
      <c r="AQ197" s="18"/>
    </row>
    <row r="198" spans="1:43" s="584" customFormat="1" ht="14">
      <c r="A198" s="597"/>
      <c r="D198" s="2144" t="s">
        <v>1358</v>
      </c>
      <c r="E198" s="2144"/>
      <c r="F198" s="2144"/>
      <c r="G198" s="2144"/>
      <c r="H198" s="2144"/>
      <c r="I198" s="2144"/>
      <c r="J198" s="2144"/>
      <c r="K198" s="2144"/>
      <c r="L198" s="2144"/>
      <c r="M198" s="2144"/>
      <c r="N198" s="2144"/>
      <c r="O198" s="2144"/>
      <c r="P198" s="2144"/>
      <c r="Q198" s="2144"/>
      <c r="R198" s="2144"/>
      <c r="S198" s="2144"/>
      <c r="T198" s="2144"/>
      <c r="U198" s="2144"/>
      <c r="V198" s="2144"/>
      <c r="W198" s="2144"/>
      <c r="X198" s="2144"/>
      <c r="Y198" s="2144"/>
      <c r="Z198" s="2144"/>
      <c r="AA198" s="2144"/>
      <c r="AB198" s="2144"/>
      <c r="AC198" s="2144"/>
      <c r="AD198" s="2144"/>
      <c r="AE198" s="2144"/>
      <c r="AF198" s="2144"/>
      <c r="AG198" s="2144"/>
      <c r="AI198" s="18"/>
      <c r="AJ198" s="18"/>
      <c r="AK198" s="18"/>
      <c r="AL198" s="18"/>
      <c r="AM198" s="18"/>
      <c r="AN198" s="18"/>
      <c r="AO198" s="18"/>
      <c r="AP198" s="18"/>
      <c r="AQ198" s="18"/>
    </row>
    <row r="199" spans="1:43" s="584" customFormat="1" ht="14">
      <c r="A199" s="597"/>
      <c r="AI199" s="18"/>
      <c r="AJ199" s="18"/>
      <c r="AK199" s="18"/>
      <c r="AL199" s="18"/>
      <c r="AM199" s="18"/>
      <c r="AN199" s="18"/>
      <c r="AO199" s="18"/>
      <c r="AP199" s="18"/>
      <c r="AQ199" s="18"/>
    </row>
    <row r="200" spans="1:43" s="584" customFormat="1" ht="14">
      <c r="A200" s="597"/>
      <c r="D200" s="582" t="s">
        <v>3050</v>
      </c>
      <c r="AI200" s="18"/>
      <c r="AJ200" s="18"/>
      <c r="AK200" s="18"/>
      <c r="AL200" s="18"/>
      <c r="AM200" s="18"/>
      <c r="AN200" s="18"/>
      <c r="AO200" s="18"/>
      <c r="AP200" s="18"/>
      <c r="AQ200" s="18"/>
    </row>
    <row r="201" spans="1:43" s="584" customFormat="1" ht="14">
      <c r="A201" s="597"/>
      <c r="AI201" s="18"/>
      <c r="AJ201" s="18"/>
      <c r="AK201" s="18"/>
      <c r="AL201" s="18"/>
      <c r="AM201" s="18"/>
      <c r="AN201" s="18"/>
      <c r="AO201" s="18"/>
      <c r="AP201" s="18"/>
      <c r="AQ201" s="18"/>
    </row>
    <row r="202" spans="1:43" s="584" customFormat="1" ht="14">
      <c r="A202" s="597"/>
      <c r="D202" s="2144" t="s">
        <v>1359</v>
      </c>
      <c r="E202" s="2144"/>
      <c r="F202" s="2144"/>
      <c r="G202" s="2144"/>
      <c r="H202" s="2144"/>
      <c r="I202" s="2144"/>
      <c r="J202" s="2144"/>
      <c r="K202" s="2144"/>
      <c r="L202" s="2144"/>
      <c r="M202" s="2144"/>
      <c r="N202" s="2144"/>
      <c r="O202" s="2144"/>
      <c r="P202" s="2144"/>
      <c r="Q202" s="2144"/>
      <c r="R202" s="2144"/>
      <c r="S202" s="2144"/>
      <c r="T202" s="2144"/>
      <c r="U202" s="2144"/>
      <c r="V202" s="2144"/>
      <c r="W202" s="2144"/>
      <c r="X202" s="2144"/>
      <c r="Y202" s="2144"/>
      <c r="Z202" s="2144"/>
      <c r="AA202" s="2144"/>
      <c r="AB202" s="2144"/>
      <c r="AC202" s="2144"/>
      <c r="AD202" s="2144"/>
      <c r="AE202" s="2144"/>
      <c r="AF202" s="2144"/>
      <c r="AG202" s="2144"/>
      <c r="AI202" s="18"/>
      <c r="AJ202" s="18"/>
      <c r="AK202" s="18"/>
      <c r="AL202" s="18"/>
      <c r="AM202" s="18"/>
      <c r="AN202" s="18"/>
      <c r="AO202" s="18"/>
      <c r="AP202" s="18"/>
      <c r="AQ202" s="18"/>
    </row>
    <row r="203" spans="1:43" s="584" customFormat="1" ht="14">
      <c r="A203" s="597"/>
      <c r="D203" s="2144"/>
      <c r="E203" s="2144"/>
      <c r="F203" s="2144"/>
      <c r="G203" s="2144"/>
      <c r="H203" s="2144"/>
      <c r="I203" s="2144"/>
      <c r="J203" s="2144"/>
      <c r="K203" s="2144"/>
      <c r="L203" s="2144"/>
      <c r="M203" s="2144"/>
      <c r="N203" s="2144"/>
      <c r="O203" s="2144"/>
      <c r="P203" s="2144"/>
      <c r="Q203" s="2144"/>
      <c r="R203" s="2144"/>
      <c r="S203" s="2144"/>
      <c r="T203" s="2144"/>
      <c r="U203" s="2144"/>
      <c r="V203" s="2144"/>
      <c r="W203" s="2144"/>
      <c r="X203" s="2144"/>
      <c r="Y203" s="2144"/>
      <c r="Z203" s="2144"/>
      <c r="AA203" s="2144"/>
      <c r="AB203" s="2144"/>
      <c r="AC203" s="2144"/>
      <c r="AD203" s="2144"/>
      <c r="AE203" s="2144"/>
      <c r="AF203" s="2144"/>
      <c r="AG203" s="2144"/>
      <c r="AI203" s="18"/>
      <c r="AJ203" s="18"/>
      <c r="AK203" s="18"/>
      <c r="AL203" s="18"/>
      <c r="AM203" s="18"/>
      <c r="AN203" s="18"/>
      <c r="AO203" s="18"/>
      <c r="AP203" s="18"/>
      <c r="AQ203" s="18"/>
    </row>
    <row r="204" spans="1:43" s="584" customFormat="1" ht="14">
      <c r="A204" s="597"/>
      <c r="D204" s="1536"/>
      <c r="E204" s="1536"/>
      <c r="F204" s="1536"/>
      <c r="G204" s="1536"/>
      <c r="H204" s="1536"/>
      <c r="I204" s="1536"/>
      <c r="J204" s="1536"/>
      <c r="K204" s="1536"/>
      <c r="L204" s="1536"/>
      <c r="M204" s="1536"/>
      <c r="N204" s="1536"/>
      <c r="O204" s="1536"/>
      <c r="P204" s="1536"/>
      <c r="Q204" s="1536"/>
      <c r="R204" s="1536"/>
      <c r="S204" s="1536"/>
      <c r="T204" s="1536"/>
      <c r="U204" s="1536"/>
      <c r="V204" s="1536"/>
      <c r="W204" s="1536"/>
      <c r="X204" s="1536"/>
      <c r="Y204" s="1536"/>
      <c r="Z204" s="1536"/>
      <c r="AA204" s="1536"/>
      <c r="AB204" s="1536"/>
      <c r="AC204" s="1536"/>
      <c r="AD204" s="1536"/>
      <c r="AE204" s="1536"/>
      <c r="AF204" s="1536"/>
      <c r="AG204" s="1536"/>
      <c r="AI204" s="18"/>
      <c r="AJ204" s="18"/>
      <c r="AK204" s="18"/>
      <c r="AL204" s="18"/>
      <c r="AM204" s="18"/>
      <c r="AN204" s="18"/>
      <c r="AO204" s="18"/>
      <c r="AP204" s="18"/>
      <c r="AQ204" s="18"/>
    </row>
    <row r="205" spans="1:43" s="584" customFormat="1" ht="14">
      <c r="A205" s="597"/>
      <c r="D205" s="2100" t="s">
        <v>2919</v>
      </c>
      <c r="E205" s="2100"/>
      <c r="F205" s="2100"/>
      <c r="G205" s="2100"/>
      <c r="H205" s="2100"/>
      <c r="I205" s="2100"/>
      <c r="J205" s="2100"/>
      <c r="K205" s="2100"/>
      <c r="L205" s="2100"/>
      <c r="M205" s="2100"/>
      <c r="N205" s="2100"/>
      <c r="O205" s="2100"/>
      <c r="P205" s="2100"/>
      <c r="Q205" s="2100"/>
      <c r="R205" s="2100"/>
      <c r="S205" s="2100"/>
      <c r="T205" s="2100"/>
      <c r="U205" s="2100"/>
      <c r="V205" s="2100"/>
      <c r="W205" s="2100"/>
      <c r="X205" s="2100"/>
      <c r="Y205" s="2100"/>
      <c r="Z205" s="2100"/>
      <c r="AA205" s="2100"/>
      <c r="AB205" s="2100"/>
      <c r="AC205" s="2100"/>
      <c r="AD205" s="2100"/>
      <c r="AE205" s="2100"/>
      <c r="AF205" s="2100"/>
      <c r="AG205" s="2100"/>
      <c r="AI205" s="18"/>
      <c r="AJ205" s="18"/>
      <c r="AK205" s="18"/>
      <c r="AL205" s="18"/>
      <c r="AM205" s="18"/>
      <c r="AN205" s="18"/>
      <c r="AO205" s="18"/>
      <c r="AP205" s="18"/>
      <c r="AQ205" s="18"/>
    </row>
    <row r="206" spans="1:43" s="584" customFormat="1" ht="14">
      <c r="A206" s="597"/>
      <c r="D206" s="2100"/>
      <c r="E206" s="2100"/>
      <c r="F206" s="2100"/>
      <c r="G206" s="2100"/>
      <c r="H206" s="2100"/>
      <c r="I206" s="2100"/>
      <c r="J206" s="2100"/>
      <c r="K206" s="2100"/>
      <c r="L206" s="2100"/>
      <c r="M206" s="2100"/>
      <c r="N206" s="2100"/>
      <c r="O206" s="2100"/>
      <c r="P206" s="2100"/>
      <c r="Q206" s="2100"/>
      <c r="R206" s="2100"/>
      <c r="S206" s="2100"/>
      <c r="T206" s="2100"/>
      <c r="U206" s="2100"/>
      <c r="V206" s="2100"/>
      <c r="W206" s="2100"/>
      <c r="X206" s="2100"/>
      <c r="Y206" s="2100"/>
      <c r="Z206" s="2100"/>
      <c r="AA206" s="2100"/>
      <c r="AB206" s="2100"/>
      <c r="AC206" s="2100"/>
      <c r="AD206" s="2100"/>
      <c r="AE206" s="2100"/>
      <c r="AF206" s="2100"/>
      <c r="AG206" s="2100"/>
      <c r="AI206" s="18"/>
      <c r="AJ206" s="18"/>
      <c r="AK206" s="18"/>
      <c r="AL206" s="18"/>
      <c r="AM206" s="18"/>
      <c r="AN206" s="18"/>
      <c r="AO206" s="18"/>
      <c r="AP206" s="18"/>
      <c r="AQ206" s="18"/>
    </row>
    <row r="207" spans="1:43" s="584" customFormat="1" ht="14">
      <c r="A207" s="597"/>
      <c r="AI207" s="18"/>
      <c r="AJ207" s="18"/>
      <c r="AK207" s="18"/>
      <c r="AL207" s="18"/>
      <c r="AM207" s="18"/>
      <c r="AN207" s="18"/>
      <c r="AO207" s="18"/>
      <c r="AP207" s="18"/>
      <c r="AQ207" s="18"/>
    </row>
    <row r="208" spans="1:43" s="584" customFormat="1" ht="14">
      <c r="A208" s="597"/>
      <c r="D208" s="582" t="s">
        <v>3051</v>
      </c>
      <c r="AI208" s="18"/>
      <c r="AJ208" s="18"/>
      <c r="AK208" s="18"/>
      <c r="AL208" s="18"/>
      <c r="AM208" s="18"/>
      <c r="AN208" s="18"/>
      <c r="AO208" s="18"/>
      <c r="AP208" s="18"/>
      <c r="AQ208" s="18"/>
    </row>
    <row r="209" spans="1:43" s="584" customFormat="1" ht="14">
      <c r="A209" s="597"/>
      <c r="AI209" s="18"/>
      <c r="AJ209" s="18"/>
      <c r="AK209" s="18"/>
      <c r="AL209" s="18"/>
      <c r="AM209" s="18"/>
      <c r="AN209" s="18"/>
      <c r="AO209" s="18"/>
      <c r="AP209" s="18"/>
      <c r="AQ209" s="18"/>
    </row>
    <row r="210" spans="1:43" s="584" customFormat="1" ht="13.9" customHeight="1">
      <c r="A210" s="597"/>
      <c r="D210" s="2185" t="s">
        <v>3054</v>
      </c>
      <c r="E210" s="2185"/>
      <c r="F210" s="2185"/>
      <c r="G210" s="2185"/>
      <c r="H210" s="2185"/>
      <c r="I210" s="2185"/>
      <c r="J210" s="2185"/>
      <c r="K210" s="2185"/>
      <c r="L210" s="2185"/>
      <c r="M210" s="2185"/>
      <c r="N210" s="2185"/>
      <c r="O210" s="2185"/>
      <c r="P210" s="2185"/>
      <c r="Q210" s="2185"/>
      <c r="R210" s="2185"/>
      <c r="S210" s="2185"/>
      <c r="T210" s="2185"/>
      <c r="U210" s="2185"/>
      <c r="V210" s="2185"/>
      <c r="W210" s="2185"/>
      <c r="X210" s="2185"/>
      <c r="Y210" s="2185"/>
      <c r="Z210" s="2185"/>
      <c r="AA210" s="2185"/>
      <c r="AB210" s="2185"/>
      <c r="AC210" s="2185"/>
      <c r="AD210" s="2185"/>
      <c r="AE210" s="2185"/>
      <c r="AF210" s="2185"/>
      <c r="AG210" s="2185"/>
      <c r="AI210" s="18"/>
      <c r="AJ210" s="18"/>
      <c r="AK210" s="18"/>
      <c r="AL210" s="18"/>
      <c r="AM210" s="18"/>
      <c r="AN210" s="18"/>
      <c r="AO210" s="18"/>
      <c r="AP210" s="18"/>
      <c r="AQ210" s="18"/>
    </row>
    <row r="211" spans="1:43" s="584" customFormat="1" ht="14">
      <c r="A211" s="597"/>
      <c r="D211" s="2185"/>
      <c r="E211" s="2185"/>
      <c r="F211" s="2185"/>
      <c r="G211" s="2185"/>
      <c r="H211" s="2185"/>
      <c r="I211" s="2185"/>
      <c r="J211" s="2185"/>
      <c r="K211" s="2185"/>
      <c r="L211" s="2185"/>
      <c r="M211" s="2185"/>
      <c r="N211" s="2185"/>
      <c r="O211" s="2185"/>
      <c r="P211" s="2185"/>
      <c r="Q211" s="2185"/>
      <c r="R211" s="2185"/>
      <c r="S211" s="2185"/>
      <c r="T211" s="2185"/>
      <c r="U211" s="2185"/>
      <c r="V211" s="2185"/>
      <c r="W211" s="2185"/>
      <c r="X211" s="2185"/>
      <c r="Y211" s="2185"/>
      <c r="Z211" s="2185"/>
      <c r="AA211" s="2185"/>
      <c r="AB211" s="2185"/>
      <c r="AC211" s="2185"/>
      <c r="AD211" s="2185"/>
      <c r="AE211" s="2185"/>
      <c r="AF211" s="2185"/>
      <c r="AG211" s="2185"/>
      <c r="AI211" s="18"/>
      <c r="AJ211" s="18"/>
      <c r="AK211" s="18"/>
      <c r="AL211" s="18"/>
      <c r="AM211" s="18"/>
      <c r="AN211" s="18"/>
      <c r="AO211" s="18"/>
      <c r="AP211" s="18"/>
      <c r="AQ211" s="18"/>
    </row>
    <row r="212" spans="1:43" s="584" customFormat="1" ht="14">
      <c r="A212" s="597"/>
      <c r="D212" s="2185"/>
      <c r="E212" s="2185"/>
      <c r="F212" s="2185"/>
      <c r="G212" s="2185"/>
      <c r="H212" s="2185"/>
      <c r="I212" s="2185"/>
      <c r="J212" s="2185"/>
      <c r="K212" s="2185"/>
      <c r="L212" s="2185"/>
      <c r="M212" s="2185"/>
      <c r="N212" s="2185"/>
      <c r="O212" s="2185"/>
      <c r="P212" s="2185"/>
      <c r="Q212" s="2185"/>
      <c r="R212" s="2185"/>
      <c r="S212" s="2185"/>
      <c r="T212" s="2185"/>
      <c r="U212" s="2185"/>
      <c r="V212" s="2185"/>
      <c r="W212" s="2185"/>
      <c r="X212" s="2185"/>
      <c r="Y212" s="2185"/>
      <c r="Z212" s="2185"/>
      <c r="AA212" s="2185"/>
      <c r="AB212" s="2185"/>
      <c r="AC212" s="2185"/>
      <c r="AD212" s="2185"/>
      <c r="AE212" s="2185"/>
      <c r="AF212" s="2185"/>
      <c r="AG212" s="2185"/>
      <c r="AI212" s="18"/>
      <c r="AJ212" s="18"/>
      <c r="AK212" s="18"/>
      <c r="AL212" s="18"/>
      <c r="AM212" s="18"/>
      <c r="AN212" s="18"/>
      <c r="AO212" s="18"/>
      <c r="AP212" s="18"/>
      <c r="AQ212" s="18"/>
    </row>
    <row r="213" spans="1:43" s="584" customFormat="1" ht="14">
      <c r="A213" s="597"/>
      <c r="D213" s="2185"/>
      <c r="E213" s="2185"/>
      <c r="F213" s="2185"/>
      <c r="G213" s="2185"/>
      <c r="H213" s="2185"/>
      <c r="I213" s="2185"/>
      <c r="J213" s="2185"/>
      <c r="K213" s="2185"/>
      <c r="L213" s="2185"/>
      <c r="M213" s="2185"/>
      <c r="N213" s="2185"/>
      <c r="O213" s="2185"/>
      <c r="P213" s="2185"/>
      <c r="Q213" s="2185"/>
      <c r="R213" s="2185"/>
      <c r="S213" s="2185"/>
      <c r="T213" s="2185"/>
      <c r="U213" s="2185"/>
      <c r="V213" s="2185"/>
      <c r="W213" s="2185"/>
      <c r="X213" s="2185"/>
      <c r="Y213" s="2185"/>
      <c r="Z213" s="2185"/>
      <c r="AA213" s="2185"/>
      <c r="AB213" s="2185"/>
      <c r="AC213" s="2185"/>
      <c r="AD213" s="2185"/>
      <c r="AE213" s="2185"/>
      <c r="AF213" s="2185"/>
      <c r="AG213" s="2185"/>
      <c r="AI213" s="18"/>
      <c r="AJ213" s="18"/>
      <c r="AK213" s="18"/>
      <c r="AL213" s="18"/>
      <c r="AM213" s="18"/>
      <c r="AN213" s="18"/>
      <c r="AO213" s="18"/>
      <c r="AP213" s="18"/>
      <c r="AQ213" s="18"/>
    </row>
    <row r="214" spans="1:43" s="584" customFormat="1" ht="14">
      <c r="A214" s="597"/>
      <c r="D214" s="2185"/>
      <c r="E214" s="2185"/>
      <c r="F214" s="2185"/>
      <c r="G214" s="2185"/>
      <c r="H214" s="2185"/>
      <c r="I214" s="2185"/>
      <c r="J214" s="2185"/>
      <c r="K214" s="2185"/>
      <c r="L214" s="2185"/>
      <c r="M214" s="2185"/>
      <c r="N214" s="2185"/>
      <c r="O214" s="2185"/>
      <c r="P214" s="2185"/>
      <c r="Q214" s="2185"/>
      <c r="R214" s="2185"/>
      <c r="S214" s="2185"/>
      <c r="T214" s="2185"/>
      <c r="U214" s="2185"/>
      <c r="V214" s="2185"/>
      <c r="W214" s="2185"/>
      <c r="X214" s="2185"/>
      <c r="Y214" s="2185"/>
      <c r="Z214" s="2185"/>
      <c r="AA214" s="2185"/>
      <c r="AB214" s="2185"/>
      <c r="AC214" s="2185"/>
      <c r="AD214" s="2185"/>
      <c r="AE214" s="2185"/>
      <c r="AF214" s="2185"/>
      <c r="AG214" s="2185"/>
      <c r="AI214" s="18"/>
      <c r="AJ214" s="18"/>
      <c r="AK214" s="18"/>
      <c r="AL214" s="18"/>
      <c r="AM214" s="18"/>
      <c r="AN214" s="18"/>
      <c r="AO214" s="18"/>
      <c r="AP214" s="18"/>
      <c r="AQ214" s="18"/>
    </row>
    <row r="215" spans="1:43" s="584" customFormat="1" ht="14">
      <c r="A215" s="597"/>
      <c r="D215" s="2186" t="s">
        <v>3053</v>
      </c>
      <c r="E215" s="2186"/>
      <c r="F215" s="2186"/>
      <c r="G215" s="2186"/>
      <c r="H215" s="2186"/>
      <c r="I215" s="2186"/>
      <c r="J215" s="2186"/>
      <c r="K215" s="2186"/>
      <c r="L215" s="2186"/>
      <c r="M215" s="2186"/>
      <c r="N215" s="2186"/>
      <c r="O215" s="2186"/>
      <c r="P215" s="2186"/>
      <c r="Q215" s="2186"/>
      <c r="R215" s="2186"/>
      <c r="S215" s="2186"/>
      <c r="T215" s="2186"/>
      <c r="U215" s="2186"/>
      <c r="V215" s="2186"/>
      <c r="W215" s="2186"/>
      <c r="X215" s="2186"/>
      <c r="Y215" s="2186"/>
      <c r="Z215" s="2186"/>
      <c r="AA215" s="2186"/>
      <c r="AB215" s="2186"/>
      <c r="AC215" s="2186"/>
      <c r="AD215" s="2186"/>
      <c r="AE215" s="2186"/>
      <c r="AF215" s="2186"/>
      <c r="AG215" s="1552"/>
      <c r="AI215" s="18"/>
      <c r="AJ215" s="18"/>
      <c r="AK215" s="18"/>
      <c r="AL215" s="18"/>
      <c r="AM215" s="18"/>
      <c r="AN215" s="18"/>
      <c r="AO215" s="18"/>
      <c r="AP215" s="18"/>
      <c r="AQ215" s="18"/>
    </row>
    <row r="216" spans="1:43" s="584" customFormat="1" ht="14">
      <c r="A216" s="597"/>
      <c r="AI216" s="18"/>
      <c r="AJ216" s="18"/>
      <c r="AK216" s="18"/>
      <c r="AL216" s="18"/>
      <c r="AM216" s="18"/>
      <c r="AN216" s="18"/>
      <c r="AO216" s="18"/>
      <c r="AP216" s="18"/>
      <c r="AQ216" s="18"/>
    </row>
    <row r="217" spans="1:43" s="584" customFormat="1" ht="14">
      <c r="A217" s="597"/>
      <c r="D217" s="584" t="s">
        <v>1339</v>
      </c>
      <c r="E217" s="2144" t="s">
        <v>1361</v>
      </c>
      <c r="F217" s="2144"/>
      <c r="G217" s="2144"/>
      <c r="H217" s="2144"/>
      <c r="I217" s="2144"/>
      <c r="J217" s="2144"/>
      <c r="K217" s="2144"/>
      <c r="L217" s="2144"/>
      <c r="M217" s="2144"/>
      <c r="N217" s="2144"/>
      <c r="O217" s="2144"/>
      <c r="P217" s="2144"/>
      <c r="Q217" s="2144"/>
      <c r="R217" s="2144"/>
      <c r="S217" s="2144"/>
      <c r="T217" s="2144"/>
      <c r="U217" s="2144"/>
      <c r="V217" s="2144"/>
      <c r="W217" s="2144"/>
      <c r="X217" s="2144"/>
      <c r="Y217" s="2144"/>
      <c r="Z217" s="2144"/>
      <c r="AA217" s="2144"/>
      <c r="AB217" s="2144"/>
      <c r="AC217" s="2144"/>
      <c r="AD217" s="2144"/>
      <c r="AE217" s="2144"/>
      <c r="AF217" s="2144"/>
      <c r="AG217" s="2144"/>
      <c r="AI217" s="18"/>
      <c r="AJ217" s="18"/>
      <c r="AK217" s="18"/>
      <c r="AL217" s="18"/>
      <c r="AM217" s="18"/>
      <c r="AN217" s="18"/>
      <c r="AO217" s="18"/>
      <c r="AP217" s="18"/>
      <c r="AQ217" s="18"/>
    </row>
    <row r="218" spans="1:43" s="584" customFormat="1" ht="14">
      <c r="A218" s="597"/>
      <c r="E218" s="2144"/>
      <c r="F218" s="2144"/>
      <c r="G218" s="2144"/>
      <c r="H218" s="2144"/>
      <c r="I218" s="2144"/>
      <c r="J218" s="2144"/>
      <c r="K218" s="2144"/>
      <c r="L218" s="2144"/>
      <c r="M218" s="2144"/>
      <c r="N218" s="2144"/>
      <c r="O218" s="2144"/>
      <c r="P218" s="2144"/>
      <c r="Q218" s="2144"/>
      <c r="R218" s="2144"/>
      <c r="S218" s="2144"/>
      <c r="T218" s="2144"/>
      <c r="U218" s="2144"/>
      <c r="V218" s="2144"/>
      <c r="W218" s="2144"/>
      <c r="X218" s="2144"/>
      <c r="Y218" s="2144"/>
      <c r="Z218" s="2144"/>
      <c r="AA218" s="2144"/>
      <c r="AB218" s="2144"/>
      <c r="AC218" s="2144"/>
      <c r="AD218" s="2144"/>
      <c r="AE218" s="2144"/>
      <c r="AF218" s="2144"/>
      <c r="AG218" s="2144"/>
      <c r="AI218" s="18"/>
      <c r="AJ218" s="18"/>
      <c r="AK218" s="18"/>
      <c r="AL218" s="18"/>
      <c r="AM218" s="18"/>
      <c r="AN218" s="18"/>
      <c r="AO218" s="18"/>
      <c r="AP218" s="18"/>
      <c r="AQ218" s="18"/>
    </row>
    <row r="219" spans="1:43" s="584" customFormat="1" ht="14">
      <c r="A219" s="597"/>
      <c r="E219" s="603"/>
      <c r="F219" s="603"/>
      <c r="G219" s="603"/>
      <c r="H219" s="603"/>
      <c r="I219" s="603"/>
      <c r="J219" s="603"/>
      <c r="K219" s="603"/>
      <c r="L219" s="603"/>
      <c r="M219" s="603"/>
      <c r="N219" s="603"/>
      <c r="O219" s="603"/>
      <c r="P219" s="603"/>
      <c r="Q219" s="603"/>
      <c r="R219" s="603"/>
      <c r="S219" s="603"/>
      <c r="T219" s="603"/>
      <c r="U219" s="603"/>
      <c r="V219" s="603"/>
      <c r="W219" s="603"/>
      <c r="X219" s="603"/>
      <c r="Y219" s="603"/>
      <c r="Z219" s="603"/>
      <c r="AA219" s="603"/>
      <c r="AB219" s="603"/>
      <c r="AC219" s="603"/>
      <c r="AD219" s="603"/>
      <c r="AE219" s="603"/>
      <c r="AF219" s="603"/>
      <c r="AG219" s="603"/>
      <c r="AI219" s="18"/>
      <c r="AJ219" s="18"/>
      <c r="AK219" s="18"/>
      <c r="AL219" s="18"/>
      <c r="AM219" s="18"/>
      <c r="AN219" s="18"/>
      <c r="AO219" s="18"/>
      <c r="AP219" s="18"/>
      <c r="AQ219" s="18"/>
    </row>
    <row r="220" spans="1:43" s="584" customFormat="1" ht="14">
      <c r="A220" s="597"/>
      <c r="D220" s="584" t="s">
        <v>1339</v>
      </c>
      <c r="E220" s="2144" t="s">
        <v>1360</v>
      </c>
      <c r="F220" s="2144"/>
      <c r="G220" s="2144"/>
      <c r="H220" s="2144"/>
      <c r="I220" s="2144"/>
      <c r="J220" s="2144"/>
      <c r="K220" s="2144"/>
      <c r="L220" s="2144"/>
      <c r="M220" s="2144"/>
      <c r="N220" s="2144"/>
      <c r="O220" s="2144"/>
      <c r="P220" s="2144"/>
      <c r="Q220" s="2144"/>
      <c r="R220" s="2144"/>
      <c r="S220" s="2144"/>
      <c r="T220" s="2144"/>
      <c r="U220" s="2144"/>
      <c r="V220" s="2144"/>
      <c r="W220" s="2144"/>
      <c r="X220" s="2144"/>
      <c r="Y220" s="2144"/>
      <c r="Z220" s="2144"/>
      <c r="AA220" s="2144"/>
      <c r="AB220" s="2144"/>
      <c r="AC220" s="2144"/>
      <c r="AD220" s="2144"/>
      <c r="AE220" s="2144"/>
      <c r="AF220" s="2144"/>
      <c r="AG220" s="2144"/>
      <c r="AI220" s="18"/>
      <c r="AJ220" s="18"/>
      <c r="AK220" s="18"/>
      <c r="AL220" s="18"/>
      <c r="AM220" s="18"/>
      <c r="AN220" s="18"/>
      <c r="AO220" s="18"/>
      <c r="AP220" s="18"/>
      <c r="AQ220" s="18"/>
    </row>
    <row r="221" spans="1:43" s="584" customFormat="1" ht="14">
      <c r="A221" s="597"/>
      <c r="E221" s="2144"/>
      <c r="F221" s="2144"/>
      <c r="G221" s="2144"/>
      <c r="H221" s="2144"/>
      <c r="I221" s="2144"/>
      <c r="J221" s="2144"/>
      <c r="K221" s="2144"/>
      <c r="L221" s="2144"/>
      <c r="M221" s="2144"/>
      <c r="N221" s="2144"/>
      <c r="O221" s="2144"/>
      <c r="P221" s="2144"/>
      <c r="Q221" s="2144"/>
      <c r="R221" s="2144"/>
      <c r="S221" s="2144"/>
      <c r="T221" s="2144"/>
      <c r="U221" s="2144"/>
      <c r="V221" s="2144"/>
      <c r="W221" s="2144"/>
      <c r="X221" s="2144"/>
      <c r="Y221" s="2144"/>
      <c r="Z221" s="2144"/>
      <c r="AA221" s="2144"/>
      <c r="AB221" s="2144"/>
      <c r="AC221" s="2144"/>
      <c r="AD221" s="2144"/>
      <c r="AE221" s="2144"/>
      <c r="AF221" s="2144"/>
      <c r="AG221" s="2144"/>
      <c r="AI221" s="18"/>
      <c r="AJ221" s="18"/>
      <c r="AK221" s="18"/>
      <c r="AL221" s="18"/>
      <c r="AM221" s="18"/>
      <c r="AN221" s="18"/>
      <c r="AO221" s="18"/>
      <c r="AP221" s="18"/>
      <c r="AQ221" s="18"/>
    </row>
    <row r="222" spans="1:43" s="584" customFormat="1" ht="14">
      <c r="A222" s="597"/>
      <c r="AI222" s="18"/>
      <c r="AJ222" s="18"/>
      <c r="AK222" s="18"/>
      <c r="AL222" s="18"/>
      <c r="AM222" s="18"/>
      <c r="AN222" s="18"/>
      <c r="AO222" s="18"/>
      <c r="AP222" s="18"/>
      <c r="AQ222" s="18"/>
    </row>
    <row r="223" spans="1:43" s="584" customFormat="1" ht="14">
      <c r="A223" s="597"/>
      <c r="D223" s="584" t="s">
        <v>1339</v>
      </c>
      <c r="E223" s="2144" t="s">
        <v>1362</v>
      </c>
      <c r="F223" s="2144"/>
      <c r="G223" s="2144"/>
      <c r="H223" s="2144"/>
      <c r="I223" s="2144"/>
      <c r="J223" s="2144"/>
      <c r="K223" s="2144"/>
      <c r="L223" s="2144"/>
      <c r="M223" s="2144"/>
      <c r="N223" s="2144"/>
      <c r="O223" s="2144"/>
      <c r="P223" s="2144"/>
      <c r="Q223" s="2144"/>
      <c r="R223" s="2144"/>
      <c r="S223" s="2144"/>
      <c r="T223" s="2144"/>
      <c r="U223" s="2144"/>
      <c r="V223" s="2144"/>
      <c r="W223" s="2144"/>
      <c r="X223" s="2144"/>
      <c r="Y223" s="2144"/>
      <c r="Z223" s="2144"/>
      <c r="AA223" s="2144"/>
      <c r="AB223" s="2144"/>
      <c r="AC223" s="2144"/>
      <c r="AD223" s="2144"/>
      <c r="AE223" s="2144"/>
      <c r="AF223" s="2144"/>
      <c r="AG223" s="2144"/>
      <c r="AI223" s="18"/>
      <c r="AJ223" s="18"/>
      <c r="AK223" s="18"/>
      <c r="AL223" s="18"/>
      <c r="AM223" s="18"/>
      <c r="AN223" s="18"/>
      <c r="AO223" s="18"/>
      <c r="AP223" s="18"/>
      <c r="AQ223" s="18"/>
    </row>
    <row r="224" spans="1:43" s="584" customFormat="1" ht="14">
      <c r="A224" s="597"/>
      <c r="E224" s="1552"/>
      <c r="F224" s="1552"/>
      <c r="G224" s="1552"/>
      <c r="H224" s="1552"/>
      <c r="I224" s="1552"/>
      <c r="J224" s="1552"/>
      <c r="K224" s="1552"/>
      <c r="L224" s="1552"/>
      <c r="M224" s="1552"/>
      <c r="N224" s="1552"/>
      <c r="O224" s="1552"/>
      <c r="P224" s="1552"/>
      <c r="Q224" s="1552"/>
      <c r="R224" s="1552"/>
      <c r="S224" s="1552"/>
      <c r="T224" s="1552"/>
      <c r="U224" s="1552"/>
      <c r="V224" s="1552"/>
      <c r="W224" s="1552"/>
      <c r="X224" s="1552"/>
      <c r="Y224" s="1552"/>
      <c r="Z224" s="1552"/>
      <c r="AA224" s="1552"/>
      <c r="AB224" s="1552"/>
      <c r="AC224" s="1552"/>
      <c r="AD224" s="1552"/>
      <c r="AE224" s="1552"/>
      <c r="AF224" s="1552"/>
      <c r="AG224" s="1552"/>
      <c r="AI224" s="18"/>
      <c r="AJ224" s="18"/>
      <c r="AK224" s="18"/>
      <c r="AL224" s="18"/>
      <c r="AM224" s="18"/>
      <c r="AN224" s="18"/>
      <c r="AO224" s="18"/>
      <c r="AP224" s="18"/>
      <c r="AQ224" s="18"/>
    </row>
    <row r="225" spans="1:60" s="584" customFormat="1" ht="14">
      <c r="A225" s="597"/>
      <c r="D225" s="2185" t="s">
        <v>3061</v>
      </c>
      <c r="E225" s="2185"/>
      <c r="F225" s="2185"/>
      <c r="G225" s="2185"/>
      <c r="H225" s="2185"/>
      <c r="I225" s="2185"/>
      <c r="J225" s="2185"/>
      <c r="K225" s="2185"/>
      <c r="L225" s="2185"/>
      <c r="M225" s="2185"/>
      <c r="N225" s="2185"/>
      <c r="O225" s="2185"/>
      <c r="P225" s="2185"/>
      <c r="Q225" s="2185"/>
      <c r="R225" s="2185"/>
      <c r="S225" s="2185"/>
      <c r="T225" s="2185"/>
      <c r="U225" s="2185"/>
      <c r="V225" s="2185"/>
      <c r="W225" s="2185"/>
      <c r="X225" s="2185"/>
      <c r="Y225" s="2185"/>
      <c r="Z225" s="2185"/>
      <c r="AA225" s="2185"/>
      <c r="AB225" s="2185"/>
      <c r="AC225" s="2185"/>
      <c r="AD225" s="2185"/>
      <c r="AE225" s="2185"/>
      <c r="AF225" s="2185"/>
      <c r="AG225" s="2185"/>
      <c r="AI225" s="18"/>
      <c r="AJ225" s="18"/>
      <c r="AK225" s="18"/>
      <c r="AL225" s="18"/>
      <c r="AM225" s="18"/>
      <c r="AN225" s="18"/>
      <c r="AO225" s="18"/>
      <c r="AP225" s="18"/>
      <c r="AQ225" s="18"/>
    </row>
    <row r="226" spans="1:60" s="584" customFormat="1" ht="14">
      <c r="A226" s="597"/>
      <c r="D226" s="2185"/>
      <c r="E226" s="2185"/>
      <c r="F226" s="2185"/>
      <c r="G226" s="2185"/>
      <c r="H226" s="2185"/>
      <c r="I226" s="2185"/>
      <c r="J226" s="2185"/>
      <c r="K226" s="2185"/>
      <c r="L226" s="2185"/>
      <c r="M226" s="2185"/>
      <c r="N226" s="2185"/>
      <c r="O226" s="2185"/>
      <c r="P226" s="2185"/>
      <c r="Q226" s="2185"/>
      <c r="R226" s="2185"/>
      <c r="S226" s="2185"/>
      <c r="T226" s="2185"/>
      <c r="U226" s="2185"/>
      <c r="V226" s="2185"/>
      <c r="W226" s="2185"/>
      <c r="X226" s="2185"/>
      <c r="Y226" s="2185"/>
      <c r="Z226" s="2185"/>
      <c r="AA226" s="2185"/>
      <c r="AB226" s="2185"/>
      <c r="AC226" s="2185"/>
      <c r="AD226" s="2185"/>
      <c r="AE226" s="2185"/>
      <c r="AF226" s="2185"/>
      <c r="AG226" s="2185"/>
      <c r="AI226" s="18"/>
      <c r="AJ226" s="18"/>
      <c r="AK226" s="18"/>
      <c r="AL226" s="18"/>
      <c r="AM226" s="18"/>
      <c r="AN226" s="18"/>
      <c r="AO226" s="18"/>
      <c r="AP226" s="18"/>
      <c r="AQ226" s="18"/>
    </row>
    <row r="227" spans="1:60" s="584" customFormat="1" ht="14">
      <c r="A227" s="597"/>
      <c r="D227" s="2185"/>
      <c r="E227" s="2185"/>
      <c r="F227" s="2185"/>
      <c r="G227" s="2185"/>
      <c r="H227" s="2185"/>
      <c r="I227" s="2185"/>
      <c r="J227" s="2185"/>
      <c r="K227" s="2185"/>
      <c r="L227" s="2185"/>
      <c r="M227" s="2185"/>
      <c r="N227" s="2185"/>
      <c r="O227" s="2185"/>
      <c r="P227" s="2185"/>
      <c r="Q227" s="2185"/>
      <c r="R227" s="2185"/>
      <c r="S227" s="2185"/>
      <c r="T227" s="2185"/>
      <c r="U227" s="2185"/>
      <c r="V227" s="2185"/>
      <c r="W227" s="2185"/>
      <c r="X227" s="2185"/>
      <c r="Y227" s="2185"/>
      <c r="Z227" s="2185"/>
      <c r="AA227" s="2185"/>
      <c r="AB227" s="2185"/>
      <c r="AC227" s="2185"/>
      <c r="AD227" s="2185"/>
      <c r="AE227" s="2185"/>
      <c r="AF227" s="2185"/>
      <c r="AG227" s="2185"/>
      <c r="AI227" s="18"/>
      <c r="AJ227" s="18"/>
      <c r="AK227" s="18"/>
      <c r="AL227" s="18"/>
      <c r="AM227" s="18"/>
      <c r="AN227" s="18"/>
      <c r="AO227" s="18"/>
      <c r="AP227" s="18"/>
      <c r="AQ227" s="18"/>
    </row>
    <row r="228" spans="1:60" s="584" customFormat="1" ht="14">
      <c r="A228" s="597"/>
      <c r="D228" s="2185"/>
      <c r="E228" s="2185"/>
      <c r="F228" s="2185"/>
      <c r="G228" s="2185"/>
      <c r="H228" s="2185"/>
      <c r="I228" s="2185"/>
      <c r="J228" s="2185"/>
      <c r="K228" s="2185"/>
      <c r="L228" s="2185"/>
      <c r="M228" s="2185"/>
      <c r="N228" s="2185"/>
      <c r="O228" s="2185"/>
      <c r="P228" s="2185"/>
      <c r="Q228" s="2185"/>
      <c r="R228" s="2185"/>
      <c r="S228" s="2185"/>
      <c r="T228" s="2185"/>
      <c r="U228" s="2185"/>
      <c r="V228" s="2185"/>
      <c r="W228" s="2185"/>
      <c r="X228" s="2185"/>
      <c r="Y228" s="2185"/>
      <c r="Z228" s="2185"/>
      <c r="AA228" s="2185"/>
      <c r="AB228" s="2185"/>
      <c r="AC228" s="2185"/>
      <c r="AD228" s="2185"/>
      <c r="AE228" s="2185"/>
      <c r="AF228" s="2185"/>
      <c r="AG228" s="2185"/>
      <c r="AI228" s="18"/>
      <c r="AJ228" s="18"/>
      <c r="AK228" s="18"/>
      <c r="AL228" s="18"/>
      <c r="AM228" s="18"/>
      <c r="AN228" s="18"/>
      <c r="AO228" s="18"/>
      <c r="AP228" s="18"/>
      <c r="AQ228" s="18"/>
    </row>
    <row r="229" spans="1:60" s="584" customFormat="1" ht="42.75" customHeight="1">
      <c r="A229" s="597"/>
      <c r="D229" s="1937" t="s">
        <v>2874</v>
      </c>
      <c r="E229" s="1938"/>
      <c r="F229" s="1938"/>
      <c r="G229" s="1938"/>
      <c r="H229" s="1938"/>
      <c r="I229" s="1938"/>
      <c r="J229" s="1938"/>
      <c r="K229" s="1938"/>
      <c r="L229" s="1938"/>
      <c r="M229" s="1938"/>
      <c r="N229" s="1938"/>
      <c r="O229" s="1938"/>
      <c r="P229" s="1938"/>
      <c r="Q229" s="1938"/>
      <c r="R229" s="1938"/>
      <c r="S229" s="1938"/>
      <c r="T229" s="1938"/>
      <c r="U229" s="1938"/>
      <c r="V229" s="1938"/>
      <c r="W229" s="1938"/>
      <c r="X229" s="1938"/>
      <c r="Y229" s="1938"/>
      <c r="Z229" s="1938"/>
      <c r="AA229" s="1938"/>
      <c r="AB229" s="1938"/>
      <c r="AC229" s="1938"/>
      <c r="AD229" s="1938"/>
      <c r="AE229" s="1938"/>
      <c r="AF229" s="1938"/>
      <c r="AG229" s="1938"/>
      <c r="AI229" s="18"/>
      <c r="AJ229" s="18"/>
      <c r="AK229" s="18"/>
      <c r="AL229" s="18"/>
      <c r="AM229" s="18"/>
      <c r="AN229" s="18"/>
      <c r="AO229" s="18"/>
      <c r="AP229" s="18"/>
      <c r="AQ229" s="18"/>
    </row>
    <row r="230" spans="1:60" s="584" customFormat="1" ht="14">
      <c r="A230" s="597"/>
      <c r="AI230" s="18"/>
      <c r="AJ230" s="18"/>
      <c r="AK230" s="18"/>
      <c r="AL230" s="18"/>
      <c r="AM230" s="18"/>
      <c r="AN230" s="18"/>
      <c r="AO230" s="18"/>
      <c r="AP230" s="18"/>
      <c r="AQ230" s="18"/>
    </row>
    <row r="231" spans="1:60" s="584" customFormat="1" ht="14">
      <c r="A231" s="597"/>
      <c r="D231" s="582" t="s">
        <v>3052</v>
      </c>
      <c r="E231" s="903"/>
      <c r="F231" s="903"/>
      <c r="G231" s="903"/>
      <c r="H231" s="903"/>
      <c r="I231" s="903"/>
      <c r="J231" s="903"/>
      <c r="K231" s="903"/>
      <c r="L231" s="903"/>
      <c r="M231" s="903"/>
      <c r="N231" s="903"/>
      <c r="O231" s="903"/>
      <c r="P231" s="903"/>
      <c r="Q231" s="903"/>
      <c r="R231" s="903"/>
      <c r="S231" s="903"/>
      <c r="T231" s="903"/>
      <c r="U231" s="903"/>
      <c r="V231" s="903"/>
      <c r="W231" s="903"/>
      <c r="X231" s="903"/>
      <c r="Y231" s="903"/>
      <c r="Z231" s="903"/>
      <c r="AA231" s="903"/>
      <c r="AB231" s="903"/>
      <c r="AC231" s="903"/>
      <c r="AD231" s="903"/>
      <c r="AE231" s="903"/>
      <c r="AF231" s="903"/>
      <c r="AG231" s="903"/>
      <c r="AI231" s="18"/>
      <c r="AJ231" s="18"/>
      <c r="AK231" s="18"/>
      <c r="AL231" s="18"/>
      <c r="AM231" s="18"/>
      <c r="AN231" s="18"/>
      <c r="AO231" s="18"/>
      <c r="AP231" s="18"/>
      <c r="AQ231" s="18"/>
    </row>
    <row r="232" spans="1:60" s="584" customFormat="1" ht="14">
      <c r="A232" s="597"/>
      <c r="D232" s="903"/>
      <c r="E232" s="903"/>
      <c r="F232" s="903"/>
      <c r="G232" s="903"/>
      <c r="H232" s="903"/>
      <c r="I232" s="903"/>
      <c r="J232" s="903"/>
      <c r="K232" s="903"/>
      <c r="L232" s="903"/>
      <c r="M232" s="903"/>
      <c r="N232" s="903"/>
      <c r="O232" s="903"/>
      <c r="P232" s="903"/>
      <c r="Q232" s="903"/>
      <c r="R232" s="903"/>
      <c r="S232" s="903"/>
      <c r="T232" s="903"/>
      <c r="U232" s="903"/>
      <c r="V232" s="903"/>
      <c r="W232" s="903"/>
      <c r="X232" s="903"/>
      <c r="Y232" s="903"/>
      <c r="Z232" s="903"/>
      <c r="AA232" s="903"/>
      <c r="AB232" s="903"/>
      <c r="AC232" s="903"/>
      <c r="AD232" s="903"/>
      <c r="AE232" s="903"/>
      <c r="AF232" s="903"/>
      <c r="AG232" s="903"/>
      <c r="AI232" s="18"/>
      <c r="AJ232" s="18"/>
      <c r="AK232" s="18"/>
      <c r="AL232" s="18"/>
      <c r="AM232" s="18"/>
      <c r="AN232" s="18"/>
      <c r="AO232" s="18"/>
      <c r="AP232" s="18"/>
      <c r="AQ232" s="18"/>
    </row>
    <row r="233" spans="1:60" s="584" customFormat="1" ht="14.25" customHeight="1">
      <c r="A233" s="597"/>
      <c r="D233" s="908" t="s">
        <v>2785</v>
      </c>
      <c r="E233" s="903"/>
      <c r="F233" s="903"/>
      <c r="G233" s="903"/>
      <c r="H233" s="903"/>
      <c r="I233" s="903"/>
      <c r="J233" s="903"/>
      <c r="K233" s="903"/>
      <c r="L233" s="903"/>
      <c r="M233" s="903"/>
      <c r="N233" s="903"/>
      <c r="O233" s="903"/>
      <c r="P233" s="903"/>
      <c r="Q233" s="903"/>
      <c r="R233" s="903"/>
      <c r="S233" s="903"/>
      <c r="T233" s="903"/>
      <c r="U233" s="903"/>
      <c r="V233" s="903"/>
      <c r="W233" s="903"/>
      <c r="X233" s="903"/>
      <c r="Y233" s="903"/>
      <c r="Z233" s="903"/>
      <c r="AA233" s="903"/>
      <c r="AB233" s="903"/>
      <c r="AC233" s="903"/>
      <c r="AD233" s="903"/>
      <c r="AE233" s="903"/>
      <c r="AF233" s="903"/>
      <c r="AG233" s="903"/>
      <c r="AI233" s="18"/>
      <c r="AJ233" s="18"/>
      <c r="AK233" s="18"/>
      <c r="AL233" s="18"/>
      <c r="AM233" s="18"/>
      <c r="AN233" s="18"/>
      <c r="AO233" s="18"/>
      <c r="AP233" s="18"/>
      <c r="AQ233" s="18"/>
    </row>
    <row r="234" spans="1:60" s="584" customFormat="1" ht="14">
      <c r="A234" s="597"/>
      <c r="AI234" s="18"/>
      <c r="AJ234" s="18"/>
      <c r="AK234" s="18"/>
      <c r="AL234" s="18"/>
      <c r="AM234" s="18"/>
      <c r="AN234" s="18"/>
      <c r="AO234" s="18"/>
      <c r="AP234" s="18"/>
      <c r="AQ234" s="18"/>
    </row>
    <row r="235" spans="1:60" s="584" customFormat="1" ht="14">
      <c r="A235" s="597"/>
      <c r="D235" s="582" t="s">
        <v>2927</v>
      </c>
      <c r="AI235" s="18"/>
      <c r="AJ235" s="18"/>
      <c r="AK235" s="18"/>
      <c r="AL235" s="18"/>
      <c r="AM235" s="18"/>
      <c r="AN235" s="18"/>
      <c r="AO235" s="18"/>
      <c r="AP235" s="18"/>
      <c r="AQ235" s="18"/>
    </row>
    <row r="236" spans="1:60" s="584" customFormat="1" ht="14">
      <c r="A236" s="597"/>
      <c r="AI236" s="18"/>
      <c r="AJ236" s="18"/>
      <c r="AK236" s="18"/>
      <c r="AL236" s="18"/>
      <c r="AM236" s="18"/>
      <c r="AN236" s="18"/>
      <c r="AO236" s="18"/>
      <c r="AP236" s="18"/>
      <c r="AQ236" s="18"/>
    </row>
    <row r="237" spans="1:60" s="584" customFormat="1" ht="14">
      <c r="A237" s="597"/>
      <c r="D237" s="582" t="s">
        <v>1399</v>
      </c>
      <c r="E237" s="774"/>
      <c r="F237" s="774"/>
      <c r="AI237" s="18"/>
      <c r="AJ237" s="18"/>
      <c r="AK237" s="18"/>
      <c r="AL237" s="18"/>
      <c r="AM237" s="18"/>
      <c r="AN237" s="18"/>
      <c r="AO237" s="18"/>
      <c r="AP237" s="18"/>
      <c r="AQ237" s="18"/>
    </row>
    <row r="238" spans="1:60" s="584" customFormat="1" ht="14">
      <c r="A238" s="597"/>
      <c r="AI238" s="18"/>
      <c r="AJ238" s="18"/>
      <c r="AK238" s="18"/>
      <c r="AL238" s="18"/>
      <c r="AM238" s="18"/>
      <c r="AN238" s="18"/>
      <c r="AO238" s="18"/>
      <c r="AP238" s="18"/>
      <c r="AQ238" s="18"/>
    </row>
    <row r="239" spans="1:60" s="584" customFormat="1" ht="14">
      <c r="A239" s="597"/>
      <c r="D239" s="774" t="s">
        <v>1400</v>
      </c>
      <c r="AI239" s="18"/>
      <c r="AJ239" s="18"/>
      <c r="AK239" s="18"/>
      <c r="AL239" s="18"/>
      <c r="AM239" s="18"/>
      <c r="AN239" s="18"/>
      <c r="AO239" s="18"/>
      <c r="AP239" s="18"/>
      <c r="AQ239" s="18"/>
    </row>
    <row r="240" spans="1:60" s="584" customFormat="1" ht="14.5" thickBot="1">
      <c r="A240" s="597"/>
      <c r="AI240" s="1590" t="s">
        <v>1056</v>
      </c>
      <c r="AJ240" s="1590"/>
      <c r="AK240" s="1590"/>
      <c r="AL240" s="1590"/>
      <c r="AM240" s="1590"/>
      <c r="AN240" s="1590"/>
      <c r="AO240" s="1590"/>
      <c r="AP240" s="1590"/>
      <c r="AQ240" s="607"/>
      <c r="AR240" s="1590" t="s">
        <v>1057</v>
      </c>
      <c r="AS240" s="1590"/>
      <c r="AT240" s="1590"/>
      <c r="AU240" s="1590"/>
      <c r="AV240" s="1590"/>
      <c r="AW240" s="1590"/>
      <c r="AX240" s="1590"/>
      <c r="AY240" s="1590"/>
      <c r="AZ240" s="607"/>
      <c r="BA240" s="1590" t="s">
        <v>1058</v>
      </c>
      <c r="BB240" s="1590"/>
      <c r="BC240" s="1590"/>
      <c r="BD240" s="1590"/>
      <c r="BE240" s="1590"/>
      <c r="BF240" s="1590"/>
      <c r="BG240" s="1590"/>
      <c r="BH240" s="1590"/>
    </row>
    <row r="241" spans="1:60" s="584" customFormat="1" ht="15" customHeight="1" thickBot="1">
      <c r="A241" s="597"/>
      <c r="D241" s="1877" t="s">
        <v>20</v>
      </c>
      <c r="E241" s="1878"/>
      <c r="F241" s="1878"/>
      <c r="G241" s="1878"/>
      <c r="H241" s="1878"/>
      <c r="I241" s="1881"/>
      <c r="J241" s="1921" t="s">
        <v>2</v>
      </c>
      <c r="K241" s="1921"/>
      <c r="L241" s="1921"/>
      <c r="M241" s="1921"/>
      <c r="N241" s="1921"/>
      <c r="O241" s="1921"/>
      <c r="P241" s="1921"/>
      <c r="Q241" s="1921"/>
      <c r="R241" s="1921"/>
      <c r="S241" s="1921"/>
      <c r="T241" s="1921"/>
      <c r="U241" s="1921"/>
      <c r="V241" s="1921"/>
      <c r="W241" s="1921"/>
      <c r="X241" s="1921"/>
      <c r="Y241" s="1921"/>
      <c r="Z241" s="1921"/>
      <c r="AA241" s="1921"/>
      <c r="AB241" s="1921"/>
      <c r="AC241" s="1921"/>
      <c r="AD241" s="1921"/>
      <c r="AE241" s="1921"/>
      <c r="AF241" s="1921"/>
      <c r="AG241" s="1921"/>
      <c r="AI241" s="18"/>
      <c r="AJ241" s="18"/>
      <c r="AK241" s="18"/>
      <c r="AL241" s="18"/>
      <c r="AM241" s="18"/>
      <c r="AN241" s="18"/>
      <c r="AO241" s="18"/>
      <c r="AP241" s="18"/>
      <c r="AQ241" s="18"/>
    </row>
    <row r="242" spans="1:60" s="584" customFormat="1" ht="32.5" thickTop="1" thickBot="1">
      <c r="A242" s="597"/>
      <c r="D242" s="1879"/>
      <c r="E242" s="1880"/>
      <c r="F242" s="1880"/>
      <c r="G242" s="1880"/>
      <c r="H242" s="1880"/>
      <c r="I242" s="1882"/>
      <c r="J242" s="1851" t="s">
        <v>441</v>
      </c>
      <c r="K242" s="1851"/>
      <c r="L242" s="1851"/>
      <c r="M242" s="1851" t="s">
        <v>21</v>
      </c>
      <c r="N242" s="1851"/>
      <c r="O242" s="1851"/>
      <c r="P242" s="1851" t="s">
        <v>442</v>
      </c>
      <c r="Q242" s="1851"/>
      <c r="R242" s="1851"/>
      <c r="S242" s="1851" t="s">
        <v>22</v>
      </c>
      <c r="T242" s="1851"/>
      <c r="U242" s="1851"/>
      <c r="V242" s="1851" t="s">
        <v>23</v>
      </c>
      <c r="W242" s="1851"/>
      <c r="X242" s="1851"/>
      <c r="Y242" s="1851" t="s">
        <v>443</v>
      </c>
      <c r="Z242" s="1851"/>
      <c r="AA242" s="1851"/>
      <c r="AB242" s="1851" t="s">
        <v>24</v>
      </c>
      <c r="AC242" s="1851"/>
      <c r="AD242" s="1851"/>
      <c r="AE242" s="1851" t="s">
        <v>14</v>
      </c>
      <c r="AF242" s="1851"/>
      <c r="AG242" s="1851"/>
      <c r="AI242" s="764" t="s">
        <v>441</v>
      </c>
      <c r="AJ242" s="765" t="s">
        <v>21</v>
      </c>
      <c r="AK242" s="765" t="s">
        <v>442</v>
      </c>
      <c r="AL242" s="764" t="s">
        <v>22</v>
      </c>
      <c r="AM242" s="765" t="s">
        <v>23</v>
      </c>
      <c r="AN242" s="765" t="s">
        <v>443</v>
      </c>
      <c r="AO242" s="765" t="s">
        <v>24</v>
      </c>
      <c r="AP242" s="765" t="s">
        <v>14</v>
      </c>
      <c r="AQ242" s="18"/>
      <c r="AR242" s="764" t="s">
        <v>441</v>
      </c>
      <c r="AS242" s="765" t="s">
        <v>21</v>
      </c>
      <c r="AT242" s="765" t="s">
        <v>442</v>
      </c>
      <c r="AU242" s="764" t="s">
        <v>22</v>
      </c>
      <c r="AV242" s="765" t="s">
        <v>23</v>
      </c>
      <c r="AW242" s="765" t="s">
        <v>443</v>
      </c>
      <c r="AX242" s="765" t="s">
        <v>24</v>
      </c>
      <c r="AY242" s="765" t="s">
        <v>14</v>
      </c>
      <c r="BA242" s="764" t="s">
        <v>441</v>
      </c>
      <c r="BB242" s="765" t="s">
        <v>21</v>
      </c>
      <c r="BC242" s="765" t="s">
        <v>442</v>
      </c>
      <c r="BD242" s="764" t="s">
        <v>22</v>
      </c>
      <c r="BE242" s="765" t="s">
        <v>23</v>
      </c>
      <c r="BF242" s="765" t="s">
        <v>443</v>
      </c>
      <c r="BG242" s="765" t="s">
        <v>24</v>
      </c>
      <c r="BH242" s="765" t="s">
        <v>14</v>
      </c>
    </row>
    <row r="243" spans="1:60" s="584" customFormat="1" ht="14.5" thickBot="1">
      <c r="A243" s="597"/>
      <c r="D243" s="1966" t="s">
        <v>25</v>
      </c>
      <c r="E243" s="1966"/>
      <c r="F243" s="1966"/>
      <c r="G243" s="1966"/>
      <c r="H243" s="1966"/>
      <c r="I243" s="1966"/>
      <c r="J243" s="1966"/>
      <c r="K243" s="1966"/>
      <c r="L243" s="1966"/>
      <c r="M243" s="1966"/>
      <c r="N243" s="1966"/>
      <c r="O243" s="1966"/>
      <c r="P243" s="1966"/>
      <c r="Q243" s="1966"/>
      <c r="R243" s="1966"/>
      <c r="S243" s="1966"/>
      <c r="T243" s="1966"/>
      <c r="U243" s="1966"/>
      <c r="V243" s="1966"/>
      <c r="W243" s="1966"/>
      <c r="X243" s="1966"/>
      <c r="Y243" s="1966"/>
      <c r="Z243" s="1966"/>
      <c r="AA243" s="1966"/>
      <c r="AB243" s="1966"/>
      <c r="AC243" s="1966"/>
      <c r="AD243" s="1966"/>
      <c r="AE243" s="1966"/>
      <c r="AF243" s="1966"/>
      <c r="AG243" s="1966"/>
      <c r="AH243" s="605"/>
      <c r="AI243" s="612"/>
      <c r="AJ243" s="613"/>
      <c r="AK243" s="613"/>
      <c r="AL243" s="613"/>
      <c r="AM243" s="613"/>
      <c r="AN243" s="613"/>
      <c r="AO243" s="613"/>
      <c r="AP243" s="618"/>
      <c r="AQ243" s="18"/>
      <c r="AR243" s="612"/>
      <c r="AS243" s="613"/>
      <c r="AT243" s="613"/>
      <c r="AU243" s="613"/>
      <c r="AV243" s="613"/>
      <c r="AW243" s="613"/>
      <c r="AX243" s="613"/>
      <c r="AY243" s="618"/>
      <c r="BA243" s="612"/>
      <c r="BB243" s="613"/>
      <c r="BC243" s="613"/>
      <c r="BD243" s="613"/>
      <c r="BE243" s="613"/>
      <c r="BF243" s="613"/>
      <c r="BG243" s="613"/>
      <c r="BH243" s="618"/>
    </row>
    <row r="244" spans="1:60" s="584" customFormat="1" ht="21.75" customHeight="1">
      <c r="A244" s="597"/>
      <c r="D244" s="1922" t="s">
        <v>26</v>
      </c>
      <c r="E244" s="1922"/>
      <c r="F244" s="1922"/>
      <c r="G244" s="1922"/>
      <c r="H244" s="1922"/>
      <c r="I244" s="1922"/>
      <c r="J244" s="1818">
        <v>39396</v>
      </c>
      <c r="K244" s="1818"/>
      <c r="L244" s="1818"/>
      <c r="M244" s="1830">
        <v>0</v>
      </c>
      <c r="N244" s="1830"/>
      <c r="O244" s="1830"/>
      <c r="P244" s="1830">
        <v>0</v>
      </c>
      <c r="Q244" s="1830"/>
      <c r="R244" s="1830"/>
      <c r="S244" s="1830">
        <v>2211884</v>
      </c>
      <c r="T244" s="1830"/>
      <c r="U244" s="1830"/>
      <c r="V244" s="1830">
        <v>0</v>
      </c>
      <c r="W244" s="1830"/>
      <c r="X244" s="1830"/>
      <c r="Y244" s="1830">
        <v>0</v>
      </c>
      <c r="Z244" s="1830"/>
      <c r="AA244" s="1830"/>
      <c r="AB244" s="1830">
        <v>0</v>
      </c>
      <c r="AC244" s="1830"/>
      <c r="AD244" s="1830"/>
      <c r="AE244" s="1899">
        <f>SUM(J244:AD244)</f>
        <v>2251280</v>
      </c>
      <c r="AF244" s="1899"/>
      <c r="AG244" s="1899"/>
      <c r="AI244" s="606"/>
      <c r="AJ244" s="607"/>
      <c r="AK244" s="607"/>
      <c r="AL244" s="607"/>
      <c r="AM244" s="607"/>
      <c r="AN244" s="607"/>
      <c r="AO244" s="607"/>
      <c r="AP244" s="608">
        <f>SUM(J244:AD244)-AE244</f>
        <v>0</v>
      </c>
      <c r="AQ244" s="18"/>
      <c r="AR244" s="621">
        <f>J244-J273</f>
        <v>0</v>
      </c>
      <c r="AS244" s="661">
        <f>M244-M273</f>
        <v>0</v>
      </c>
      <c r="AT244" s="661">
        <f>P244-P273</f>
        <v>0</v>
      </c>
      <c r="AU244" s="661">
        <f>S244-S273</f>
        <v>0</v>
      </c>
      <c r="AV244" s="661">
        <f>V244-V273</f>
        <v>0</v>
      </c>
      <c r="AW244" s="661">
        <f>Y244-Y273</f>
        <v>0</v>
      </c>
      <c r="AX244" s="661">
        <f>AB244-AB273</f>
        <v>0</v>
      </c>
      <c r="AY244" s="608">
        <f>AE244-AE273</f>
        <v>0</v>
      </c>
      <c r="BA244" s="606"/>
      <c r="BB244" s="607"/>
      <c r="BC244" s="607"/>
      <c r="BD244" s="607"/>
      <c r="BE244" s="607"/>
      <c r="BF244" s="607"/>
      <c r="BG244" s="607"/>
      <c r="BH244" s="619"/>
    </row>
    <row r="245" spans="1:60" s="584" customFormat="1" ht="14">
      <c r="A245" s="597"/>
      <c r="D245" s="1789" t="s">
        <v>27</v>
      </c>
      <c r="E245" s="1789"/>
      <c r="F245" s="1789"/>
      <c r="G245" s="1789"/>
      <c r="H245" s="1789"/>
      <c r="I245" s="1789"/>
      <c r="J245" s="1967">
        <v>0</v>
      </c>
      <c r="K245" s="1967"/>
      <c r="L245" s="1967"/>
      <c r="M245" s="1967">
        <v>0</v>
      </c>
      <c r="N245" s="1967"/>
      <c r="O245" s="1967"/>
      <c r="P245" s="1967">
        <v>0</v>
      </c>
      <c r="Q245" s="1967"/>
      <c r="R245" s="1967"/>
      <c r="S245" s="1967">
        <v>0</v>
      </c>
      <c r="T245" s="1967"/>
      <c r="U245" s="1967"/>
      <c r="V245" s="1967">
        <v>0</v>
      </c>
      <c r="W245" s="1967"/>
      <c r="X245" s="1967"/>
      <c r="Y245" s="1967">
        <v>0</v>
      </c>
      <c r="Z245" s="1967"/>
      <c r="AA245" s="1967"/>
      <c r="AB245" s="1967">
        <v>0</v>
      </c>
      <c r="AC245" s="1967"/>
      <c r="AD245" s="1967"/>
      <c r="AE245" s="1794">
        <f>SUM(J245:AD245)</f>
        <v>0</v>
      </c>
      <c r="AF245" s="1794"/>
      <c r="AG245" s="1794"/>
      <c r="AI245" s="606"/>
      <c r="AJ245" s="607"/>
      <c r="AK245" s="607"/>
      <c r="AL245" s="607"/>
      <c r="AM245" s="607"/>
      <c r="AN245" s="607"/>
      <c r="AO245" s="607"/>
      <c r="AP245" s="608">
        <f t="shared" ref="AP245:AP246" si="0">SUM(J245:AD245)-AE245</f>
        <v>0</v>
      </c>
      <c r="AQ245" s="18"/>
      <c r="AR245" s="606"/>
      <c r="AS245" s="607"/>
      <c r="AT245" s="607"/>
      <c r="AU245" s="607"/>
      <c r="AV245" s="607"/>
      <c r="AW245" s="607"/>
      <c r="AX245" s="607"/>
      <c r="AY245" s="619"/>
      <c r="BA245" s="606"/>
      <c r="BB245" s="607"/>
      <c r="BC245" s="607"/>
      <c r="BD245" s="607"/>
      <c r="BE245" s="607"/>
      <c r="BF245" s="607"/>
      <c r="BG245" s="607"/>
      <c r="BH245" s="619"/>
    </row>
    <row r="246" spans="1:60" s="584" customFormat="1" ht="14">
      <c r="A246" s="597"/>
      <c r="D246" s="1789" t="s">
        <v>28</v>
      </c>
      <c r="E246" s="1789"/>
      <c r="F246" s="1789"/>
      <c r="G246" s="1789"/>
      <c r="H246" s="1789"/>
      <c r="I246" s="1789"/>
      <c r="J246" s="1967">
        <v>0</v>
      </c>
      <c r="K246" s="1967"/>
      <c r="L246" s="1967"/>
      <c r="M246" s="1967">
        <v>0</v>
      </c>
      <c r="N246" s="1967"/>
      <c r="O246" s="1967"/>
      <c r="P246" s="1967">
        <v>0</v>
      </c>
      <c r="Q246" s="1967"/>
      <c r="R246" s="1967"/>
      <c r="S246" s="1967">
        <v>0</v>
      </c>
      <c r="T246" s="1967"/>
      <c r="U246" s="1967"/>
      <c r="V246" s="1967">
        <v>0</v>
      </c>
      <c r="W246" s="1967"/>
      <c r="X246" s="1967"/>
      <c r="Y246" s="1967">
        <v>0</v>
      </c>
      <c r="Z246" s="1967"/>
      <c r="AA246" s="1967"/>
      <c r="AB246" s="1967">
        <v>0</v>
      </c>
      <c r="AC246" s="1967"/>
      <c r="AD246" s="1967"/>
      <c r="AE246" s="1794">
        <f t="shared" ref="AE246" si="1">SUM(J246:AD246)</f>
        <v>0</v>
      </c>
      <c r="AF246" s="1794"/>
      <c r="AG246" s="1794"/>
      <c r="AI246" s="606"/>
      <c r="AJ246" s="607"/>
      <c r="AK246" s="607"/>
      <c r="AL246" s="607"/>
      <c r="AM246" s="607"/>
      <c r="AN246" s="607"/>
      <c r="AO246" s="607"/>
      <c r="AP246" s="608">
        <f t="shared" si="0"/>
        <v>0</v>
      </c>
      <c r="AQ246" s="18"/>
      <c r="AR246" s="606"/>
      <c r="AS246" s="607"/>
      <c r="AT246" s="607"/>
      <c r="AU246" s="607"/>
      <c r="AV246" s="607"/>
      <c r="AW246" s="607"/>
      <c r="AX246" s="607"/>
      <c r="AY246" s="619"/>
      <c r="BA246" s="606"/>
      <c r="BB246" s="607"/>
      <c r="BC246" s="607"/>
      <c r="BD246" s="607"/>
      <c r="BE246" s="607"/>
      <c r="BF246" s="607"/>
      <c r="BG246" s="607"/>
      <c r="BH246" s="619"/>
    </row>
    <row r="247" spans="1:60" s="584" customFormat="1" ht="14">
      <c r="A247" s="597"/>
      <c r="D247" s="1789" t="s">
        <v>29</v>
      </c>
      <c r="E247" s="1789"/>
      <c r="F247" s="1789"/>
      <c r="G247" s="1789"/>
      <c r="H247" s="1789"/>
      <c r="I247" s="1789"/>
      <c r="J247" s="1967">
        <v>0</v>
      </c>
      <c r="K247" s="1967"/>
      <c r="L247" s="1967"/>
      <c r="M247" s="1967">
        <v>0</v>
      </c>
      <c r="N247" s="1967"/>
      <c r="O247" s="1967"/>
      <c r="P247" s="1967">
        <v>0</v>
      </c>
      <c r="Q247" s="1967"/>
      <c r="R247" s="1967"/>
      <c r="S247" s="1967">
        <v>0</v>
      </c>
      <c r="T247" s="1967"/>
      <c r="U247" s="1967"/>
      <c r="V247" s="1967">
        <v>0</v>
      </c>
      <c r="W247" s="1967"/>
      <c r="X247" s="1967"/>
      <c r="Y247" s="1967">
        <v>0</v>
      </c>
      <c r="Z247" s="1967"/>
      <c r="AA247" s="1967"/>
      <c r="AB247" s="1967">
        <v>0</v>
      </c>
      <c r="AC247" s="1967"/>
      <c r="AD247" s="1967"/>
      <c r="AE247" s="1794">
        <f>SUM(J247:AD247)</f>
        <v>0</v>
      </c>
      <c r="AF247" s="1794"/>
      <c r="AG247" s="1794"/>
      <c r="AI247" s="606"/>
      <c r="AJ247" s="607"/>
      <c r="AK247" s="607"/>
      <c r="AL247" s="607"/>
      <c r="AM247" s="607"/>
      <c r="AN247" s="607"/>
      <c r="AO247" s="607"/>
      <c r="AP247" s="608">
        <f>SUM(J247:AD247)-AE247</f>
        <v>0</v>
      </c>
      <c r="AQ247" s="18"/>
      <c r="AR247" s="606"/>
      <c r="AS247" s="607"/>
      <c r="AT247" s="607"/>
      <c r="AU247" s="607"/>
      <c r="AV247" s="607"/>
      <c r="AW247" s="607"/>
      <c r="AX247" s="607"/>
      <c r="AY247" s="619"/>
      <c r="BA247" s="606"/>
      <c r="BB247" s="607"/>
      <c r="BC247" s="607"/>
      <c r="BD247" s="607"/>
      <c r="BE247" s="607"/>
      <c r="BF247" s="607"/>
      <c r="BG247" s="607"/>
      <c r="BH247" s="619"/>
    </row>
    <row r="248" spans="1:60" s="584" customFormat="1" ht="21.75" customHeight="1" thickBot="1">
      <c r="A248" s="597"/>
      <c r="D248" s="1894" t="s">
        <v>30</v>
      </c>
      <c r="E248" s="1894"/>
      <c r="F248" s="1894"/>
      <c r="G248" s="1894"/>
      <c r="H248" s="1894"/>
      <c r="I248" s="1894"/>
      <c r="J248" s="1831">
        <f>J244+J245-J246+J247</f>
        <v>39396</v>
      </c>
      <c r="K248" s="1831"/>
      <c r="L248" s="1831"/>
      <c r="M248" s="1831">
        <f t="shared" ref="M248" si="2">M244+M245-M246+M247</f>
        <v>0</v>
      </c>
      <c r="N248" s="1831"/>
      <c r="O248" s="1831"/>
      <c r="P248" s="1831">
        <f t="shared" ref="P248" si="3">P244+P245-P246+P247</f>
        <v>0</v>
      </c>
      <c r="Q248" s="1831"/>
      <c r="R248" s="1831"/>
      <c r="S248" s="1831">
        <f t="shared" ref="S248" si="4">S244+S245-S246+S247</f>
        <v>2211884</v>
      </c>
      <c r="T248" s="1831"/>
      <c r="U248" s="1831"/>
      <c r="V248" s="1831">
        <f t="shared" ref="V248" si="5">V244+V245-V246+V247</f>
        <v>0</v>
      </c>
      <c r="W248" s="1831"/>
      <c r="X248" s="1831"/>
      <c r="Y248" s="1831">
        <f t="shared" ref="Y248" si="6">Y244+Y245-Y246+Y247</f>
        <v>0</v>
      </c>
      <c r="Z248" s="1831"/>
      <c r="AA248" s="1831"/>
      <c r="AB248" s="1831">
        <f t="shared" ref="AB248" si="7">AB244+AB245-AB246+AB247</f>
        <v>0</v>
      </c>
      <c r="AC248" s="1831"/>
      <c r="AD248" s="1831"/>
      <c r="AE248" s="1831">
        <f t="shared" ref="AE248" si="8">AE244+AE245-AE246+AE247</f>
        <v>2251280</v>
      </c>
      <c r="AF248" s="1831"/>
      <c r="AG248" s="1831"/>
      <c r="AI248" s="621">
        <f>J244+J245-J246+J247-J248</f>
        <v>0</v>
      </c>
      <c r="AJ248" s="661">
        <f>M244+M245-M246+M247-M248</f>
        <v>0</v>
      </c>
      <c r="AK248" s="661">
        <f>P244+P245-P246+P247-P248</f>
        <v>0</v>
      </c>
      <c r="AL248" s="661">
        <f>S244+S245-S246+S247-S248</f>
        <v>0</v>
      </c>
      <c r="AM248" s="661">
        <f>V244+V245-V246+V247-V248</f>
        <v>0</v>
      </c>
      <c r="AN248" s="661">
        <f>Y244+Y245-Y246+Y247-Y248</f>
        <v>0</v>
      </c>
      <c r="AO248" s="661">
        <f>AB244+AB245-AB246+AB247-AB248</f>
        <v>0</v>
      </c>
      <c r="AP248" s="608">
        <f>AE244+AE245-AE246+AE247-AE248</f>
        <v>0</v>
      </c>
      <c r="AQ248" s="18"/>
      <c r="AR248" s="606"/>
      <c r="AS248" s="607"/>
      <c r="AT248" s="607"/>
      <c r="AU248" s="607"/>
      <c r="AV248" s="607"/>
      <c r="AW248" s="607"/>
      <c r="AX248" s="607"/>
      <c r="AY248" s="619"/>
      <c r="BA248" s="621">
        <f>J248-BS!$D$13</f>
        <v>0</v>
      </c>
      <c r="BB248" s="661">
        <f>M248-BS!$D$14</f>
        <v>0</v>
      </c>
      <c r="BC248" s="661">
        <f>P248-BS!$D$15</f>
        <v>0</v>
      </c>
      <c r="BD248" s="661">
        <f>S248-BS!$D$16</f>
        <v>0</v>
      </c>
      <c r="BE248" s="661">
        <f>V248-BS!$D$17</f>
        <v>0</v>
      </c>
      <c r="BF248" s="661">
        <f>Y248-BS!$D$18</f>
        <v>0</v>
      </c>
      <c r="BG248" s="661">
        <f>AB248-BS!$D$19</f>
        <v>0</v>
      </c>
      <c r="BH248" s="608">
        <f>AE248-BS!$D$12</f>
        <v>0</v>
      </c>
    </row>
    <row r="249" spans="1:60" s="584" customFormat="1" ht="14.5" thickBot="1">
      <c r="A249" s="597"/>
      <c r="D249" s="1966" t="s">
        <v>31</v>
      </c>
      <c r="E249" s="1966"/>
      <c r="F249" s="1966"/>
      <c r="G249" s="1966"/>
      <c r="H249" s="1966"/>
      <c r="I249" s="1966"/>
      <c r="J249" s="1966"/>
      <c r="K249" s="1966"/>
      <c r="L249" s="1966"/>
      <c r="M249" s="1966"/>
      <c r="N249" s="1966"/>
      <c r="O249" s="1966"/>
      <c r="P249" s="1966"/>
      <c r="Q249" s="1966"/>
      <c r="R249" s="1966"/>
      <c r="S249" s="1966"/>
      <c r="T249" s="1966"/>
      <c r="U249" s="1966"/>
      <c r="V249" s="1966"/>
      <c r="W249" s="1966"/>
      <c r="X249" s="1966"/>
      <c r="Y249" s="1966"/>
      <c r="Z249" s="1966"/>
      <c r="AA249" s="1966"/>
      <c r="AB249" s="1966"/>
      <c r="AC249" s="1966"/>
      <c r="AD249" s="1966"/>
      <c r="AE249" s="1966"/>
      <c r="AF249" s="1966"/>
      <c r="AG249" s="1966"/>
      <c r="AH249" s="605"/>
      <c r="AI249" s="606"/>
      <c r="AJ249" s="607"/>
      <c r="AK249" s="607"/>
      <c r="AL249" s="607"/>
      <c r="AM249" s="607"/>
      <c r="AN249" s="607"/>
      <c r="AO249" s="607"/>
      <c r="AP249" s="608"/>
      <c r="AQ249" s="18"/>
      <c r="AR249" s="606"/>
      <c r="AS249" s="607"/>
      <c r="AT249" s="607"/>
      <c r="AU249" s="607"/>
      <c r="AV249" s="607"/>
      <c r="AW249" s="607"/>
      <c r="AX249" s="607"/>
      <c r="AY249" s="619"/>
      <c r="BA249" s="606"/>
      <c r="BB249" s="607"/>
      <c r="BC249" s="607"/>
      <c r="BD249" s="607"/>
      <c r="BE249" s="607"/>
      <c r="BF249" s="607"/>
      <c r="BG249" s="607"/>
      <c r="BH249" s="619"/>
    </row>
    <row r="250" spans="1:60" s="584" customFormat="1" ht="21.75" customHeight="1">
      <c r="A250" s="597"/>
      <c r="D250" s="1959" t="s">
        <v>32</v>
      </c>
      <c r="E250" s="1960"/>
      <c r="F250" s="1960"/>
      <c r="G250" s="1960"/>
      <c r="H250" s="1960"/>
      <c r="I250" s="1961"/>
      <c r="J250" s="1839">
        <v>15768</v>
      </c>
      <c r="K250" s="1840"/>
      <c r="L250" s="1977"/>
      <c r="M250" s="1852">
        <v>0</v>
      </c>
      <c r="N250" s="1853"/>
      <c r="O250" s="1854"/>
      <c r="P250" s="1852">
        <v>0</v>
      </c>
      <c r="Q250" s="1853"/>
      <c r="R250" s="1854"/>
      <c r="S250" s="1852">
        <v>711160</v>
      </c>
      <c r="T250" s="1853"/>
      <c r="U250" s="1854"/>
      <c r="V250" s="1852">
        <v>0</v>
      </c>
      <c r="W250" s="1853"/>
      <c r="X250" s="1854"/>
      <c r="Y250" s="1852">
        <v>0</v>
      </c>
      <c r="Z250" s="1853"/>
      <c r="AA250" s="1854"/>
      <c r="AB250" s="1852">
        <v>0</v>
      </c>
      <c r="AC250" s="1853"/>
      <c r="AD250" s="1854"/>
      <c r="AE250" s="1924">
        <f>SUM(J250:AD250)</f>
        <v>726928</v>
      </c>
      <c r="AF250" s="1925"/>
      <c r="AG250" s="1926"/>
      <c r="AI250" s="606"/>
      <c r="AJ250" s="607"/>
      <c r="AK250" s="607"/>
      <c r="AL250" s="607"/>
      <c r="AM250" s="607"/>
      <c r="AN250" s="607"/>
      <c r="AO250" s="607"/>
      <c r="AP250" s="608">
        <f>SUM(J250:AD250)-AE250</f>
        <v>0</v>
      </c>
      <c r="AQ250" s="18"/>
      <c r="AR250" s="621">
        <f>J250-J279</f>
        <v>0</v>
      </c>
      <c r="AS250" s="661">
        <f>M250-M279</f>
        <v>0</v>
      </c>
      <c r="AT250" s="661">
        <f>P250-P279</f>
        <v>0</v>
      </c>
      <c r="AU250" s="661">
        <f>S250-S279</f>
        <v>0</v>
      </c>
      <c r="AV250" s="661">
        <f>V250-V279</f>
        <v>0</v>
      </c>
      <c r="AW250" s="661">
        <f>Y250-Y279</f>
        <v>0</v>
      </c>
      <c r="AX250" s="661">
        <f>AB250-AB279</f>
        <v>0</v>
      </c>
      <c r="AY250" s="608">
        <f>AE250-AE279</f>
        <v>0</v>
      </c>
      <c r="BA250" s="606"/>
      <c r="BB250" s="607"/>
      <c r="BC250" s="607"/>
      <c r="BD250" s="607"/>
      <c r="BE250" s="607"/>
      <c r="BF250" s="607"/>
      <c r="BG250" s="607"/>
      <c r="BH250" s="619"/>
    </row>
    <row r="251" spans="1:60" s="584" customFormat="1" ht="14">
      <c r="A251" s="597"/>
      <c r="D251" s="1971" t="s">
        <v>27</v>
      </c>
      <c r="E251" s="1972"/>
      <c r="F251" s="1972"/>
      <c r="G251" s="1972"/>
      <c r="H251" s="1972"/>
      <c r="I251" s="1973"/>
      <c r="J251" s="1968">
        <v>7884</v>
      </c>
      <c r="K251" s="1969"/>
      <c r="L251" s="1970"/>
      <c r="M251" s="1968">
        <v>0</v>
      </c>
      <c r="N251" s="1969"/>
      <c r="O251" s="1970"/>
      <c r="P251" s="1968">
        <v>0</v>
      </c>
      <c r="Q251" s="1969"/>
      <c r="R251" s="1970"/>
      <c r="S251" s="1968">
        <v>316080</v>
      </c>
      <c r="T251" s="1969"/>
      <c r="U251" s="1970"/>
      <c r="V251" s="1968">
        <v>0</v>
      </c>
      <c r="W251" s="1969"/>
      <c r="X251" s="1970"/>
      <c r="Y251" s="1968">
        <v>0</v>
      </c>
      <c r="Z251" s="1969"/>
      <c r="AA251" s="1970"/>
      <c r="AB251" s="1968">
        <v>0</v>
      </c>
      <c r="AC251" s="1969"/>
      <c r="AD251" s="1970"/>
      <c r="AE251" s="1974">
        <f>SUM(J251:AD251)</f>
        <v>323964</v>
      </c>
      <c r="AF251" s="1975"/>
      <c r="AG251" s="1976"/>
      <c r="AI251" s="606"/>
      <c r="AJ251" s="607"/>
      <c r="AK251" s="607"/>
      <c r="AL251" s="607"/>
      <c r="AM251" s="607"/>
      <c r="AN251" s="607"/>
      <c r="AO251" s="607"/>
      <c r="AP251" s="608">
        <f t="shared" ref="AP251:AP252" si="9">SUM(J251:AD251)-AE251</f>
        <v>0</v>
      </c>
      <c r="AQ251" s="18"/>
      <c r="AR251" s="606"/>
      <c r="AS251" s="607"/>
      <c r="AT251" s="607"/>
      <c r="AU251" s="607"/>
      <c r="AV251" s="607"/>
      <c r="AW251" s="607"/>
      <c r="AX251" s="607"/>
      <c r="AY251" s="619"/>
      <c r="BA251" s="606"/>
      <c r="BB251" s="607"/>
      <c r="BC251" s="607"/>
      <c r="BD251" s="607"/>
      <c r="BE251" s="607"/>
      <c r="BF251" s="607"/>
      <c r="BG251" s="607"/>
      <c r="BH251" s="619"/>
    </row>
    <row r="252" spans="1:60" s="584" customFormat="1" ht="14">
      <c r="A252" s="597"/>
      <c r="D252" s="1971" t="s">
        <v>28</v>
      </c>
      <c r="E252" s="1972"/>
      <c r="F252" s="1972"/>
      <c r="G252" s="1972"/>
      <c r="H252" s="1972"/>
      <c r="I252" s="1973"/>
      <c r="J252" s="1968">
        <v>0</v>
      </c>
      <c r="K252" s="1969"/>
      <c r="L252" s="1970"/>
      <c r="M252" s="1968">
        <v>0</v>
      </c>
      <c r="N252" s="1969"/>
      <c r="O252" s="1970"/>
      <c r="P252" s="1968">
        <v>0</v>
      </c>
      <c r="Q252" s="1969"/>
      <c r="R252" s="1970"/>
      <c r="S252" s="1968">
        <v>0</v>
      </c>
      <c r="T252" s="1969"/>
      <c r="U252" s="1970"/>
      <c r="V252" s="1968">
        <v>0</v>
      </c>
      <c r="W252" s="1969"/>
      <c r="X252" s="1970"/>
      <c r="Y252" s="1968">
        <v>0</v>
      </c>
      <c r="Z252" s="1969"/>
      <c r="AA252" s="1970"/>
      <c r="AB252" s="1968">
        <v>0</v>
      </c>
      <c r="AC252" s="1969"/>
      <c r="AD252" s="1970"/>
      <c r="AE252" s="1974">
        <f>SUM(J252:AD252)</f>
        <v>0</v>
      </c>
      <c r="AF252" s="1975"/>
      <c r="AG252" s="1976"/>
      <c r="AI252" s="606"/>
      <c r="AJ252" s="607"/>
      <c r="AK252" s="607"/>
      <c r="AL252" s="607"/>
      <c r="AM252" s="607"/>
      <c r="AN252" s="607"/>
      <c r="AO252" s="607"/>
      <c r="AP252" s="608">
        <f t="shared" si="9"/>
        <v>0</v>
      </c>
      <c r="AQ252" s="18"/>
      <c r="AR252" s="606"/>
      <c r="AS252" s="607"/>
      <c r="AT252" s="607"/>
      <c r="AU252" s="607"/>
      <c r="AV252" s="607"/>
      <c r="AW252" s="607"/>
      <c r="AX252" s="607"/>
      <c r="AY252" s="619"/>
      <c r="BA252" s="674" t="s">
        <v>1059</v>
      </c>
      <c r="BB252" s="607"/>
      <c r="BC252" s="607"/>
      <c r="BD252" s="607"/>
      <c r="BE252" s="607"/>
      <c r="BF252" s="607"/>
      <c r="BG252" s="607"/>
      <c r="BH252" s="619"/>
    </row>
    <row r="253" spans="1:60" s="584" customFormat="1" ht="14">
      <c r="A253" s="597"/>
      <c r="D253" s="1789" t="s">
        <v>29</v>
      </c>
      <c r="E253" s="1789"/>
      <c r="F253" s="1789"/>
      <c r="G253" s="1789"/>
      <c r="H253" s="1789"/>
      <c r="I253" s="1789"/>
      <c r="J253" s="1967">
        <v>0</v>
      </c>
      <c r="K253" s="1967"/>
      <c r="L253" s="1967"/>
      <c r="M253" s="1967">
        <v>0</v>
      </c>
      <c r="N253" s="1967"/>
      <c r="O253" s="1967"/>
      <c r="P253" s="1967">
        <v>0</v>
      </c>
      <c r="Q253" s="1967"/>
      <c r="R253" s="1967"/>
      <c r="S253" s="1967">
        <v>0</v>
      </c>
      <c r="T253" s="1967"/>
      <c r="U253" s="1967"/>
      <c r="V253" s="1967">
        <v>0</v>
      </c>
      <c r="W253" s="1967"/>
      <c r="X253" s="1967"/>
      <c r="Y253" s="1967">
        <v>0</v>
      </c>
      <c r="Z253" s="1967"/>
      <c r="AA253" s="1967"/>
      <c r="AB253" s="1967">
        <v>0</v>
      </c>
      <c r="AC253" s="1967"/>
      <c r="AD253" s="1967"/>
      <c r="AE253" s="1794">
        <f>SUM(J253:AD253)</f>
        <v>0</v>
      </c>
      <c r="AF253" s="1794"/>
      <c r="AG253" s="1794"/>
      <c r="AI253" s="606"/>
      <c r="AJ253" s="607"/>
      <c r="AK253" s="607"/>
      <c r="AL253" s="607"/>
      <c r="AM253" s="607"/>
      <c r="AN253" s="607"/>
      <c r="AO253" s="607"/>
      <c r="AP253" s="608">
        <f>SUM(J253:AD253)-AE253</f>
        <v>0</v>
      </c>
      <c r="AQ253" s="18"/>
      <c r="AR253" s="606"/>
      <c r="AS253" s="607"/>
      <c r="AT253" s="607"/>
      <c r="AU253" s="607"/>
      <c r="AV253" s="607"/>
      <c r="AW253" s="607"/>
      <c r="AX253" s="607"/>
      <c r="AY253" s="619"/>
      <c r="BA253" s="606"/>
      <c r="BB253" s="607"/>
      <c r="BC253" s="607"/>
      <c r="BD253" s="607"/>
      <c r="BE253" s="607"/>
      <c r="BF253" s="607"/>
      <c r="BG253" s="607"/>
      <c r="BH253" s="619"/>
    </row>
    <row r="254" spans="1:60" s="584" customFormat="1" ht="21.75" customHeight="1" thickBot="1">
      <c r="A254" s="597"/>
      <c r="D254" s="1955" t="s">
        <v>30</v>
      </c>
      <c r="E254" s="1956"/>
      <c r="F254" s="1956"/>
      <c r="G254" s="1956"/>
      <c r="H254" s="1956"/>
      <c r="I254" s="1957"/>
      <c r="J254" s="1831">
        <f>J250+J251-J252+J253</f>
        <v>23652</v>
      </c>
      <c r="K254" s="1831"/>
      <c r="L254" s="1831"/>
      <c r="M254" s="1831">
        <f t="shared" ref="M254" si="10">M250+M251-M252+M253</f>
        <v>0</v>
      </c>
      <c r="N254" s="1831"/>
      <c r="O254" s="1831"/>
      <c r="P254" s="1831">
        <f t="shared" ref="P254" si="11">P250+P251-P252+P253</f>
        <v>0</v>
      </c>
      <c r="Q254" s="1831"/>
      <c r="R254" s="1831"/>
      <c r="S254" s="1831">
        <f t="shared" ref="S254" si="12">S250+S251-S252+S253</f>
        <v>1027240</v>
      </c>
      <c r="T254" s="1831"/>
      <c r="U254" s="1831"/>
      <c r="V254" s="1831">
        <f t="shared" ref="V254" si="13">V250+V251-V252+V253</f>
        <v>0</v>
      </c>
      <c r="W254" s="1831"/>
      <c r="X254" s="1831"/>
      <c r="Y254" s="1831">
        <f t="shared" ref="Y254" si="14">Y250+Y251-Y252+Y253</f>
        <v>0</v>
      </c>
      <c r="Z254" s="1831"/>
      <c r="AA254" s="1831"/>
      <c r="AB254" s="1831">
        <f t="shared" ref="AB254" si="15">AB250+AB251-AB252+AB253</f>
        <v>0</v>
      </c>
      <c r="AC254" s="1831"/>
      <c r="AD254" s="1831"/>
      <c r="AE254" s="1831">
        <f t="shared" ref="AE254" si="16">AE250+AE251-AE252+AE253</f>
        <v>1050892</v>
      </c>
      <c r="AF254" s="1831"/>
      <c r="AG254" s="1831"/>
      <c r="AI254" s="621">
        <f>J250+J251-J252+J253-J254</f>
        <v>0</v>
      </c>
      <c r="AJ254" s="661">
        <f>M250+M251-M252+M253-M254</f>
        <v>0</v>
      </c>
      <c r="AK254" s="661">
        <f>P250+P251-P252+P253-P254</f>
        <v>0</v>
      </c>
      <c r="AL254" s="661">
        <f>S250+S251-S252+S253-S254</f>
        <v>0</v>
      </c>
      <c r="AM254" s="661">
        <f>V250+V251-V252+V253-V254</f>
        <v>0</v>
      </c>
      <c r="AN254" s="661">
        <f>Y250+Y251-Y252+Y253-Y254</f>
        <v>0</v>
      </c>
      <c r="AO254" s="661">
        <f>AB250+AB251-AB252+AB253-AB254</f>
        <v>0</v>
      </c>
      <c r="AP254" s="608">
        <f>AE250+AE251-AE252+AE253-AE254</f>
        <v>0</v>
      </c>
      <c r="AQ254" s="18"/>
      <c r="AR254" s="606"/>
      <c r="AS254" s="607"/>
      <c r="AT254" s="607"/>
      <c r="AU254" s="607"/>
      <c r="AV254" s="607"/>
      <c r="AW254" s="607"/>
      <c r="AX254" s="607"/>
      <c r="AY254" s="619"/>
      <c r="BA254" s="621">
        <f>J254+J260-BS!$E$13</f>
        <v>0</v>
      </c>
      <c r="BB254" s="661">
        <f>M254+M260-BS!$E$14</f>
        <v>0</v>
      </c>
      <c r="BC254" s="661">
        <f>P254+P260-BS!$E$15</f>
        <v>0</v>
      </c>
      <c r="BD254" s="661">
        <f>S254+S260-BS!$E$16</f>
        <v>0</v>
      </c>
      <c r="BE254" s="661">
        <f>V254+V260-BS!$E$17</f>
        <v>0</v>
      </c>
      <c r="BF254" s="661">
        <f>Y254+Y260-BS!$E$18</f>
        <v>0</v>
      </c>
      <c r="BG254" s="661">
        <f>AB254+AB260-BS!$E$19</f>
        <v>0</v>
      </c>
      <c r="BH254" s="608">
        <f>AE254+AE260-BS!$E$12</f>
        <v>0</v>
      </c>
    </row>
    <row r="255" spans="1:60" s="584" customFormat="1" ht="14.5" thickBot="1">
      <c r="A255" s="597"/>
      <c r="D255" s="1966" t="s">
        <v>33</v>
      </c>
      <c r="E255" s="1966"/>
      <c r="F255" s="1966"/>
      <c r="G255" s="1966"/>
      <c r="H255" s="1966"/>
      <c r="I255" s="1966"/>
      <c r="J255" s="1966"/>
      <c r="K255" s="1966"/>
      <c r="L255" s="1966"/>
      <c r="M255" s="1966"/>
      <c r="N255" s="1966"/>
      <c r="O255" s="1966"/>
      <c r="P255" s="1966"/>
      <c r="Q255" s="1966"/>
      <c r="R255" s="1966"/>
      <c r="S255" s="1966"/>
      <c r="T255" s="1966"/>
      <c r="U255" s="1966"/>
      <c r="V255" s="1966"/>
      <c r="W255" s="1966"/>
      <c r="X255" s="1966"/>
      <c r="Y255" s="1966"/>
      <c r="Z255" s="1966"/>
      <c r="AA255" s="1966"/>
      <c r="AB255" s="1966"/>
      <c r="AC255" s="1966"/>
      <c r="AD255" s="1966"/>
      <c r="AE255" s="1966"/>
      <c r="AF255" s="1966"/>
      <c r="AG255" s="1966"/>
      <c r="AH255" s="605"/>
      <c r="AI255" s="606"/>
      <c r="AJ255" s="607"/>
      <c r="AK255" s="607"/>
      <c r="AL255" s="607"/>
      <c r="AM255" s="607"/>
      <c r="AN255" s="607"/>
      <c r="AO255" s="607"/>
      <c r="AP255" s="608"/>
      <c r="AQ255" s="18"/>
      <c r="AR255" s="606"/>
      <c r="AS255" s="607"/>
      <c r="AT255" s="607"/>
      <c r="AU255" s="607"/>
      <c r="AV255" s="607"/>
      <c r="AW255" s="607"/>
      <c r="AX255" s="607"/>
      <c r="AY255" s="619"/>
      <c r="BA255" s="606"/>
      <c r="BB255" s="607"/>
      <c r="BC255" s="607"/>
      <c r="BD255" s="607"/>
      <c r="BE255" s="607"/>
      <c r="BF255" s="607"/>
      <c r="BG255" s="607"/>
      <c r="BH255" s="619"/>
    </row>
    <row r="256" spans="1:60" s="584" customFormat="1" ht="21.75" customHeight="1">
      <c r="A256" s="597"/>
      <c r="D256" s="1959" t="s">
        <v>32</v>
      </c>
      <c r="E256" s="1960"/>
      <c r="F256" s="1960"/>
      <c r="G256" s="1960"/>
      <c r="H256" s="1960"/>
      <c r="I256" s="1961"/>
      <c r="J256" s="1852">
        <v>0</v>
      </c>
      <c r="K256" s="1853"/>
      <c r="L256" s="1854"/>
      <c r="M256" s="1852">
        <v>0</v>
      </c>
      <c r="N256" s="1853"/>
      <c r="O256" s="1854"/>
      <c r="P256" s="1852">
        <v>0</v>
      </c>
      <c r="Q256" s="1853"/>
      <c r="R256" s="1854"/>
      <c r="S256" s="1852">
        <v>0</v>
      </c>
      <c r="T256" s="1853"/>
      <c r="U256" s="1854"/>
      <c r="V256" s="1852">
        <v>0</v>
      </c>
      <c r="W256" s="1853"/>
      <c r="X256" s="1854"/>
      <c r="Y256" s="1852">
        <v>0</v>
      </c>
      <c r="Z256" s="1853"/>
      <c r="AA256" s="1854"/>
      <c r="AB256" s="1852">
        <v>0</v>
      </c>
      <c r="AC256" s="1853"/>
      <c r="AD256" s="1854"/>
      <c r="AE256" s="1924">
        <f>SUM(J256:AD256)</f>
        <v>0</v>
      </c>
      <c r="AF256" s="1925"/>
      <c r="AG256" s="1926"/>
      <c r="AI256" s="606"/>
      <c r="AJ256" s="607"/>
      <c r="AK256" s="607"/>
      <c r="AL256" s="607"/>
      <c r="AM256" s="607"/>
      <c r="AN256" s="607"/>
      <c r="AO256" s="607"/>
      <c r="AP256" s="608">
        <f>SUM(J256:AD256)-AE256</f>
        <v>0</v>
      </c>
      <c r="AQ256" s="18"/>
      <c r="AR256" s="621">
        <f>J256-J285</f>
        <v>0</v>
      </c>
      <c r="AS256" s="661">
        <f>M256-M285</f>
        <v>0</v>
      </c>
      <c r="AT256" s="661">
        <f>P256-P285</f>
        <v>0</v>
      </c>
      <c r="AU256" s="661">
        <f>S256-S285</f>
        <v>0</v>
      </c>
      <c r="AV256" s="661">
        <f>V256-V285</f>
        <v>0</v>
      </c>
      <c r="AW256" s="661">
        <f>Y256-Y285</f>
        <v>0</v>
      </c>
      <c r="AX256" s="661">
        <f>AB256-AB285</f>
        <v>0</v>
      </c>
      <c r="AY256" s="608">
        <f>AE256-AE285</f>
        <v>0</v>
      </c>
      <c r="BA256" s="606"/>
      <c r="BB256" s="607"/>
      <c r="BC256" s="607"/>
      <c r="BD256" s="607"/>
      <c r="BE256" s="607"/>
      <c r="BF256" s="607"/>
      <c r="BG256" s="607"/>
      <c r="BH256" s="619"/>
    </row>
    <row r="257" spans="1:60" s="584" customFormat="1" ht="14">
      <c r="A257" s="597"/>
      <c r="D257" s="1971" t="s">
        <v>27</v>
      </c>
      <c r="E257" s="1972"/>
      <c r="F257" s="1972"/>
      <c r="G257" s="1972"/>
      <c r="H257" s="1972"/>
      <c r="I257" s="1973"/>
      <c r="J257" s="1968">
        <v>0</v>
      </c>
      <c r="K257" s="1969"/>
      <c r="L257" s="1970"/>
      <c r="M257" s="1968">
        <v>0</v>
      </c>
      <c r="N257" s="1969"/>
      <c r="O257" s="1970"/>
      <c r="P257" s="1968">
        <v>0</v>
      </c>
      <c r="Q257" s="1969"/>
      <c r="R257" s="1970"/>
      <c r="S257" s="1968">
        <v>0</v>
      </c>
      <c r="T257" s="1969"/>
      <c r="U257" s="1970"/>
      <c r="V257" s="1968">
        <v>0</v>
      </c>
      <c r="W257" s="1969"/>
      <c r="X257" s="1970"/>
      <c r="Y257" s="1968">
        <v>0</v>
      </c>
      <c r="Z257" s="1969"/>
      <c r="AA257" s="1970"/>
      <c r="AB257" s="1968">
        <v>0</v>
      </c>
      <c r="AC257" s="1969"/>
      <c r="AD257" s="1970"/>
      <c r="AE257" s="1974">
        <f>SUM(J257:AD257)</f>
        <v>0</v>
      </c>
      <c r="AF257" s="1975"/>
      <c r="AG257" s="1976"/>
      <c r="AI257" s="606"/>
      <c r="AJ257" s="607"/>
      <c r="AK257" s="607"/>
      <c r="AL257" s="607"/>
      <c r="AM257" s="607"/>
      <c r="AN257" s="607"/>
      <c r="AO257" s="607"/>
      <c r="AP257" s="608">
        <f t="shared" ref="AP257:AP258" si="17">SUM(J257:AD257)-AE257</f>
        <v>0</v>
      </c>
      <c r="AQ257" s="18"/>
      <c r="AR257" s="606"/>
      <c r="AS257" s="607"/>
      <c r="AT257" s="607"/>
      <c r="AU257" s="607"/>
      <c r="AV257" s="607"/>
      <c r="AW257" s="607"/>
      <c r="AX257" s="607"/>
      <c r="AY257" s="619"/>
      <c r="BA257" s="606"/>
      <c r="BB257" s="607"/>
      <c r="BC257" s="607"/>
      <c r="BD257" s="607"/>
      <c r="BE257" s="607"/>
      <c r="BF257" s="607"/>
      <c r="BG257" s="607"/>
      <c r="BH257" s="619"/>
    </row>
    <row r="258" spans="1:60" s="584" customFormat="1" ht="14">
      <c r="A258" s="597"/>
      <c r="D258" s="1971" t="s">
        <v>28</v>
      </c>
      <c r="E258" s="1972"/>
      <c r="F258" s="1972"/>
      <c r="G258" s="1972"/>
      <c r="H258" s="1972"/>
      <c r="I258" s="1973"/>
      <c r="J258" s="1968">
        <v>0</v>
      </c>
      <c r="K258" s="1969"/>
      <c r="L258" s="1970"/>
      <c r="M258" s="1968">
        <v>0</v>
      </c>
      <c r="N258" s="1969"/>
      <c r="O258" s="1970"/>
      <c r="P258" s="1968">
        <v>0</v>
      </c>
      <c r="Q258" s="1969"/>
      <c r="R258" s="1970"/>
      <c r="S258" s="1968">
        <v>0</v>
      </c>
      <c r="T258" s="1969"/>
      <c r="U258" s="1970"/>
      <c r="V258" s="1968">
        <v>0</v>
      </c>
      <c r="W258" s="1969"/>
      <c r="X258" s="1970"/>
      <c r="Y258" s="1968">
        <v>0</v>
      </c>
      <c r="Z258" s="1969"/>
      <c r="AA258" s="1970"/>
      <c r="AB258" s="1968">
        <v>0</v>
      </c>
      <c r="AC258" s="1969"/>
      <c r="AD258" s="1970"/>
      <c r="AE258" s="1974">
        <f>SUM(J257:AD257)</f>
        <v>0</v>
      </c>
      <c r="AF258" s="1975"/>
      <c r="AG258" s="1976"/>
      <c r="AI258" s="606"/>
      <c r="AJ258" s="607"/>
      <c r="AK258" s="607"/>
      <c r="AL258" s="607"/>
      <c r="AM258" s="607"/>
      <c r="AN258" s="607"/>
      <c r="AO258" s="607"/>
      <c r="AP258" s="608">
        <f t="shared" si="17"/>
        <v>0</v>
      </c>
      <c r="AQ258" s="18"/>
      <c r="AR258" s="606"/>
      <c r="AS258" s="607"/>
      <c r="AT258" s="607"/>
      <c r="AU258" s="607"/>
      <c r="AV258" s="607"/>
      <c r="AW258" s="607"/>
      <c r="AX258" s="607"/>
      <c r="AY258" s="619"/>
      <c r="BA258" s="606"/>
      <c r="BB258" s="607"/>
      <c r="BC258" s="607"/>
      <c r="BD258" s="607"/>
      <c r="BE258" s="607"/>
      <c r="BF258" s="607"/>
      <c r="BG258" s="607"/>
      <c r="BH258" s="619"/>
    </row>
    <row r="259" spans="1:60" s="584" customFormat="1" ht="14">
      <c r="A259" s="597"/>
      <c r="D259" s="1789" t="s">
        <v>29</v>
      </c>
      <c r="E259" s="1789"/>
      <c r="F259" s="1789"/>
      <c r="G259" s="1789"/>
      <c r="H259" s="1789"/>
      <c r="I259" s="1789"/>
      <c r="J259" s="1967">
        <v>0</v>
      </c>
      <c r="K259" s="1967"/>
      <c r="L259" s="1967"/>
      <c r="M259" s="1967">
        <v>0</v>
      </c>
      <c r="N259" s="1967"/>
      <c r="O259" s="1967"/>
      <c r="P259" s="1967">
        <v>0</v>
      </c>
      <c r="Q259" s="1967"/>
      <c r="R259" s="1967"/>
      <c r="S259" s="1967">
        <v>0</v>
      </c>
      <c r="T259" s="1967"/>
      <c r="U259" s="1967"/>
      <c r="V259" s="1967">
        <v>0</v>
      </c>
      <c r="W259" s="1967"/>
      <c r="X259" s="1967"/>
      <c r="Y259" s="1967">
        <v>0</v>
      </c>
      <c r="Z259" s="1967"/>
      <c r="AA259" s="1967"/>
      <c r="AB259" s="1967">
        <v>0</v>
      </c>
      <c r="AC259" s="1967"/>
      <c r="AD259" s="1967"/>
      <c r="AE259" s="1794">
        <f>SUM(J259:AD259)</f>
        <v>0</v>
      </c>
      <c r="AF259" s="1794"/>
      <c r="AG259" s="1794"/>
      <c r="AI259" s="606"/>
      <c r="AJ259" s="607"/>
      <c r="AK259" s="607"/>
      <c r="AL259" s="607"/>
      <c r="AM259" s="607"/>
      <c r="AN259" s="607"/>
      <c r="AO259" s="607"/>
      <c r="AP259" s="608">
        <f>SUM(J259:AD259)-AE259</f>
        <v>0</v>
      </c>
      <c r="AQ259" s="18"/>
      <c r="AR259" s="606"/>
      <c r="AS259" s="607"/>
      <c r="AT259" s="607"/>
      <c r="AU259" s="607"/>
      <c r="AV259" s="607"/>
      <c r="AW259" s="607"/>
      <c r="AX259" s="607"/>
      <c r="AY259" s="619"/>
      <c r="BA259" s="606"/>
      <c r="BB259" s="607"/>
      <c r="BC259" s="607"/>
      <c r="BD259" s="607"/>
      <c r="BE259" s="607"/>
      <c r="BF259" s="607"/>
      <c r="BG259" s="607"/>
      <c r="BH259" s="619"/>
    </row>
    <row r="260" spans="1:60" s="584" customFormat="1" ht="21.75" customHeight="1" thickBot="1">
      <c r="A260" s="597"/>
      <c r="D260" s="1955" t="s">
        <v>30</v>
      </c>
      <c r="E260" s="1956"/>
      <c r="F260" s="1956"/>
      <c r="G260" s="1956"/>
      <c r="H260" s="1956"/>
      <c r="I260" s="1957"/>
      <c r="J260" s="1831">
        <f>J256+J257-J258+J259</f>
        <v>0</v>
      </c>
      <c r="K260" s="1831"/>
      <c r="L260" s="1831"/>
      <c r="M260" s="1831">
        <f t="shared" ref="M260" si="18">M256+M257-M258+M259</f>
        <v>0</v>
      </c>
      <c r="N260" s="1831"/>
      <c r="O260" s="1831"/>
      <c r="P260" s="1831">
        <f t="shared" ref="P260" si="19">P256+P257-P258+P259</f>
        <v>0</v>
      </c>
      <c r="Q260" s="1831"/>
      <c r="R260" s="1831"/>
      <c r="S260" s="1831">
        <f t="shared" ref="S260" si="20">S256+S257-S258+S259</f>
        <v>0</v>
      </c>
      <c r="T260" s="1831"/>
      <c r="U260" s="1831"/>
      <c r="V260" s="1831">
        <f t="shared" ref="V260" si="21">V256+V257-V258+V259</f>
        <v>0</v>
      </c>
      <c r="W260" s="1831"/>
      <c r="X260" s="1831"/>
      <c r="Y260" s="1831">
        <f t="shared" ref="Y260" si="22">Y256+Y257-Y258+Y259</f>
        <v>0</v>
      </c>
      <c r="Z260" s="1831"/>
      <c r="AA260" s="1831"/>
      <c r="AB260" s="1831">
        <f t="shared" ref="AB260" si="23">AB256+AB257-AB258+AB259</f>
        <v>0</v>
      </c>
      <c r="AC260" s="1831"/>
      <c r="AD260" s="1831"/>
      <c r="AE260" s="1831">
        <f t="shared" ref="AE260" si="24">AE256+AE257-AE258+AE259</f>
        <v>0</v>
      </c>
      <c r="AF260" s="1831"/>
      <c r="AG260" s="1831"/>
      <c r="AI260" s="621">
        <f>J256+J257-J258+J259-J260</f>
        <v>0</v>
      </c>
      <c r="AJ260" s="661">
        <f>M256+M257-M258+M259-M260</f>
        <v>0</v>
      </c>
      <c r="AK260" s="661">
        <f>P256+P257-P258+P259-P260</f>
        <v>0</v>
      </c>
      <c r="AL260" s="661">
        <f>S256+S257-S258+S259-S260</f>
        <v>0</v>
      </c>
      <c r="AM260" s="661">
        <f>V256+V257-V258+V259-V260</f>
        <v>0</v>
      </c>
      <c r="AN260" s="661">
        <f>Y256+Y257-Y258+Y259-Y260</f>
        <v>0</v>
      </c>
      <c r="AO260" s="661">
        <f>AB256+AB257-AB258+AB259-AB260</f>
        <v>0</v>
      </c>
      <c r="AP260" s="608">
        <f>AE256+AE257-AE258+AE259-AE260</f>
        <v>0</v>
      </c>
      <c r="AQ260" s="18"/>
      <c r="AR260" s="606"/>
      <c r="AS260" s="607"/>
      <c r="AT260" s="607"/>
      <c r="AU260" s="607"/>
      <c r="AV260" s="607"/>
      <c r="AW260" s="607"/>
      <c r="AX260" s="607"/>
      <c r="AY260" s="619"/>
      <c r="BA260" s="606"/>
      <c r="BB260" s="607"/>
      <c r="BC260" s="607"/>
      <c r="BD260" s="607"/>
      <c r="BE260" s="607"/>
      <c r="BF260" s="607"/>
      <c r="BG260" s="607"/>
      <c r="BH260" s="619"/>
    </row>
    <row r="261" spans="1:60" s="584" customFormat="1" ht="14.5" thickBot="1">
      <c r="A261" s="597"/>
      <c r="D261" s="1966" t="s">
        <v>34</v>
      </c>
      <c r="E261" s="1966"/>
      <c r="F261" s="1966"/>
      <c r="G261" s="1966"/>
      <c r="H261" s="1966"/>
      <c r="I261" s="1966"/>
      <c r="J261" s="1966"/>
      <c r="K261" s="1966"/>
      <c r="L261" s="1966"/>
      <c r="M261" s="1966"/>
      <c r="N261" s="1966"/>
      <c r="O261" s="1966"/>
      <c r="P261" s="1966"/>
      <c r="Q261" s="1966"/>
      <c r="R261" s="1966"/>
      <c r="S261" s="1966"/>
      <c r="T261" s="1966"/>
      <c r="U261" s="1966"/>
      <c r="V261" s="1966"/>
      <c r="W261" s="1966"/>
      <c r="X261" s="1966"/>
      <c r="Y261" s="1966"/>
      <c r="Z261" s="1966"/>
      <c r="AA261" s="1966"/>
      <c r="AB261" s="1966"/>
      <c r="AC261" s="1966"/>
      <c r="AD261" s="1966"/>
      <c r="AE261" s="1966"/>
      <c r="AF261" s="1966"/>
      <c r="AG261" s="1966"/>
      <c r="AH261" s="605"/>
      <c r="AI261" s="606"/>
      <c r="AJ261" s="607"/>
      <c r="AK261" s="607"/>
      <c r="AL261" s="607"/>
      <c r="AM261" s="607"/>
      <c r="AN261" s="607"/>
      <c r="AO261" s="607"/>
      <c r="AP261" s="608"/>
      <c r="AQ261" s="18"/>
      <c r="AR261" s="606"/>
      <c r="AS261" s="607"/>
      <c r="AT261" s="607"/>
      <c r="AU261" s="607"/>
      <c r="AV261" s="607"/>
      <c r="AW261" s="607"/>
      <c r="AX261" s="607"/>
      <c r="AY261" s="619"/>
      <c r="BA261" s="606"/>
      <c r="BB261" s="607"/>
      <c r="BC261" s="607"/>
      <c r="BD261" s="607"/>
      <c r="BE261" s="607"/>
      <c r="BF261" s="607"/>
      <c r="BG261" s="607"/>
      <c r="BH261" s="619"/>
    </row>
    <row r="262" spans="1:60" s="584" customFormat="1" ht="21.75" customHeight="1">
      <c r="A262" s="597"/>
      <c r="D262" s="1802" t="s">
        <v>32</v>
      </c>
      <c r="E262" s="1802"/>
      <c r="F262" s="1802"/>
      <c r="G262" s="1802"/>
      <c r="H262" s="1802"/>
      <c r="I262" s="1802"/>
      <c r="J262" s="1965">
        <f>J244-J250-J256</f>
        <v>23628</v>
      </c>
      <c r="K262" s="1965"/>
      <c r="L262" s="1965"/>
      <c r="M262" s="1965">
        <f>M244-M250-M256</f>
        <v>0</v>
      </c>
      <c r="N262" s="1965"/>
      <c r="O262" s="1965"/>
      <c r="P262" s="1965">
        <f>P244-P250-P256</f>
        <v>0</v>
      </c>
      <c r="Q262" s="1965"/>
      <c r="R262" s="1965"/>
      <c r="S262" s="1965">
        <f>S244-S250-S256</f>
        <v>1500724</v>
      </c>
      <c r="T262" s="1965"/>
      <c r="U262" s="1965"/>
      <c r="V262" s="1965">
        <f>V244-V250-V256</f>
        <v>0</v>
      </c>
      <c r="W262" s="1965"/>
      <c r="X262" s="1965"/>
      <c r="Y262" s="1965">
        <f>Y244-Y250-Y256</f>
        <v>0</v>
      </c>
      <c r="Z262" s="1965"/>
      <c r="AA262" s="1965"/>
      <c r="AB262" s="1965">
        <f>AB244-AB250-AB256</f>
        <v>0</v>
      </c>
      <c r="AC262" s="1965"/>
      <c r="AD262" s="1965"/>
      <c r="AE262" s="1965">
        <f>AE244-AE250-AE256</f>
        <v>1524352</v>
      </c>
      <c r="AF262" s="1965"/>
      <c r="AG262" s="1965"/>
      <c r="AI262" s="621">
        <f>J244-J250-J256-J262</f>
        <v>0</v>
      </c>
      <c r="AJ262" s="661">
        <f>M244-M250-M256-M262</f>
        <v>0</v>
      </c>
      <c r="AK262" s="661">
        <f>P244-P250-P256-P262</f>
        <v>0</v>
      </c>
      <c r="AL262" s="661">
        <f>S244-S250-S256-S262</f>
        <v>0</v>
      </c>
      <c r="AM262" s="661">
        <f>V244-V250-V256-V262</f>
        <v>0</v>
      </c>
      <c r="AN262" s="661">
        <f>Y244-Y250-Y256-Y262</f>
        <v>0</v>
      </c>
      <c r="AO262" s="661">
        <f>AB244-AB250-AB256-AB262</f>
        <v>0</v>
      </c>
      <c r="AP262" s="608">
        <f>SUM(J262:AD262)-AE262</f>
        <v>0</v>
      </c>
      <c r="AQ262" s="18"/>
      <c r="AR262" s="621">
        <f>J262-J288</f>
        <v>0</v>
      </c>
      <c r="AS262" s="661">
        <f>M262-M288</f>
        <v>0</v>
      </c>
      <c r="AT262" s="661">
        <f>P262-P288</f>
        <v>0</v>
      </c>
      <c r="AU262" s="661">
        <f>S262-S288</f>
        <v>0</v>
      </c>
      <c r="AV262" s="661">
        <f>V262-V288</f>
        <v>0</v>
      </c>
      <c r="AW262" s="661">
        <f>Y262-Y288</f>
        <v>0</v>
      </c>
      <c r="AX262" s="661">
        <f>AB262-AB288</f>
        <v>0</v>
      </c>
      <c r="AY262" s="608">
        <f>AE262-AE288</f>
        <v>0</v>
      </c>
      <c r="BA262" s="606"/>
      <c r="BB262" s="607"/>
      <c r="BC262" s="607"/>
      <c r="BD262" s="607"/>
      <c r="BE262" s="607"/>
      <c r="BF262" s="607"/>
      <c r="BG262" s="607"/>
      <c r="BH262" s="619"/>
    </row>
    <row r="263" spans="1:60" s="584" customFormat="1" ht="21.75" customHeight="1" thickBot="1">
      <c r="A263" s="597"/>
      <c r="D263" s="1894" t="s">
        <v>30</v>
      </c>
      <c r="E263" s="1894"/>
      <c r="F263" s="1894"/>
      <c r="G263" s="1894"/>
      <c r="H263" s="1894"/>
      <c r="I263" s="1894"/>
      <c r="J263" s="1831">
        <f>J248-J254-J260</f>
        <v>15744</v>
      </c>
      <c r="K263" s="1831"/>
      <c r="L263" s="1831"/>
      <c r="M263" s="1831">
        <f>M248-M254-M260</f>
        <v>0</v>
      </c>
      <c r="N263" s="1831"/>
      <c r="O263" s="1831"/>
      <c r="P263" s="1831">
        <f>P248-P254-P260</f>
        <v>0</v>
      </c>
      <c r="Q263" s="1831"/>
      <c r="R263" s="1831"/>
      <c r="S263" s="1831">
        <f>S248-S254-S260</f>
        <v>1184644</v>
      </c>
      <c r="T263" s="1831"/>
      <c r="U263" s="1831"/>
      <c r="V263" s="1831">
        <f>V248-V254-V260</f>
        <v>0</v>
      </c>
      <c r="W263" s="1831"/>
      <c r="X263" s="1831"/>
      <c r="Y263" s="1831">
        <f>Y248-Y254-Y260</f>
        <v>0</v>
      </c>
      <c r="Z263" s="1831"/>
      <c r="AA263" s="1831"/>
      <c r="AB263" s="1831">
        <f>AB248-AB254-AB260</f>
        <v>0</v>
      </c>
      <c r="AC263" s="1831"/>
      <c r="AD263" s="1831"/>
      <c r="AE263" s="1831">
        <f>AE248-AE254-AE260</f>
        <v>1200388</v>
      </c>
      <c r="AF263" s="1831"/>
      <c r="AG263" s="1831"/>
      <c r="AI263" s="609">
        <f>J248-J254-J260-J263</f>
        <v>0</v>
      </c>
      <c r="AJ263" s="610">
        <f>M248-M254-M260-M263</f>
        <v>0</v>
      </c>
      <c r="AK263" s="610">
        <f>P248-P254-P260-P263</f>
        <v>0</v>
      </c>
      <c r="AL263" s="610">
        <f>S248-S254-S260-S263</f>
        <v>0</v>
      </c>
      <c r="AM263" s="610">
        <f>V248-V254-V260-V263</f>
        <v>0</v>
      </c>
      <c r="AN263" s="610">
        <f>Y248-Y254-Y260-Y263</f>
        <v>0</v>
      </c>
      <c r="AO263" s="610">
        <f>AB248-AB254-AB260-AB263</f>
        <v>0</v>
      </c>
      <c r="AP263" s="611">
        <f>SUM(J263:AD263)-AE263</f>
        <v>0</v>
      </c>
      <c r="AQ263" s="18"/>
      <c r="AR263" s="777"/>
      <c r="AS263" s="778"/>
      <c r="AT263" s="778"/>
      <c r="AU263" s="778"/>
      <c r="AV263" s="778"/>
      <c r="AW263" s="778"/>
      <c r="AX263" s="778"/>
      <c r="AY263" s="779"/>
      <c r="BA263" s="609">
        <f>J263-BS!$F$13</f>
        <v>0</v>
      </c>
      <c r="BB263" s="610">
        <f>M263-BS!$F$14</f>
        <v>0</v>
      </c>
      <c r="BC263" s="610">
        <f>P263-BS!$F$15</f>
        <v>0</v>
      </c>
      <c r="BD263" s="610">
        <f>S263-BS!$F$16</f>
        <v>0</v>
      </c>
      <c r="BE263" s="610">
        <f>V263-BS!$F$17</f>
        <v>0</v>
      </c>
      <c r="BF263" s="610">
        <f>Y263-BS!$F$18</f>
        <v>0</v>
      </c>
      <c r="BG263" s="610">
        <f>AB263-BS!$F$19</f>
        <v>0</v>
      </c>
      <c r="BH263" s="611">
        <f>AE263-BS!$F$12</f>
        <v>0</v>
      </c>
    </row>
    <row r="264" spans="1:60" s="584" customFormat="1" ht="14">
      <c r="A264" s="597"/>
      <c r="D264" s="773"/>
      <c r="E264" s="773"/>
      <c r="F264" s="773"/>
      <c r="G264" s="773"/>
      <c r="AI264" s="18"/>
      <c r="AJ264" s="18"/>
      <c r="AK264" s="18"/>
      <c r="AL264" s="18"/>
      <c r="AM264" s="18"/>
      <c r="AN264" s="18"/>
      <c r="AO264" s="18"/>
      <c r="AP264" s="18"/>
      <c r="AQ264" s="18"/>
    </row>
    <row r="265" spans="1:60" s="584" customFormat="1" ht="14.5" thickBot="1">
      <c r="A265" s="597"/>
      <c r="D265" s="773"/>
      <c r="E265" s="773"/>
      <c r="F265" s="773"/>
      <c r="G265" s="773"/>
      <c r="AI265" s="18"/>
      <c r="AJ265" s="18"/>
      <c r="AK265" s="18"/>
      <c r="AL265" s="18"/>
      <c r="AM265" s="18"/>
      <c r="AN265" s="18"/>
      <c r="AO265" s="18"/>
      <c r="AP265" s="18"/>
      <c r="AQ265" s="18"/>
    </row>
    <row r="266" spans="1:60" s="584" customFormat="1" ht="14.5" thickBot="1">
      <c r="A266" s="597"/>
      <c r="D266" s="1877" t="s">
        <v>20</v>
      </c>
      <c r="E266" s="1878"/>
      <c r="F266" s="1878"/>
      <c r="G266" s="1878"/>
      <c r="H266" s="1878"/>
      <c r="I266" s="1881"/>
      <c r="J266" s="1921" t="s">
        <v>3</v>
      </c>
      <c r="K266" s="1921"/>
      <c r="L266" s="1921"/>
      <c r="M266" s="1921"/>
      <c r="N266" s="1921"/>
      <c r="O266" s="1921"/>
      <c r="P266" s="1921"/>
      <c r="Q266" s="1921"/>
      <c r="R266" s="1921"/>
      <c r="S266" s="1921"/>
      <c r="T266" s="1921"/>
      <c r="U266" s="1921"/>
      <c r="V266" s="1921"/>
      <c r="W266" s="1921"/>
      <c r="X266" s="1921"/>
      <c r="Y266" s="1921"/>
      <c r="Z266" s="1921"/>
      <c r="AA266" s="1921"/>
      <c r="AB266" s="1921"/>
      <c r="AC266" s="1921"/>
      <c r="AD266" s="1921"/>
      <c r="AE266" s="1921"/>
      <c r="AF266" s="1921"/>
      <c r="AG266" s="1921"/>
      <c r="AI266" s="18"/>
      <c r="AJ266" s="18"/>
      <c r="AK266" s="18"/>
      <c r="AL266" s="18"/>
      <c r="AM266" s="18"/>
      <c r="AN266" s="18"/>
      <c r="AO266" s="18"/>
      <c r="AP266" s="18"/>
      <c r="AQ266" s="18"/>
    </row>
    <row r="267" spans="1:60" s="584" customFormat="1" ht="32.5" thickTop="1" thickBot="1">
      <c r="A267" s="597"/>
      <c r="D267" s="1879"/>
      <c r="E267" s="1880"/>
      <c r="F267" s="1880"/>
      <c r="G267" s="1880"/>
      <c r="H267" s="1880"/>
      <c r="I267" s="1882"/>
      <c r="J267" s="1851" t="s">
        <v>441</v>
      </c>
      <c r="K267" s="1851"/>
      <c r="L267" s="1851"/>
      <c r="M267" s="1851" t="s">
        <v>21</v>
      </c>
      <c r="N267" s="1851"/>
      <c r="O267" s="1851"/>
      <c r="P267" s="1851" t="s">
        <v>442</v>
      </c>
      <c r="Q267" s="1851"/>
      <c r="R267" s="1851"/>
      <c r="S267" s="1851" t="s">
        <v>22</v>
      </c>
      <c r="T267" s="1851"/>
      <c r="U267" s="1851"/>
      <c r="V267" s="1851" t="s">
        <v>23</v>
      </c>
      <c r="W267" s="1851"/>
      <c r="X267" s="1851"/>
      <c r="Y267" s="1851" t="s">
        <v>443</v>
      </c>
      <c r="Z267" s="1851"/>
      <c r="AA267" s="1851"/>
      <c r="AB267" s="1851" t="s">
        <v>24</v>
      </c>
      <c r="AC267" s="1851"/>
      <c r="AD267" s="1851"/>
      <c r="AE267" s="1851" t="s">
        <v>14</v>
      </c>
      <c r="AF267" s="1851"/>
      <c r="AG267" s="1851"/>
      <c r="AI267" s="764" t="s">
        <v>441</v>
      </c>
      <c r="AJ267" s="765" t="s">
        <v>21</v>
      </c>
      <c r="AK267" s="765" t="s">
        <v>442</v>
      </c>
      <c r="AL267" s="764" t="s">
        <v>22</v>
      </c>
      <c r="AM267" s="765" t="s">
        <v>23</v>
      </c>
      <c r="AN267" s="765" t="s">
        <v>443</v>
      </c>
      <c r="AO267" s="765" t="s">
        <v>24</v>
      </c>
      <c r="AP267" s="765" t="s">
        <v>14</v>
      </c>
      <c r="AQ267" s="18"/>
      <c r="AR267" s="59" t="s">
        <v>441</v>
      </c>
      <c r="AS267" s="763" t="s">
        <v>21</v>
      </c>
      <c r="AT267" s="763" t="s">
        <v>442</v>
      </c>
      <c r="AU267" s="59" t="s">
        <v>22</v>
      </c>
      <c r="AV267" s="763" t="s">
        <v>23</v>
      </c>
      <c r="AW267" s="763" t="s">
        <v>443</v>
      </c>
      <c r="AX267" s="763" t="s">
        <v>24</v>
      </c>
      <c r="AY267" s="763" t="s">
        <v>14</v>
      </c>
      <c r="BA267" s="764" t="s">
        <v>441</v>
      </c>
      <c r="BB267" s="765" t="s">
        <v>21</v>
      </c>
      <c r="BC267" s="765" t="s">
        <v>442</v>
      </c>
      <c r="BD267" s="764" t="s">
        <v>22</v>
      </c>
      <c r="BE267" s="765" t="s">
        <v>23</v>
      </c>
      <c r="BF267" s="765" t="s">
        <v>443</v>
      </c>
      <c r="BG267" s="765" t="s">
        <v>24</v>
      </c>
      <c r="BH267" s="765" t="s">
        <v>14</v>
      </c>
    </row>
    <row r="268" spans="1:60" s="584" customFormat="1" ht="14.5" thickBot="1">
      <c r="A268" s="597"/>
      <c r="D268" s="1966" t="s">
        <v>25</v>
      </c>
      <c r="E268" s="1966"/>
      <c r="F268" s="1966"/>
      <c r="G268" s="1966"/>
      <c r="H268" s="1966"/>
      <c r="I268" s="1966"/>
      <c r="J268" s="1966"/>
      <c r="K268" s="1966"/>
      <c r="L268" s="1966"/>
      <c r="M268" s="1966"/>
      <c r="N268" s="1966"/>
      <c r="O268" s="1966"/>
      <c r="P268" s="1966"/>
      <c r="Q268" s="1966"/>
      <c r="R268" s="1966"/>
      <c r="S268" s="1966"/>
      <c r="T268" s="1966"/>
      <c r="U268" s="1966"/>
      <c r="V268" s="1966"/>
      <c r="W268" s="1966"/>
      <c r="X268" s="1966"/>
      <c r="Y268" s="1966"/>
      <c r="Z268" s="1966"/>
      <c r="AA268" s="1966"/>
      <c r="AB268" s="1966"/>
      <c r="AC268" s="1966"/>
      <c r="AD268" s="1966"/>
      <c r="AE268" s="1966"/>
      <c r="AF268" s="1966"/>
      <c r="AG268" s="1966"/>
      <c r="AH268" s="605"/>
      <c r="AI268" s="612"/>
      <c r="AJ268" s="613"/>
      <c r="AK268" s="613"/>
      <c r="AL268" s="613"/>
      <c r="AM268" s="613"/>
      <c r="AN268" s="613"/>
      <c r="AO268" s="613"/>
      <c r="AP268" s="618"/>
      <c r="AQ268" s="18"/>
      <c r="BA268" s="612"/>
      <c r="BB268" s="613"/>
      <c r="BC268" s="613"/>
      <c r="BD268" s="613"/>
      <c r="BE268" s="613"/>
      <c r="BF268" s="613"/>
      <c r="BG268" s="613"/>
      <c r="BH268" s="618"/>
    </row>
    <row r="269" spans="1:60" s="584" customFormat="1" ht="21.75" customHeight="1">
      <c r="A269" s="597"/>
      <c r="D269" s="1922" t="s">
        <v>26</v>
      </c>
      <c r="E269" s="1922"/>
      <c r="F269" s="1922"/>
      <c r="G269" s="1922"/>
      <c r="H269" s="1922"/>
      <c r="I269" s="1922"/>
      <c r="J269" s="2146">
        <v>39396</v>
      </c>
      <c r="K269" s="2146"/>
      <c r="L269" s="2146"/>
      <c r="M269" s="1829">
        <v>0</v>
      </c>
      <c r="N269" s="1829"/>
      <c r="O269" s="1829"/>
      <c r="P269" s="1829">
        <v>0</v>
      </c>
      <c r="Q269" s="1829"/>
      <c r="R269" s="1829"/>
      <c r="S269" s="2146">
        <v>2211884</v>
      </c>
      <c r="T269" s="2146"/>
      <c r="U269" s="2146"/>
      <c r="V269" s="1829">
        <v>0</v>
      </c>
      <c r="W269" s="1829"/>
      <c r="X269" s="1829"/>
      <c r="Y269" s="1829">
        <v>0</v>
      </c>
      <c r="Z269" s="1829"/>
      <c r="AA269" s="1829"/>
      <c r="AB269" s="1829">
        <v>0</v>
      </c>
      <c r="AC269" s="1829"/>
      <c r="AD269" s="1829"/>
      <c r="AE269" s="2147">
        <f>SUM(J269:AD269)</f>
        <v>2251280</v>
      </c>
      <c r="AF269" s="2147"/>
      <c r="AG269" s="2147"/>
      <c r="AI269" s="606"/>
      <c r="AJ269" s="607"/>
      <c r="AK269" s="607"/>
      <c r="AL269" s="607"/>
      <c r="AM269" s="607"/>
      <c r="AN269" s="607"/>
      <c r="AO269" s="607"/>
      <c r="AP269" s="608">
        <f>SUM(J269:AD269)-AE269</f>
        <v>0</v>
      </c>
      <c r="AQ269" s="18"/>
      <c r="BA269" s="606"/>
      <c r="BB269" s="607"/>
      <c r="BC269" s="607"/>
      <c r="BD269" s="607"/>
      <c r="BE269" s="607"/>
      <c r="BF269" s="607"/>
      <c r="BG269" s="607"/>
      <c r="BH269" s="619"/>
    </row>
    <row r="270" spans="1:60" s="584" customFormat="1" ht="14">
      <c r="A270" s="597"/>
      <c r="D270" s="1958" t="s">
        <v>27</v>
      </c>
      <c r="E270" s="1958"/>
      <c r="F270" s="1958"/>
      <c r="G270" s="1958"/>
      <c r="H270" s="1958"/>
      <c r="I270" s="1958"/>
      <c r="J270" s="1901">
        <v>0</v>
      </c>
      <c r="K270" s="1901"/>
      <c r="L270" s="1901"/>
      <c r="M270" s="1901">
        <v>0</v>
      </c>
      <c r="N270" s="1901"/>
      <c r="O270" s="1901"/>
      <c r="P270" s="1901">
        <v>0</v>
      </c>
      <c r="Q270" s="1901"/>
      <c r="R270" s="1901"/>
      <c r="S270" s="1901">
        <v>0</v>
      </c>
      <c r="T270" s="1901"/>
      <c r="U270" s="1901"/>
      <c r="V270" s="1901">
        <v>0</v>
      </c>
      <c r="W270" s="1901"/>
      <c r="X270" s="1901"/>
      <c r="Y270" s="1901">
        <v>0</v>
      </c>
      <c r="Z270" s="1901"/>
      <c r="AA270" s="1901"/>
      <c r="AB270" s="1901">
        <v>0</v>
      </c>
      <c r="AC270" s="1901"/>
      <c r="AD270" s="1901"/>
      <c r="AE270" s="1902">
        <f>SUM(J270:AD270)</f>
        <v>0</v>
      </c>
      <c r="AF270" s="1902"/>
      <c r="AG270" s="1902"/>
      <c r="AI270" s="606"/>
      <c r="AJ270" s="607"/>
      <c r="AK270" s="607"/>
      <c r="AL270" s="607"/>
      <c r="AM270" s="607"/>
      <c r="AN270" s="607"/>
      <c r="AO270" s="607"/>
      <c r="AP270" s="608">
        <f>SUM(J270:AD270)-AE270</f>
        <v>0</v>
      </c>
      <c r="AQ270" s="18"/>
      <c r="BA270" s="606"/>
      <c r="BB270" s="607"/>
      <c r="BC270" s="607"/>
      <c r="BD270" s="607"/>
      <c r="BE270" s="607"/>
      <c r="BF270" s="607"/>
      <c r="BG270" s="607"/>
      <c r="BH270" s="619"/>
    </row>
    <row r="271" spans="1:60" s="584" customFormat="1" ht="14">
      <c r="A271" s="597"/>
      <c r="D271" s="1958" t="s">
        <v>28</v>
      </c>
      <c r="E271" s="1958"/>
      <c r="F271" s="1958"/>
      <c r="G271" s="1958"/>
      <c r="H271" s="1958"/>
      <c r="I271" s="1958"/>
      <c r="J271" s="1901">
        <v>0</v>
      </c>
      <c r="K271" s="1901"/>
      <c r="L271" s="1901"/>
      <c r="M271" s="1901">
        <v>0</v>
      </c>
      <c r="N271" s="1901"/>
      <c r="O271" s="1901"/>
      <c r="P271" s="1901">
        <v>0</v>
      </c>
      <c r="Q271" s="1901"/>
      <c r="R271" s="1901"/>
      <c r="S271" s="1901">
        <v>0</v>
      </c>
      <c r="T271" s="1901"/>
      <c r="U271" s="1901"/>
      <c r="V271" s="1901">
        <v>0</v>
      </c>
      <c r="W271" s="1901"/>
      <c r="X271" s="1901"/>
      <c r="Y271" s="1901">
        <v>0</v>
      </c>
      <c r="Z271" s="1901"/>
      <c r="AA271" s="1901"/>
      <c r="AB271" s="1901">
        <v>0</v>
      </c>
      <c r="AC271" s="1901"/>
      <c r="AD271" s="1901"/>
      <c r="AE271" s="1902">
        <f t="shared" ref="AE271" si="25">SUM(J271:AD271)</f>
        <v>0</v>
      </c>
      <c r="AF271" s="1902"/>
      <c r="AG271" s="1902"/>
      <c r="AI271" s="606"/>
      <c r="AJ271" s="607"/>
      <c r="AK271" s="607"/>
      <c r="AL271" s="607"/>
      <c r="AM271" s="607"/>
      <c r="AN271" s="607"/>
      <c r="AO271" s="607"/>
      <c r="AP271" s="608">
        <f t="shared" ref="AP271" si="26">SUM(J271:AD271)-AE271</f>
        <v>0</v>
      </c>
      <c r="AQ271" s="18"/>
      <c r="BA271" s="606"/>
      <c r="BB271" s="607"/>
      <c r="BC271" s="607"/>
      <c r="BD271" s="607"/>
      <c r="BE271" s="607"/>
      <c r="BF271" s="607"/>
      <c r="BG271" s="607"/>
      <c r="BH271" s="619"/>
    </row>
    <row r="272" spans="1:60" s="584" customFormat="1" ht="14">
      <c r="A272" s="597"/>
      <c r="D272" s="1958" t="s">
        <v>29</v>
      </c>
      <c r="E272" s="1958"/>
      <c r="F272" s="1958"/>
      <c r="G272" s="1958"/>
      <c r="H272" s="1958"/>
      <c r="I272" s="1958"/>
      <c r="J272" s="1901">
        <v>0</v>
      </c>
      <c r="K272" s="1901"/>
      <c r="L272" s="1901"/>
      <c r="M272" s="1901">
        <v>0</v>
      </c>
      <c r="N272" s="1901"/>
      <c r="O272" s="1901"/>
      <c r="P272" s="1901">
        <v>0</v>
      </c>
      <c r="Q272" s="1901"/>
      <c r="R272" s="1901"/>
      <c r="S272" s="1901">
        <v>0</v>
      </c>
      <c r="T272" s="1901"/>
      <c r="U272" s="1901"/>
      <c r="V272" s="1901">
        <v>0</v>
      </c>
      <c r="W272" s="1901"/>
      <c r="X272" s="1901"/>
      <c r="Y272" s="1901">
        <v>0</v>
      </c>
      <c r="Z272" s="1901"/>
      <c r="AA272" s="1901"/>
      <c r="AB272" s="1901">
        <v>0</v>
      </c>
      <c r="AC272" s="1901"/>
      <c r="AD272" s="1901"/>
      <c r="AE272" s="1902">
        <f>SUM(J272:AD272)</f>
        <v>0</v>
      </c>
      <c r="AF272" s="1902"/>
      <c r="AG272" s="1902"/>
      <c r="AI272" s="606"/>
      <c r="AJ272" s="607"/>
      <c r="AK272" s="607"/>
      <c r="AL272" s="607"/>
      <c r="AM272" s="607"/>
      <c r="AN272" s="607"/>
      <c r="AO272" s="607"/>
      <c r="AP272" s="608">
        <f>SUM(J272:AD272)-AE272</f>
        <v>0</v>
      </c>
      <c r="AQ272" s="18"/>
      <c r="BA272" s="606"/>
      <c r="BB272" s="607"/>
      <c r="BC272" s="607"/>
      <c r="BD272" s="607"/>
      <c r="BE272" s="607"/>
      <c r="BF272" s="607"/>
      <c r="BG272" s="607"/>
      <c r="BH272" s="619"/>
    </row>
    <row r="273" spans="1:60" s="584" customFormat="1" ht="21.75" customHeight="1" thickBot="1">
      <c r="A273" s="597"/>
      <c r="D273" s="1894" t="s">
        <v>30</v>
      </c>
      <c r="E273" s="1894"/>
      <c r="F273" s="1894"/>
      <c r="G273" s="1894"/>
      <c r="H273" s="1894"/>
      <c r="I273" s="1894"/>
      <c r="J273" s="1945">
        <f>J269+J270-J271+J272</f>
        <v>39396</v>
      </c>
      <c r="K273" s="1945"/>
      <c r="L273" s="1945"/>
      <c r="M273" s="1945">
        <f t="shared" ref="M273" si="27">M269+M270-M271+M272</f>
        <v>0</v>
      </c>
      <c r="N273" s="1945"/>
      <c r="O273" s="1945"/>
      <c r="P273" s="1945">
        <f t="shared" ref="P273" si="28">P269+P270-P271+P272</f>
        <v>0</v>
      </c>
      <c r="Q273" s="1945"/>
      <c r="R273" s="1945"/>
      <c r="S273" s="1945">
        <f t="shared" ref="S273" si="29">S269+S270-S271+S272</f>
        <v>2211884</v>
      </c>
      <c r="T273" s="1945"/>
      <c r="U273" s="1945"/>
      <c r="V273" s="1945">
        <f t="shared" ref="V273" si="30">V269+V270-V271+V272</f>
        <v>0</v>
      </c>
      <c r="W273" s="1945"/>
      <c r="X273" s="1945"/>
      <c r="Y273" s="1945">
        <f t="shared" ref="Y273" si="31">Y269+Y270-Y271+Y272</f>
        <v>0</v>
      </c>
      <c r="Z273" s="1945"/>
      <c r="AA273" s="1945"/>
      <c r="AB273" s="1945">
        <f t="shared" ref="AB273" si="32">AB269+AB270-AB271+AB272</f>
        <v>0</v>
      </c>
      <c r="AC273" s="1945"/>
      <c r="AD273" s="1945"/>
      <c r="AE273" s="1945">
        <f t="shared" ref="AE273" si="33">AE269+AE270-AE271+AE272</f>
        <v>2251280</v>
      </c>
      <c r="AF273" s="1945"/>
      <c r="AG273" s="1945"/>
      <c r="AI273" s="621">
        <f>J269+J270-J271+J272-J273</f>
        <v>0</v>
      </c>
      <c r="AJ273" s="661">
        <f>M269+M270-M271+M272-M273</f>
        <v>0</v>
      </c>
      <c r="AK273" s="661">
        <f>P269+P270-P271+P272-P273</f>
        <v>0</v>
      </c>
      <c r="AL273" s="661">
        <f>S269+S270-S271+S272-S273</f>
        <v>0</v>
      </c>
      <c r="AM273" s="661">
        <f>V269+V270-V271+V272-V273</f>
        <v>0</v>
      </c>
      <c r="AN273" s="661">
        <f>Y269+Y270-Y271+Y272-Y273</f>
        <v>0</v>
      </c>
      <c r="AO273" s="661">
        <f>AB269+AB270-AB271+AB272-AB273</f>
        <v>0</v>
      </c>
      <c r="AP273" s="608">
        <f>AE269+AE270-AE271+AE272-AE273</f>
        <v>0</v>
      </c>
      <c r="AQ273" s="18"/>
      <c r="BA273" s="621"/>
      <c r="BB273" s="661"/>
      <c r="BC273" s="661"/>
      <c r="BD273" s="661"/>
      <c r="BE273" s="661"/>
      <c r="BF273" s="661"/>
      <c r="BG273" s="661"/>
      <c r="BH273" s="608"/>
    </row>
    <row r="274" spans="1:60" s="584" customFormat="1" ht="14.5" thickBot="1">
      <c r="A274" s="597"/>
      <c r="D274" s="1943" t="s">
        <v>31</v>
      </c>
      <c r="E274" s="1943"/>
      <c r="F274" s="1943"/>
      <c r="G274" s="1943"/>
      <c r="H274" s="1943"/>
      <c r="I274" s="1943"/>
      <c r="J274" s="1943"/>
      <c r="K274" s="1943"/>
      <c r="L274" s="1943"/>
      <c r="M274" s="1943"/>
      <c r="N274" s="1943"/>
      <c r="O274" s="1943"/>
      <c r="P274" s="1943"/>
      <c r="Q274" s="1943"/>
      <c r="R274" s="1943"/>
      <c r="S274" s="1943"/>
      <c r="T274" s="1943"/>
      <c r="U274" s="1943"/>
      <c r="V274" s="1943"/>
      <c r="W274" s="1943"/>
      <c r="X274" s="1943"/>
      <c r="Y274" s="1943"/>
      <c r="Z274" s="1943"/>
      <c r="AA274" s="1943"/>
      <c r="AB274" s="1943"/>
      <c r="AC274" s="1943"/>
      <c r="AD274" s="1943"/>
      <c r="AE274" s="1943"/>
      <c r="AF274" s="1943"/>
      <c r="AG274" s="1943"/>
      <c r="AH274" s="605"/>
      <c r="AI274" s="606"/>
      <c r="AJ274" s="607"/>
      <c r="AK274" s="607"/>
      <c r="AL274" s="607"/>
      <c r="AM274" s="607"/>
      <c r="AN274" s="607"/>
      <c r="AO274" s="607"/>
      <c r="AP274" s="608"/>
      <c r="AQ274" s="18"/>
      <c r="BA274" s="606"/>
      <c r="BB274" s="607"/>
      <c r="BC274" s="607"/>
      <c r="BD274" s="607"/>
      <c r="BE274" s="607"/>
      <c r="BF274" s="607"/>
      <c r="BG274" s="607"/>
      <c r="BH274" s="619"/>
    </row>
    <row r="275" spans="1:60" s="584" customFormat="1" ht="21.75" customHeight="1">
      <c r="A275" s="597"/>
      <c r="D275" s="1959" t="s">
        <v>32</v>
      </c>
      <c r="E275" s="1960"/>
      <c r="F275" s="1960"/>
      <c r="G275" s="1960"/>
      <c r="H275" s="1960"/>
      <c r="I275" s="1961"/>
      <c r="J275" s="1934">
        <v>7884</v>
      </c>
      <c r="K275" s="1935"/>
      <c r="L275" s="1936"/>
      <c r="M275" s="1934">
        <v>0</v>
      </c>
      <c r="N275" s="1935"/>
      <c r="O275" s="1936"/>
      <c r="P275" s="1934">
        <v>0</v>
      </c>
      <c r="Q275" s="1935"/>
      <c r="R275" s="1936"/>
      <c r="S275" s="1934">
        <v>395080</v>
      </c>
      <c r="T275" s="1935"/>
      <c r="U275" s="1936"/>
      <c r="V275" s="1934">
        <v>0</v>
      </c>
      <c r="W275" s="1935"/>
      <c r="X275" s="1936"/>
      <c r="Y275" s="1934">
        <v>0</v>
      </c>
      <c r="Z275" s="1935"/>
      <c r="AA275" s="1936"/>
      <c r="AB275" s="1934">
        <v>0</v>
      </c>
      <c r="AC275" s="1935"/>
      <c r="AD275" s="1936"/>
      <c r="AE275" s="1962">
        <f>SUM(J275:AD275)</f>
        <v>402964</v>
      </c>
      <c r="AF275" s="1963"/>
      <c r="AG275" s="1964"/>
      <c r="AI275" s="606"/>
      <c r="AJ275" s="607"/>
      <c r="AK275" s="607"/>
      <c r="AL275" s="607"/>
      <c r="AM275" s="607"/>
      <c r="AN275" s="607"/>
      <c r="AO275" s="607"/>
      <c r="AP275" s="608">
        <f>SUM(J275:AD275)-AE275</f>
        <v>0</v>
      </c>
      <c r="AQ275" s="18"/>
      <c r="BA275" s="606"/>
      <c r="BB275" s="607"/>
      <c r="BC275" s="607"/>
      <c r="BD275" s="607"/>
      <c r="BE275" s="607"/>
      <c r="BF275" s="607"/>
      <c r="BG275" s="607"/>
      <c r="BH275" s="619"/>
    </row>
    <row r="276" spans="1:60" s="584" customFormat="1" ht="14">
      <c r="A276" s="597"/>
      <c r="D276" s="1946" t="s">
        <v>27</v>
      </c>
      <c r="E276" s="1947"/>
      <c r="F276" s="1947"/>
      <c r="G276" s="1947"/>
      <c r="H276" s="1947"/>
      <c r="I276" s="1948"/>
      <c r="J276" s="1949">
        <v>7884</v>
      </c>
      <c r="K276" s="1950"/>
      <c r="L276" s="1951"/>
      <c r="M276" s="1949">
        <v>0</v>
      </c>
      <c r="N276" s="1950"/>
      <c r="O276" s="1951"/>
      <c r="P276" s="1949">
        <v>0</v>
      </c>
      <c r="Q276" s="1950"/>
      <c r="R276" s="1951"/>
      <c r="S276" s="1949">
        <v>316080</v>
      </c>
      <c r="T276" s="1950"/>
      <c r="U276" s="1951"/>
      <c r="V276" s="1949">
        <v>0</v>
      </c>
      <c r="W276" s="1950"/>
      <c r="X276" s="1951"/>
      <c r="Y276" s="1949">
        <v>0</v>
      </c>
      <c r="Z276" s="1950"/>
      <c r="AA276" s="1951"/>
      <c r="AB276" s="1949">
        <v>0</v>
      </c>
      <c r="AC276" s="1950"/>
      <c r="AD276" s="1951"/>
      <c r="AE276" s="1952">
        <f>SUM(J276:AD276)</f>
        <v>323964</v>
      </c>
      <c r="AF276" s="1953"/>
      <c r="AG276" s="1954"/>
      <c r="AI276" s="606"/>
      <c r="AJ276" s="607"/>
      <c r="AK276" s="607"/>
      <c r="AL276" s="607"/>
      <c r="AM276" s="607"/>
      <c r="AN276" s="607"/>
      <c r="AO276" s="607"/>
      <c r="AP276" s="608">
        <f t="shared" ref="AP276:AP277" si="34">SUM(J276:AD276)-AE276</f>
        <v>0</v>
      </c>
      <c r="AQ276" s="18"/>
      <c r="BA276" s="606"/>
      <c r="BB276" s="607"/>
      <c r="BC276" s="607"/>
      <c r="BD276" s="607"/>
      <c r="BE276" s="607"/>
      <c r="BF276" s="607"/>
      <c r="BG276" s="607"/>
      <c r="BH276" s="619"/>
    </row>
    <row r="277" spans="1:60" s="584" customFormat="1" ht="14">
      <c r="A277" s="597"/>
      <c r="D277" s="1946" t="s">
        <v>28</v>
      </c>
      <c r="E277" s="1947"/>
      <c r="F277" s="1947"/>
      <c r="G277" s="1947"/>
      <c r="H277" s="1947"/>
      <c r="I277" s="1948"/>
      <c r="J277" s="1949">
        <v>0</v>
      </c>
      <c r="K277" s="1950"/>
      <c r="L277" s="1951"/>
      <c r="M277" s="1949">
        <v>0</v>
      </c>
      <c r="N277" s="1950"/>
      <c r="O277" s="1951"/>
      <c r="P277" s="1949">
        <v>0</v>
      </c>
      <c r="Q277" s="1950"/>
      <c r="R277" s="1951"/>
      <c r="S277" s="1949">
        <v>0</v>
      </c>
      <c r="T277" s="1950"/>
      <c r="U277" s="1951"/>
      <c r="V277" s="1949">
        <v>0</v>
      </c>
      <c r="W277" s="1950"/>
      <c r="X277" s="1951"/>
      <c r="Y277" s="1949">
        <v>0</v>
      </c>
      <c r="Z277" s="1950"/>
      <c r="AA277" s="1951"/>
      <c r="AB277" s="1949">
        <v>0</v>
      </c>
      <c r="AC277" s="1950"/>
      <c r="AD277" s="1951"/>
      <c r="AE277" s="1952">
        <f>SUM(J277:AD277)</f>
        <v>0</v>
      </c>
      <c r="AF277" s="1953"/>
      <c r="AG277" s="1954"/>
      <c r="AI277" s="606"/>
      <c r="AJ277" s="607"/>
      <c r="AK277" s="607"/>
      <c r="AL277" s="607"/>
      <c r="AM277" s="607"/>
      <c r="AN277" s="607"/>
      <c r="AO277" s="607"/>
      <c r="AP277" s="608">
        <f t="shared" si="34"/>
        <v>0</v>
      </c>
      <c r="AQ277" s="18"/>
      <c r="BA277" s="674"/>
      <c r="BB277" s="607"/>
      <c r="BC277" s="607"/>
      <c r="BD277" s="607"/>
      <c r="BE277" s="607"/>
      <c r="BF277" s="607"/>
      <c r="BG277" s="607"/>
      <c r="BH277" s="619"/>
    </row>
    <row r="278" spans="1:60" s="584" customFormat="1" ht="14">
      <c r="A278" s="597"/>
      <c r="D278" s="1958" t="s">
        <v>29</v>
      </c>
      <c r="E278" s="1958"/>
      <c r="F278" s="1958"/>
      <c r="G278" s="1958"/>
      <c r="H278" s="1958"/>
      <c r="I278" s="1958"/>
      <c r="J278" s="1901">
        <v>0</v>
      </c>
      <c r="K278" s="1901"/>
      <c r="L278" s="1901"/>
      <c r="M278" s="1901">
        <v>0</v>
      </c>
      <c r="N278" s="1901"/>
      <c r="O278" s="1901"/>
      <c r="P278" s="1901">
        <v>0</v>
      </c>
      <c r="Q278" s="1901"/>
      <c r="R278" s="1901"/>
      <c r="S278" s="1901">
        <v>0</v>
      </c>
      <c r="T278" s="1901"/>
      <c r="U278" s="1901"/>
      <c r="V278" s="1901">
        <v>0</v>
      </c>
      <c r="W278" s="1901"/>
      <c r="X278" s="1901"/>
      <c r="Y278" s="1901">
        <v>0</v>
      </c>
      <c r="Z278" s="1901"/>
      <c r="AA278" s="1901"/>
      <c r="AB278" s="1901">
        <v>0</v>
      </c>
      <c r="AC278" s="1901"/>
      <c r="AD278" s="1901"/>
      <c r="AE278" s="1902">
        <f>SUM(J278:AD278)</f>
        <v>0</v>
      </c>
      <c r="AF278" s="1902"/>
      <c r="AG278" s="1902"/>
      <c r="AI278" s="606"/>
      <c r="AJ278" s="607"/>
      <c r="AK278" s="607"/>
      <c r="AL278" s="607"/>
      <c r="AM278" s="607"/>
      <c r="AN278" s="607"/>
      <c r="AO278" s="607"/>
      <c r="AP278" s="608">
        <f>SUM(J278:AD278)-AE278</f>
        <v>0</v>
      </c>
      <c r="AQ278" s="18"/>
      <c r="BA278" s="606"/>
      <c r="BB278" s="607"/>
      <c r="BC278" s="607"/>
      <c r="BD278" s="607"/>
      <c r="BE278" s="607"/>
      <c r="BF278" s="607"/>
      <c r="BG278" s="607"/>
      <c r="BH278" s="619"/>
    </row>
    <row r="279" spans="1:60" s="584" customFormat="1" ht="21.75" customHeight="1" thickBot="1">
      <c r="A279" s="597"/>
      <c r="D279" s="1955" t="s">
        <v>30</v>
      </c>
      <c r="E279" s="1956"/>
      <c r="F279" s="1956"/>
      <c r="G279" s="1956"/>
      <c r="H279" s="1956"/>
      <c r="I279" s="1957"/>
      <c r="J279" s="1945">
        <f>J275+J276-J277+J278</f>
        <v>15768</v>
      </c>
      <c r="K279" s="1945"/>
      <c r="L279" s="1945"/>
      <c r="M279" s="1945">
        <f t="shared" ref="M279" si="35">M275+M276-M277+M278</f>
        <v>0</v>
      </c>
      <c r="N279" s="1945"/>
      <c r="O279" s="1945"/>
      <c r="P279" s="1945">
        <f t="shared" ref="P279" si="36">P275+P276-P277+P278</f>
        <v>0</v>
      </c>
      <c r="Q279" s="1945"/>
      <c r="R279" s="1945"/>
      <c r="S279" s="1945">
        <f t="shared" ref="S279" si="37">S275+S276-S277+S278</f>
        <v>711160</v>
      </c>
      <c r="T279" s="1945"/>
      <c r="U279" s="1945"/>
      <c r="V279" s="1945">
        <f t="shared" ref="V279" si="38">V275+V276-V277+V278</f>
        <v>0</v>
      </c>
      <c r="W279" s="1945"/>
      <c r="X279" s="1945"/>
      <c r="Y279" s="1945">
        <f t="shared" ref="Y279" si="39">Y275+Y276-Y277+Y278</f>
        <v>0</v>
      </c>
      <c r="Z279" s="1945"/>
      <c r="AA279" s="1945"/>
      <c r="AB279" s="1945">
        <f t="shared" ref="AB279" si="40">AB275+AB276-AB277+AB278</f>
        <v>0</v>
      </c>
      <c r="AC279" s="1945"/>
      <c r="AD279" s="1945"/>
      <c r="AE279" s="1945">
        <f t="shared" ref="AE279" si="41">AE275+AE276-AE277+AE278</f>
        <v>726928</v>
      </c>
      <c r="AF279" s="1945"/>
      <c r="AG279" s="1945"/>
      <c r="AI279" s="621">
        <f>J275+J276-J277+J278-J279</f>
        <v>0</v>
      </c>
      <c r="AJ279" s="661">
        <f>M275+M276-M277+M278-M279</f>
        <v>0</v>
      </c>
      <c r="AK279" s="661">
        <f>P275+P276-P277+P278-P279</f>
        <v>0</v>
      </c>
      <c r="AL279" s="661">
        <f>S275+S276-S277+S278-S279</f>
        <v>0</v>
      </c>
      <c r="AM279" s="661">
        <f>V275+V276-V277+V278-V279</f>
        <v>0</v>
      </c>
      <c r="AN279" s="661">
        <f>Y275+Y276-Y277+Y278-Y279</f>
        <v>0</v>
      </c>
      <c r="AO279" s="661">
        <f>AB275+AB276-AB277+AB278-AB279</f>
        <v>0</v>
      </c>
      <c r="AP279" s="608">
        <f>AE275+AE276-AE277+AE278-AE279</f>
        <v>0</v>
      </c>
      <c r="AQ279" s="18"/>
      <c r="BA279" s="621"/>
      <c r="BB279" s="661"/>
      <c r="BC279" s="661"/>
      <c r="BD279" s="661"/>
      <c r="BE279" s="661"/>
      <c r="BF279" s="661"/>
      <c r="BG279" s="661"/>
      <c r="BH279" s="608"/>
    </row>
    <row r="280" spans="1:60" s="584" customFormat="1" ht="14.5" thickBot="1">
      <c r="A280" s="597"/>
      <c r="D280" s="1943" t="s">
        <v>33</v>
      </c>
      <c r="E280" s="1943"/>
      <c r="F280" s="1943"/>
      <c r="G280" s="1943"/>
      <c r="H280" s="1943"/>
      <c r="I280" s="1943"/>
      <c r="J280" s="1943"/>
      <c r="K280" s="1943"/>
      <c r="L280" s="1943"/>
      <c r="M280" s="1943"/>
      <c r="N280" s="1943"/>
      <c r="O280" s="1943"/>
      <c r="P280" s="1943"/>
      <c r="Q280" s="1943"/>
      <c r="R280" s="1943"/>
      <c r="S280" s="1943"/>
      <c r="T280" s="1943"/>
      <c r="U280" s="1943"/>
      <c r="V280" s="1943"/>
      <c r="W280" s="1943"/>
      <c r="X280" s="1943"/>
      <c r="Y280" s="1943"/>
      <c r="Z280" s="1943"/>
      <c r="AA280" s="1943"/>
      <c r="AB280" s="1943"/>
      <c r="AC280" s="1943"/>
      <c r="AD280" s="1943"/>
      <c r="AE280" s="1943"/>
      <c r="AF280" s="1943"/>
      <c r="AG280" s="1943"/>
      <c r="AH280" s="605"/>
      <c r="AI280" s="606"/>
      <c r="AJ280" s="607"/>
      <c r="AK280" s="607"/>
      <c r="AL280" s="607"/>
      <c r="AM280" s="607"/>
      <c r="AN280" s="607"/>
      <c r="AO280" s="607"/>
      <c r="AP280" s="608"/>
      <c r="AQ280" s="18"/>
      <c r="BA280" s="606"/>
      <c r="BB280" s="607"/>
      <c r="BC280" s="607"/>
      <c r="BD280" s="607"/>
      <c r="BE280" s="607"/>
      <c r="BF280" s="607"/>
      <c r="BG280" s="607"/>
      <c r="BH280" s="619"/>
    </row>
    <row r="281" spans="1:60" s="584" customFormat="1" ht="21.75" customHeight="1">
      <c r="A281" s="597"/>
      <c r="D281" s="1959" t="s">
        <v>32</v>
      </c>
      <c r="E281" s="1960"/>
      <c r="F281" s="1960"/>
      <c r="G281" s="1960"/>
      <c r="H281" s="1960"/>
      <c r="I281" s="1961"/>
      <c r="J281" s="1934">
        <v>0</v>
      </c>
      <c r="K281" s="1935"/>
      <c r="L281" s="1936"/>
      <c r="M281" s="1934">
        <v>0</v>
      </c>
      <c r="N281" s="1935"/>
      <c r="O281" s="1936"/>
      <c r="P281" s="1934">
        <v>0</v>
      </c>
      <c r="Q281" s="1935"/>
      <c r="R281" s="1936"/>
      <c r="S281" s="1934">
        <v>0</v>
      </c>
      <c r="T281" s="1935"/>
      <c r="U281" s="1936"/>
      <c r="V281" s="1934">
        <v>0</v>
      </c>
      <c r="W281" s="1935"/>
      <c r="X281" s="1936"/>
      <c r="Y281" s="1934">
        <v>0</v>
      </c>
      <c r="Z281" s="1935"/>
      <c r="AA281" s="1936"/>
      <c r="AB281" s="1934">
        <v>0</v>
      </c>
      <c r="AC281" s="1935"/>
      <c r="AD281" s="1936"/>
      <c r="AE281" s="1962">
        <f>SUM(J281:AD281)</f>
        <v>0</v>
      </c>
      <c r="AF281" s="1963"/>
      <c r="AG281" s="1964"/>
      <c r="AI281" s="606"/>
      <c r="AJ281" s="607"/>
      <c r="AK281" s="607"/>
      <c r="AL281" s="607"/>
      <c r="AM281" s="607"/>
      <c r="AN281" s="607"/>
      <c r="AO281" s="607"/>
      <c r="AP281" s="608">
        <f>SUM(J281:AD281)-AE281</f>
        <v>0</v>
      </c>
      <c r="AQ281" s="18"/>
      <c r="BA281" s="606"/>
      <c r="BB281" s="607"/>
      <c r="BC281" s="607"/>
      <c r="BD281" s="607"/>
      <c r="BE281" s="607"/>
      <c r="BF281" s="607"/>
      <c r="BG281" s="607"/>
      <c r="BH281" s="619"/>
    </row>
    <row r="282" spans="1:60" s="584" customFormat="1" ht="14">
      <c r="A282" s="597"/>
      <c r="D282" s="1946" t="s">
        <v>27</v>
      </c>
      <c r="E282" s="1947"/>
      <c r="F282" s="1947"/>
      <c r="G282" s="1947"/>
      <c r="H282" s="1947"/>
      <c r="I282" s="1948"/>
      <c r="J282" s="1949">
        <v>0</v>
      </c>
      <c r="K282" s="1950"/>
      <c r="L282" s="1951"/>
      <c r="M282" s="1949">
        <v>0</v>
      </c>
      <c r="N282" s="1950"/>
      <c r="O282" s="1951"/>
      <c r="P282" s="1949">
        <v>0</v>
      </c>
      <c r="Q282" s="1950"/>
      <c r="R282" s="1951"/>
      <c r="S282" s="1949">
        <v>0</v>
      </c>
      <c r="T282" s="1950"/>
      <c r="U282" s="1951"/>
      <c r="V282" s="1949">
        <v>0</v>
      </c>
      <c r="W282" s="1950"/>
      <c r="X282" s="1951"/>
      <c r="Y282" s="1949">
        <v>0</v>
      </c>
      <c r="Z282" s="1950"/>
      <c r="AA282" s="1951"/>
      <c r="AB282" s="1949">
        <v>0</v>
      </c>
      <c r="AC282" s="1950"/>
      <c r="AD282" s="1951"/>
      <c r="AE282" s="1952">
        <f>SUM(J282:AD282)</f>
        <v>0</v>
      </c>
      <c r="AF282" s="1953"/>
      <c r="AG282" s="1954"/>
      <c r="AI282" s="606"/>
      <c r="AJ282" s="607"/>
      <c r="AK282" s="607"/>
      <c r="AL282" s="607"/>
      <c r="AM282" s="607"/>
      <c r="AN282" s="607"/>
      <c r="AO282" s="607"/>
      <c r="AP282" s="608">
        <f t="shared" ref="AP282:AP283" si="42">SUM(J282:AD282)-AE282</f>
        <v>0</v>
      </c>
      <c r="AQ282" s="18"/>
      <c r="BA282" s="606"/>
      <c r="BB282" s="607"/>
      <c r="BC282" s="607"/>
      <c r="BD282" s="607"/>
      <c r="BE282" s="607"/>
      <c r="BF282" s="607"/>
      <c r="BG282" s="607"/>
      <c r="BH282" s="619"/>
    </row>
    <row r="283" spans="1:60" s="584" customFormat="1" ht="14">
      <c r="A283" s="597"/>
      <c r="D283" s="1946" t="s">
        <v>28</v>
      </c>
      <c r="E283" s="1947"/>
      <c r="F283" s="1947"/>
      <c r="G283" s="1947"/>
      <c r="H283" s="1947"/>
      <c r="I283" s="1948"/>
      <c r="J283" s="1949">
        <v>0</v>
      </c>
      <c r="K283" s="1950"/>
      <c r="L283" s="1951"/>
      <c r="M283" s="1949">
        <v>0</v>
      </c>
      <c r="N283" s="1950"/>
      <c r="O283" s="1951"/>
      <c r="P283" s="1949">
        <v>0</v>
      </c>
      <c r="Q283" s="1950"/>
      <c r="R283" s="1951"/>
      <c r="S283" s="1949">
        <v>0</v>
      </c>
      <c r="T283" s="1950"/>
      <c r="U283" s="1951"/>
      <c r="V283" s="1949">
        <v>0</v>
      </c>
      <c r="W283" s="1950"/>
      <c r="X283" s="1951"/>
      <c r="Y283" s="1949">
        <v>0</v>
      </c>
      <c r="Z283" s="1950"/>
      <c r="AA283" s="1951"/>
      <c r="AB283" s="1949">
        <v>0</v>
      </c>
      <c r="AC283" s="1950"/>
      <c r="AD283" s="1951"/>
      <c r="AE283" s="1952">
        <f>SUM(J282:AD282)</f>
        <v>0</v>
      </c>
      <c r="AF283" s="1953"/>
      <c r="AG283" s="1954"/>
      <c r="AI283" s="606"/>
      <c r="AJ283" s="607"/>
      <c r="AK283" s="607"/>
      <c r="AL283" s="607"/>
      <c r="AM283" s="607"/>
      <c r="AN283" s="607"/>
      <c r="AO283" s="607"/>
      <c r="AP283" s="608">
        <f t="shared" si="42"/>
        <v>0</v>
      </c>
      <c r="AQ283" s="18"/>
      <c r="BA283" s="606"/>
      <c r="BB283" s="607"/>
      <c r="BC283" s="607"/>
      <c r="BD283" s="607"/>
      <c r="BE283" s="607"/>
      <c r="BF283" s="607"/>
      <c r="BG283" s="607"/>
      <c r="BH283" s="619"/>
    </row>
    <row r="284" spans="1:60" s="584" customFormat="1" ht="14">
      <c r="A284" s="597"/>
      <c r="D284" s="1958" t="s">
        <v>29</v>
      </c>
      <c r="E284" s="1958"/>
      <c r="F284" s="1958"/>
      <c r="G284" s="1958"/>
      <c r="H284" s="1958"/>
      <c r="I284" s="1958"/>
      <c r="J284" s="1901">
        <v>0</v>
      </c>
      <c r="K284" s="1901"/>
      <c r="L284" s="1901"/>
      <c r="M284" s="1901">
        <v>0</v>
      </c>
      <c r="N284" s="1901"/>
      <c r="O284" s="1901"/>
      <c r="P284" s="1901">
        <v>0</v>
      </c>
      <c r="Q284" s="1901"/>
      <c r="R284" s="1901"/>
      <c r="S284" s="1901">
        <v>0</v>
      </c>
      <c r="T284" s="1901"/>
      <c r="U284" s="1901"/>
      <c r="V284" s="1901">
        <v>0</v>
      </c>
      <c r="W284" s="1901"/>
      <c r="X284" s="1901"/>
      <c r="Y284" s="1901">
        <v>0</v>
      </c>
      <c r="Z284" s="1901"/>
      <c r="AA284" s="1901"/>
      <c r="AB284" s="1901">
        <v>0</v>
      </c>
      <c r="AC284" s="1901"/>
      <c r="AD284" s="1901"/>
      <c r="AE284" s="1902">
        <f>SUM(J284:AD284)</f>
        <v>0</v>
      </c>
      <c r="AF284" s="1902"/>
      <c r="AG284" s="1902"/>
      <c r="AI284" s="606"/>
      <c r="AJ284" s="607"/>
      <c r="AK284" s="607"/>
      <c r="AL284" s="607"/>
      <c r="AM284" s="607"/>
      <c r="AN284" s="607"/>
      <c r="AO284" s="607"/>
      <c r="AP284" s="608">
        <f>SUM(J284:AD284)-AE284</f>
        <v>0</v>
      </c>
      <c r="AQ284" s="18"/>
      <c r="BA284" s="606"/>
      <c r="BB284" s="607"/>
      <c r="BC284" s="607"/>
      <c r="BD284" s="607"/>
      <c r="BE284" s="607"/>
      <c r="BF284" s="607"/>
      <c r="BG284" s="607"/>
      <c r="BH284" s="619"/>
    </row>
    <row r="285" spans="1:60" s="584" customFormat="1" ht="21.75" customHeight="1" thickBot="1">
      <c r="A285" s="597"/>
      <c r="D285" s="1955" t="s">
        <v>30</v>
      </c>
      <c r="E285" s="1956"/>
      <c r="F285" s="1956"/>
      <c r="G285" s="1956"/>
      <c r="H285" s="1956"/>
      <c r="I285" s="1957"/>
      <c r="J285" s="1945">
        <f>J281+J282-J283+J284</f>
        <v>0</v>
      </c>
      <c r="K285" s="1945"/>
      <c r="L285" s="1945"/>
      <c r="M285" s="1945">
        <f t="shared" ref="M285" si="43">M281+M282-M283+M284</f>
        <v>0</v>
      </c>
      <c r="N285" s="1945"/>
      <c r="O285" s="1945"/>
      <c r="P285" s="1945">
        <f t="shared" ref="P285" si="44">P281+P282-P283+P284</f>
        <v>0</v>
      </c>
      <c r="Q285" s="1945"/>
      <c r="R285" s="1945"/>
      <c r="S285" s="1945">
        <f t="shared" ref="S285" si="45">S281+S282-S283+S284</f>
        <v>0</v>
      </c>
      <c r="T285" s="1945"/>
      <c r="U285" s="1945"/>
      <c r="V285" s="1945">
        <f t="shared" ref="V285" si="46">V281+V282-V283+V284</f>
        <v>0</v>
      </c>
      <c r="W285" s="1945"/>
      <c r="X285" s="1945"/>
      <c r="Y285" s="1945">
        <f t="shared" ref="Y285" si="47">Y281+Y282-Y283+Y284</f>
        <v>0</v>
      </c>
      <c r="Z285" s="1945"/>
      <c r="AA285" s="1945"/>
      <c r="AB285" s="1945">
        <f t="shared" ref="AB285" si="48">AB281+AB282-AB283+AB284</f>
        <v>0</v>
      </c>
      <c r="AC285" s="1945"/>
      <c r="AD285" s="1945"/>
      <c r="AE285" s="1945">
        <f t="shared" ref="AE285" si="49">AE281+AE282-AE283+AE284</f>
        <v>0</v>
      </c>
      <c r="AF285" s="1945"/>
      <c r="AG285" s="1945"/>
      <c r="AI285" s="621">
        <f>J281+J282-J283+J284-J285</f>
        <v>0</v>
      </c>
      <c r="AJ285" s="661">
        <f>M281+M282-M283+M284-M285</f>
        <v>0</v>
      </c>
      <c r="AK285" s="661">
        <f>P281+P282-P283+P284-P285</f>
        <v>0</v>
      </c>
      <c r="AL285" s="661">
        <f>S281+S282-S283+S284-S285</f>
        <v>0</v>
      </c>
      <c r="AM285" s="661">
        <f>V281+V282-V283+V284-V285</f>
        <v>0</v>
      </c>
      <c r="AN285" s="661">
        <f>Y281+Y282-Y283+Y284-Y285</f>
        <v>0</v>
      </c>
      <c r="AO285" s="661">
        <f>AB281+AB282-AB283+AB284-AB285</f>
        <v>0</v>
      </c>
      <c r="AP285" s="608">
        <f>AE281+AE282-AE283+AE284-AE285</f>
        <v>0</v>
      </c>
      <c r="AQ285" s="18"/>
      <c r="BA285" s="606"/>
      <c r="BB285" s="607"/>
      <c r="BC285" s="607"/>
      <c r="BD285" s="607"/>
      <c r="BE285" s="607"/>
      <c r="BF285" s="607"/>
      <c r="BG285" s="607"/>
      <c r="BH285" s="619"/>
    </row>
    <row r="286" spans="1:60" s="584" customFormat="1" ht="14.5" thickBot="1">
      <c r="A286" s="597"/>
      <c r="D286" s="1943" t="s">
        <v>34</v>
      </c>
      <c r="E286" s="1943"/>
      <c r="F286" s="1943"/>
      <c r="G286" s="1943"/>
      <c r="H286" s="1943"/>
      <c r="I286" s="1943"/>
      <c r="J286" s="1943"/>
      <c r="K286" s="1943"/>
      <c r="L286" s="1943"/>
      <c r="M286" s="1943"/>
      <c r="N286" s="1943"/>
      <c r="O286" s="1943"/>
      <c r="P286" s="1943"/>
      <c r="Q286" s="1943"/>
      <c r="R286" s="1943"/>
      <c r="S286" s="1943"/>
      <c r="T286" s="1943"/>
      <c r="U286" s="1943"/>
      <c r="V286" s="1943"/>
      <c r="W286" s="1943"/>
      <c r="X286" s="1943"/>
      <c r="Y286" s="1943"/>
      <c r="Z286" s="1943"/>
      <c r="AA286" s="1943"/>
      <c r="AB286" s="1943"/>
      <c r="AC286" s="1943"/>
      <c r="AD286" s="1943"/>
      <c r="AE286" s="1943"/>
      <c r="AF286" s="1943"/>
      <c r="AG286" s="1943"/>
      <c r="AH286" s="605"/>
      <c r="AI286" s="606"/>
      <c r="AJ286" s="607"/>
      <c r="AK286" s="607"/>
      <c r="AL286" s="607"/>
      <c r="AM286" s="607"/>
      <c r="AN286" s="607"/>
      <c r="AO286" s="607"/>
      <c r="AP286" s="608"/>
      <c r="AQ286" s="18"/>
      <c r="BA286" s="606"/>
      <c r="BB286" s="607"/>
      <c r="BC286" s="607"/>
      <c r="BD286" s="607"/>
      <c r="BE286" s="607"/>
      <c r="BF286" s="607"/>
      <c r="BG286" s="607"/>
      <c r="BH286" s="619"/>
    </row>
    <row r="287" spans="1:60" s="584" customFormat="1" ht="21.75" customHeight="1">
      <c r="A287" s="597"/>
      <c r="D287" s="1802" t="s">
        <v>32</v>
      </c>
      <c r="E287" s="1802"/>
      <c r="F287" s="1802"/>
      <c r="G287" s="1802"/>
      <c r="H287" s="1802"/>
      <c r="I287" s="1802"/>
      <c r="J287" s="1944">
        <f>J269-J275-J281</f>
        <v>31512</v>
      </c>
      <c r="K287" s="1944"/>
      <c r="L287" s="1944"/>
      <c r="M287" s="1944">
        <f>M269-M275-M281</f>
        <v>0</v>
      </c>
      <c r="N287" s="1944"/>
      <c r="O287" s="1944"/>
      <c r="P287" s="1944">
        <f>P269-P275-P281</f>
        <v>0</v>
      </c>
      <c r="Q287" s="1944"/>
      <c r="R287" s="1944"/>
      <c r="S287" s="1944">
        <f>S269-S275-S281</f>
        <v>1816804</v>
      </c>
      <c r="T287" s="1944"/>
      <c r="U287" s="1944"/>
      <c r="V287" s="1944">
        <f>V269-V275-V281</f>
        <v>0</v>
      </c>
      <c r="W287" s="1944"/>
      <c r="X287" s="1944"/>
      <c r="Y287" s="1944">
        <f>Y269-Y275-Y281</f>
        <v>0</v>
      </c>
      <c r="Z287" s="1944"/>
      <c r="AA287" s="1944"/>
      <c r="AB287" s="1944">
        <f>AB269-AB275-AB281</f>
        <v>0</v>
      </c>
      <c r="AC287" s="1944"/>
      <c r="AD287" s="1944"/>
      <c r="AE287" s="1944">
        <f>AE269-AE275-AE281</f>
        <v>1848316</v>
      </c>
      <c r="AF287" s="1944"/>
      <c r="AG287" s="1944"/>
      <c r="AI287" s="621">
        <f>J269-J275-J281-J287</f>
        <v>0</v>
      </c>
      <c r="AJ287" s="661">
        <f>M269-M275-M281-M287</f>
        <v>0</v>
      </c>
      <c r="AK287" s="661">
        <f>P269-P275-P281-P287</f>
        <v>0</v>
      </c>
      <c r="AL287" s="661">
        <f>S269-S275-S281-S287</f>
        <v>0</v>
      </c>
      <c r="AM287" s="661">
        <f>V269-V275-V281-V287</f>
        <v>0</v>
      </c>
      <c r="AN287" s="661">
        <f>Y269-Y275-Y281-Y287</f>
        <v>0</v>
      </c>
      <c r="AO287" s="661">
        <f>AB269-AB275-AB281-AB287</f>
        <v>0</v>
      </c>
      <c r="AP287" s="608">
        <f>SUM(J287:AD287)-AE287</f>
        <v>0</v>
      </c>
      <c r="AQ287" s="18"/>
      <c r="BA287" s="606"/>
      <c r="BB287" s="607"/>
      <c r="BC287" s="607"/>
      <c r="BD287" s="607"/>
      <c r="BE287" s="607"/>
      <c r="BF287" s="607"/>
      <c r="BG287" s="607"/>
      <c r="BH287" s="619"/>
    </row>
    <row r="288" spans="1:60" s="584" customFormat="1" ht="21.75" customHeight="1" thickBot="1">
      <c r="A288" s="597"/>
      <c r="D288" s="1894" t="s">
        <v>30</v>
      </c>
      <c r="E288" s="1894"/>
      <c r="F288" s="1894"/>
      <c r="G288" s="1894"/>
      <c r="H288" s="1894"/>
      <c r="I288" s="1894"/>
      <c r="J288" s="1945">
        <f>J273-J279-J285</f>
        <v>23628</v>
      </c>
      <c r="K288" s="1945"/>
      <c r="L288" s="1945"/>
      <c r="M288" s="1945">
        <f>M273-M279-M285</f>
        <v>0</v>
      </c>
      <c r="N288" s="1945"/>
      <c r="O288" s="1945"/>
      <c r="P288" s="1945">
        <f>P273-P279-P285</f>
        <v>0</v>
      </c>
      <c r="Q288" s="1945"/>
      <c r="R288" s="1945"/>
      <c r="S288" s="1945">
        <f>S273-S279-S285</f>
        <v>1500724</v>
      </c>
      <c r="T288" s="1945"/>
      <c r="U288" s="1945"/>
      <c r="V288" s="1945">
        <f>V273-V279-V285</f>
        <v>0</v>
      </c>
      <c r="W288" s="1945"/>
      <c r="X288" s="1945"/>
      <c r="Y288" s="1945">
        <f>Y273-Y279-Y285</f>
        <v>0</v>
      </c>
      <c r="Z288" s="1945"/>
      <c r="AA288" s="1945"/>
      <c r="AB288" s="1945">
        <f>AB273-AB279-AB285</f>
        <v>0</v>
      </c>
      <c r="AC288" s="1945"/>
      <c r="AD288" s="1945"/>
      <c r="AE288" s="1945">
        <f>AE273-AE279-AE285</f>
        <v>1524352</v>
      </c>
      <c r="AF288" s="1945"/>
      <c r="AG288" s="1945"/>
      <c r="AI288" s="609">
        <f>J273-J279-J285-J288</f>
        <v>0</v>
      </c>
      <c r="AJ288" s="610">
        <f>M273-M279-M285-M288</f>
        <v>0</v>
      </c>
      <c r="AK288" s="610">
        <f>P273-P279-P285-P288</f>
        <v>0</v>
      </c>
      <c r="AL288" s="610">
        <f>S273-S279-S285-S288</f>
        <v>0</v>
      </c>
      <c r="AM288" s="610">
        <f>V273-V279-V285-V288</f>
        <v>0</v>
      </c>
      <c r="AN288" s="610">
        <f>Y273-Y279-Y285-Y288</f>
        <v>0</v>
      </c>
      <c r="AO288" s="610">
        <f>AB273-AB279-AB285-AB288</f>
        <v>0</v>
      </c>
      <c r="AP288" s="611">
        <f>SUM(J288:AD288)-AE288</f>
        <v>0</v>
      </c>
      <c r="AQ288" s="18"/>
      <c r="BA288" s="609">
        <f>J288-BS!$G$13</f>
        <v>0</v>
      </c>
      <c r="BB288" s="610">
        <f>M288-BS!$G$14</f>
        <v>0</v>
      </c>
      <c r="BC288" s="610">
        <f>P288-BS!$G$15</f>
        <v>0</v>
      </c>
      <c r="BD288" s="610">
        <f>S288-BS!$G$16</f>
        <v>0</v>
      </c>
      <c r="BE288" s="610">
        <f>V288-BS!$G$17</f>
        <v>0</v>
      </c>
      <c r="BF288" s="610">
        <f>Y288-BS!$G$18</f>
        <v>0</v>
      </c>
      <c r="BG288" s="610">
        <f>AB288-BS!$G$19</f>
        <v>0</v>
      </c>
      <c r="BH288" s="611">
        <f>AE288-BS!$G$12</f>
        <v>0</v>
      </c>
    </row>
    <row r="289" spans="1:63" s="584" customFormat="1" ht="14">
      <c r="A289" s="597"/>
      <c r="D289" s="773"/>
      <c r="E289" s="773"/>
      <c r="F289" s="773"/>
      <c r="G289" s="773"/>
      <c r="AI289" s="18"/>
      <c r="AJ289" s="18"/>
      <c r="AK289" s="18"/>
      <c r="AL289" s="18"/>
      <c r="AM289" s="18"/>
      <c r="AN289" s="18"/>
      <c r="AO289" s="18"/>
      <c r="AP289" s="18"/>
      <c r="AQ289" s="18"/>
    </row>
    <row r="290" spans="1:63" s="584" customFormat="1" ht="14">
      <c r="A290" s="597"/>
      <c r="D290" s="773"/>
      <c r="E290" s="773"/>
      <c r="F290" s="773"/>
      <c r="G290" s="773"/>
      <c r="AI290" s="18"/>
      <c r="AJ290" s="18"/>
      <c r="AK290" s="18"/>
      <c r="AL290" s="18"/>
      <c r="AM290" s="18"/>
      <c r="AN290" s="18"/>
      <c r="AO290" s="18"/>
      <c r="AP290" s="18"/>
      <c r="AQ290" s="18"/>
    </row>
    <row r="291" spans="1:63" s="584" customFormat="1" ht="14">
      <c r="A291" s="597"/>
      <c r="D291" s="773"/>
      <c r="E291" s="773"/>
      <c r="F291" s="773"/>
      <c r="G291" s="773"/>
      <c r="AI291" s="18"/>
      <c r="AJ291" s="18"/>
      <c r="AK291" s="18"/>
      <c r="AL291" s="18"/>
      <c r="AM291" s="18"/>
      <c r="AN291" s="18"/>
      <c r="AO291" s="18"/>
      <c r="AP291" s="18"/>
      <c r="AQ291" s="18"/>
    </row>
    <row r="292" spans="1:63" s="584" customFormat="1" ht="14.5" thickBot="1">
      <c r="A292" s="597"/>
      <c r="AI292" s="18"/>
      <c r="AJ292" s="18"/>
      <c r="AK292" s="18"/>
      <c r="AL292" s="18"/>
      <c r="AM292" s="18"/>
      <c r="AN292" s="18"/>
      <c r="AO292" s="18"/>
      <c r="AP292" s="18"/>
      <c r="AQ292" s="18"/>
    </row>
    <row r="293" spans="1:63" s="584" customFormat="1" ht="31.5" customHeight="1" thickBot="1">
      <c r="A293" s="597"/>
      <c r="D293" s="1921" t="s">
        <v>20</v>
      </c>
      <c r="E293" s="1921"/>
      <c r="F293" s="1921"/>
      <c r="G293" s="1921"/>
      <c r="H293" s="1921"/>
      <c r="I293" s="1921"/>
      <c r="J293" s="1921"/>
      <c r="K293" s="1921"/>
      <c r="L293" s="1921"/>
      <c r="M293" s="1921"/>
      <c r="N293" s="1921"/>
      <c r="O293" s="1921"/>
      <c r="P293" s="1921"/>
      <c r="Q293" s="1921"/>
      <c r="R293" s="1921"/>
      <c r="S293" s="1921" t="s">
        <v>36</v>
      </c>
      <c r="T293" s="1921"/>
      <c r="U293" s="1921"/>
      <c r="V293" s="1921"/>
      <c r="W293" s="1921"/>
      <c r="X293" s="1921"/>
      <c r="Y293" s="1921"/>
      <c r="Z293" s="1921"/>
      <c r="AA293" s="1921"/>
      <c r="AB293" s="1921"/>
      <c r="AC293" s="1921"/>
      <c r="AD293" s="1921"/>
      <c r="AE293" s="1921"/>
      <c r="AF293" s="1921"/>
      <c r="AG293" s="1921"/>
      <c r="AI293" s="18"/>
      <c r="AJ293" s="18"/>
      <c r="AK293" s="18"/>
      <c r="AL293" s="18"/>
      <c r="AM293" s="18"/>
      <c r="AN293" s="18"/>
      <c r="AO293" s="18"/>
      <c r="AP293" s="18"/>
      <c r="AQ293" s="18"/>
    </row>
    <row r="294" spans="1:63" s="584" customFormat="1" ht="31.5" customHeight="1">
      <c r="A294" s="597"/>
      <c r="D294" s="2129" t="s">
        <v>37</v>
      </c>
      <c r="E294" s="2129"/>
      <c r="F294" s="2129"/>
      <c r="G294" s="2129"/>
      <c r="H294" s="2129"/>
      <c r="I294" s="2129"/>
      <c r="J294" s="2129"/>
      <c r="K294" s="2129"/>
      <c r="L294" s="2129"/>
      <c r="M294" s="2129"/>
      <c r="N294" s="2129"/>
      <c r="O294" s="2129"/>
      <c r="P294" s="2129"/>
      <c r="Q294" s="2129"/>
      <c r="R294" s="2129"/>
      <c r="S294" s="2268" t="s">
        <v>1339</v>
      </c>
      <c r="T294" s="2269"/>
      <c r="U294" s="2269"/>
      <c r="V294" s="2269"/>
      <c r="W294" s="2269"/>
      <c r="X294" s="2269"/>
      <c r="Y294" s="2269"/>
      <c r="Z294" s="2269"/>
      <c r="AA294" s="2269"/>
      <c r="AB294" s="2269"/>
      <c r="AC294" s="2269"/>
      <c r="AD294" s="2269"/>
      <c r="AE294" s="2269"/>
      <c r="AF294" s="2269"/>
      <c r="AG294" s="2269"/>
      <c r="AI294" s="18"/>
      <c r="AJ294" s="18"/>
      <c r="AK294" s="18"/>
      <c r="AL294" s="18"/>
      <c r="AM294" s="18"/>
      <c r="AN294" s="18"/>
      <c r="AO294" s="18"/>
      <c r="AP294" s="18"/>
      <c r="AQ294" s="18"/>
    </row>
    <row r="295" spans="1:63" s="584" customFormat="1" ht="31.5" customHeight="1" thickBot="1">
      <c r="A295" s="597"/>
      <c r="D295" s="1996" t="s">
        <v>38</v>
      </c>
      <c r="E295" s="1996"/>
      <c r="F295" s="1996"/>
      <c r="G295" s="1996"/>
      <c r="H295" s="1996"/>
      <c r="I295" s="1996"/>
      <c r="J295" s="1996"/>
      <c r="K295" s="1996"/>
      <c r="L295" s="1996"/>
      <c r="M295" s="1996"/>
      <c r="N295" s="1996"/>
      <c r="O295" s="1996"/>
      <c r="P295" s="1996"/>
      <c r="Q295" s="1996"/>
      <c r="R295" s="1996"/>
      <c r="S295" s="2287" t="s">
        <v>1339</v>
      </c>
      <c r="T295" s="2288"/>
      <c r="U295" s="2288"/>
      <c r="V295" s="2288"/>
      <c r="W295" s="2288"/>
      <c r="X295" s="2288"/>
      <c r="Y295" s="2288"/>
      <c r="Z295" s="2288"/>
      <c r="AA295" s="2288"/>
      <c r="AB295" s="2288"/>
      <c r="AC295" s="2288"/>
      <c r="AD295" s="2288"/>
      <c r="AE295" s="2288"/>
      <c r="AF295" s="2288"/>
      <c r="AG295" s="2288"/>
      <c r="AI295" s="18"/>
      <c r="AJ295" s="18"/>
      <c r="AK295" s="18"/>
      <c r="AL295" s="18"/>
      <c r="AM295" s="18"/>
      <c r="AN295" s="18"/>
      <c r="AO295" s="18"/>
      <c r="AP295" s="18"/>
      <c r="AQ295" s="18"/>
    </row>
    <row r="296" spans="1:63" s="584" customFormat="1" ht="14">
      <c r="A296" s="597"/>
      <c r="AI296" s="18"/>
      <c r="AJ296" s="18"/>
      <c r="AK296" s="18"/>
      <c r="AL296" s="18"/>
      <c r="AM296" s="18"/>
      <c r="AN296" s="18"/>
      <c r="AO296" s="18"/>
      <c r="AP296" s="18"/>
      <c r="AQ296" s="18"/>
    </row>
    <row r="297" spans="1:63" s="584" customFormat="1" ht="40.5" customHeight="1">
      <c r="A297" s="597"/>
      <c r="D297" s="1937" t="s">
        <v>2996</v>
      </c>
      <c r="E297" s="1938"/>
      <c r="F297" s="1938"/>
      <c r="G297" s="1938"/>
      <c r="H297" s="1938"/>
      <c r="I297" s="1938"/>
      <c r="J297" s="1938"/>
      <c r="K297" s="1938"/>
      <c r="L297" s="1938"/>
      <c r="M297" s="1938"/>
      <c r="N297" s="1938"/>
      <c r="O297" s="1938"/>
      <c r="P297" s="1938"/>
      <c r="Q297" s="1938"/>
      <c r="R297" s="1938"/>
      <c r="S297" s="1938"/>
      <c r="T297" s="1938"/>
      <c r="U297" s="1938"/>
      <c r="V297" s="1938"/>
      <c r="W297" s="1938"/>
      <c r="X297" s="1938"/>
      <c r="Y297" s="1938"/>
      <c r="Z297" s="1938"/>
      <c r="AA297" s="1938"/>
      <c r="AB297" s="1938"/>
      <c r="AC297" s="1938"/>
      <c r="AD297" s="1938"/>
      <c r="AE297" s="1938"/>
      <c r="AF297" s="1938"/>
      <c r="AG297" s="1938"/>
      <c r="AI297" s="18"/>
      <c r="AJ297" s="18"/>
      <c r="AK297" s="18"/>
      <c r="AL297" s="18"/>
      <c r="AM297" s="18"/>
      <c r="AN297" s="18"/>
      <c r="AO297" s="18"/>
      <c r="AP297" s="18"/>
      <c r="AQ297" s="18"/>
    </row>
    <row r="298" spans="1:63" s="584" customFormat="1" ht="71.25" customHeight="1">
      <c r="A298" s="597"/>
      <c r="D298" s="2126" t="s">
        <v>2853</v>
      </c>
      <c r="E298" s="2126"/>
      <c r="F298" s="2126"/>
      <c r="G298" s="2126"/>
      <c r="H298" s="2126"/>
      <c r="I298" s="2126"/>
      <c r="J298" s="2126"/>
      <c r="K298" s="2126"/>
      <c r="L298" s="2126"/>
      <c r="M298" s="2126"/>
      <c r="N298" s="2126"/>
      <c r="O298" s="2126"/>
      <c r="P298" s="2126"/>
      <c r="Q298" s="2126"/>
      <c r="R298" s="2126"/>
      <c r="S298" s="2126"/>
      <c r="T298" s="2126"/>
      <c r="U298" s="2126"/>
      <c r="V298" s="2126"/>
      <c r="W298" s="2126"/>
      <c r="X298" s="2126"/>
      <c r="Y298" s="2126"/>
      <c r="Z298" s="2126"/>
      <c r="AA298" s="2126"/>
      <c r="AB298" s="2126"/>
      <c r="AC298" s="2126"/>
      <c r="AD298" s="2126"/>
      <c r="AE298" s="2126"/>
      <c r="AF298" s="2126"/>
      <c r="AG298" s="2126"/>
      <c r="AI298" s="18"/>
      <c r="AJ298" s="18"/>
      <c r="AK298" s="18"/>
      <c r="AL298" s="18"/>
      <c r="AM298" s="18"/>
      <c r="AN298" s="18"/>
      <c r="AO298" s="18"/>
      <c r="AP298" s="18"/>
      <c r="AQ298" s="18"/>
    </row>
    <row r="299" spans="1:63" s="584" customFormat="1" ht="14">
      <c r="A299" s="597"/>
      <c r="D299" s="1939" t="s">
        <v>2732</v>
      </c>
      <c r="E299" s="1939"/>
      <c r="F299" s="1939"/>
      <c r="G299" s="1939"/>
      <c r="H299" s="1939"/>
      <c r="I299" s="1939"/>
      <c r="J299" s="1939"/>
      <c r="K299" s="1939"/>
      <c r="L299" s="1939"/>
      <c r="M299" s="1939"/>
      <c r="N299" s="1939"/>
      <c r="O299" s="1939"/>
      <c r="P299" s="1939"/>
      <c r="Q299" s="1939"/>
      <c r="R299" s="1939"/>
      <c r="S299" s="1939"/>
      <c r="T299" s="1939"/>
      <c r="U299" s="1939"/>
      <c r="V299" s="1939"/>
      <c r="W299" s="1939"/>
      <c r="X299" s="1939"/>
      <c r="Y299" s="1939"/>
      <c r="Z299" s="1939"/>
      <c r="AA299" s="1939"/>
      <c r="AB299" s="1939"/>
      <c r="AC299" s="1939"/>
      <c r="AD299" s="1939"/>
      <c r="AE299" s="1939"/>
      <c r="AF299" s="1939"/>
      <c r="AG299" s="1939"/>
      <c r="AI299" s="18"/>
      <c r="AJ299" s="18"/>
      <c r="AK299" s="18"/>
      <c r="AL299" s="18"/>
      <c r="AM299" s="18"/>
      <c r="AN299" s="18"/>
      <c r="AO299" s="18"/>
      <c r="AP299" s="18"/>
      <c r="AQ299" s="18"/>
    </row>
    <row r="300" spans="1:63" s="601" customFormat="1" ht="14">
      <c r="A300" s="1433"/>
      <c r="D300" s="1434"/>
      <c r="E300" s="1435"/>
      <c r="F300" s="1435"/>
      <c r="G300" s="1435"/>
      <c r="H300" s="1435"/>
      <c r="I300" s="1435"/>
      <c r="J300" s="1435"/>
      <c r="K300" s="1435"/>
      <c r="L300" s="1435"/>
      <c r="M300" s="1435"/>
      <c r="N300" s="1435"/>
      <c r="O300" s="1435"/>
      <c r="P300" s="1435"/>
      <c r="Q300" s="1435"/>
      <c r="R300" s="1435"/>
      <c r="S300" s="1435"/>
      <c r="T300" s="1435"/>
      <c r="U300" s="1435"/>
      <c r="V300" s="1435"/>
      <c r="W300" s="1435"/>
      <c r="X300" s="1435"/>
      <c r="Y300" s="1435"/>
      <c r="Z300" s="1435"/>
      <c r="AA300" s="1435"/>
      <c r="AB300" s="1435"/>
      <c r="AC300" s="1435"/>
      <c r="AD300" s="1435"/>
      <c r="AE300" s="1435"/>
      <c r="AF300" s="1435"/>
      <c r="AG300" s="1435"/>
      <c r="AI300" s="607"/>
      <c r="AJ300" s="607"/>
      <c r="AK300" s="607"/>
      <c r="AL300" s="607"/>
      <c r="AM300" s="607"/>
      <c r="AN300" s="607"/>
      <c r="AO300" s="607"/>
      <c r="AP300" s="607"/>
      <c r="AQ300" s="607"/>
    </row>
    <row r="301" spans="1:63" s="584" customFormat="1" ht="14">
      <c r="A301" s="597"/>
      <c r="D301" s="582" t="s">
        <v>1403</v>
      </c>
      <c r="E301" s="766"/>
      <c r="F301" s="766"/>
      <c r="G301" s="766"/>
      <c r="H301" s="766"/>
      <c r="I301" s="766"/>
      <c r="J301" s="766"/>
      <c r="K301" s="766"/>
      <c r="L301" s="766"/>
      <c r="M301" s="766"/>
      <c r="N301" s="766"/>
      <c r="O301" s="766"/>
      <c r="P301" s="766"/>
      <c r="Q301" s="766"/>
      <c r="R301" s="766"/>
      <c r="S301" s="766"/>
      <c r="T301" s="766"/>
      <c r="U301" s="766"/>
      <c r="V301" s="766"/>
      <c r="W301" s="766"/>
      <c r="X301" s="766"/>
      <c r="Y301" s="766"/>
      <c r="Z301" s="766"/>
      <c r="AA301" s="766"/>
      <c r="AB301" s="766"/>
      <c r="AC301" s="766"/>
      <c r="AD301" s="766"/>
      <c r="AE301" s="766"/>
      <c r="AF301" s="766"/>
      <c r="AG301" s="766"/>
      <c r="AI301" s="18"/>
      <c r="AJ301" s="18"/>
      <c r="AK301" s="18"/>
      <c r="AL301" s="18"/>
      <c r="AM301" s="18"/>
      <c r="AN301" s="18"/>
      <c r="AO301" s="18"/>
      <c r="AP301" s="18"/>
      <c r="AQ301" s="18"/>
    </row>
    <row r="302" spans="1:63" s="584" customFormat="1" ht="14">
      <c r="A302" s="597"/>
      <c r="E302" s="766"/>
      <c r="F302" s="766"/>
      <c r="G302" s="766"/>
      <c r="H302" s="766"/>
      <c r="I302" s="766"/>
      <c r="J302" s="766"/>
      <c r="K302" s="766"/>
      <c r="L302" s="766"/>
      <c r="M302" s="766"/>
      <c r="N302" s="766"/>
      <c r="O302" s="766"/>
      <c r="P302" s="766"/>
      <c r="Q302" s="766"/>
      <c r="R302" s="766"/>
      <c r="S302" s="766"/>
      <c r="T302" s="766"/>
      <c r="U302" s="766"/>
      <c r="V302" s="766"/>
      <c r="W302" s="766"/>
      <c r="X302" s="766"/>
      <c r="Y302" s="766"/>
      <c r="Z302" s="766"/>
      <c r="AA302" s="766"/>
      <c r="AB302" s="766"/>
      <c r="AC302" s="766"/>
      <c r="AD302" s="766"/>
      <c r="AE302" s="766"/>
      <c r="AF302" s="766"/>
      <c r="AG302" s="766"/>
      <c r="AI302" s="18"/>
      <c r="AJ302" s="18"/>
      <c r="AK302" s="18"/>
      <c r="AL302" s="18"/>
      <c r="AM302" s="18"/>
      <c r="AN302" s="18"/>
      <c r="AO302" s="18"/>
      <c r="AP302" s="18"/>
      <c r="AQ302" s="18"/>
    </row>
    <row r="303" spans="1:63" s="584" customFormat="1" ht="14">
      <c r="A303" s="597"/>
      <c r="D303" s="774" t="s">
        <v>1404</v>
      </c>
      <c r="E303" s="766"/>
      <c r="F303" s="766"/>
      <c r="G303" s="766"/>
      <c r="H303" s="766"/>
      <c r="I303" s="766"/>
      <c r="J303" s="766"/>
      <c r="K303" s="766"/>
      <c r="L303" s="766"/>
      <c r="M303" s="766"/>
      <c r="N303" s="766"/>
      <c r="O303" s="766"/>
      <c r="P303" s="766"/>
      <c r="Q303" s="766"/>
      <c r="R303" s="766"/>
      <c r="S303" s="766"/>
      <c r="T303" s="766"/>
      <c r="U303" s="766"/>
      <c r="V303" s="766"/>
      <c r="W303" s="766"/>
      <c r="X303" s="766"/>
      <c r="Y303" s="766"/>
      <c r="Z303" s="766"/>
      <c r="AA303" s="766"/>
      <c r="AB303" s="766"/>
      <c r="AC303" s="766"/>
      <c r="AD303" s="766"/>
      <c r="AE303" s="766"/>
      <c r="AF303" s="766"/>
      <c r="AG303" s="766"/>
      <c r="AI303" s="18"/>
      <c r="AJ303" s="18"/>
      <c r="AK303" s="18"/>
      <c r="AL303" s="18"/>
      <c r="AM303" s="18"/>
      <c r="AN303" s="18"/>
      <c r="AO303" s="18"/>
      <c r="AP303" s="18"/>
      <c r="AQ303" s="18"/>
    </row>
    <row r="304" spans="1:63" s="584" customFormat="1" ht="14.5" thickBot="1">
      <c r="A304" s="597"/>
      <c r="D304" s="780"/>
      <c r="E304" s="766"/>
      <c r="F304" s="766"/>
      <c r="G304" s="766"/>
      <c r="H304" s="766"/>
      <c r="I304" s="766"/>
      <c r="J304" s="766"/>
      <c r="K304" s="766"/>
      <c r="L304" s="766"/>
      <c r="M304" s="766"/>
      <c r="N304" s="766"/>
      <c r="O304" s="766"/>
      <c r="P304" s="766"/>
      <c r="Q304" s="766"/>
      <c r="R304" s="766"/>
      <c r="S304" s="766"/>
      <c r="T304" s="766"/>
      <c r="U304" s="766"/>
      <c r="V304" s="766"/>
      <c r="W304" s="766"/>
      <c r="X304" s="766"/>
      <c r="Y304" s="766"/>
      <c r="Z304" s="766"/>
      <c r="AA304" s="766"/>
      <c r="AB304" s="766"/>
      <c r="AC304" s="766"/>
      <c r="AD304" s="766"/>
      <c r="AE304" s="766"/>
      <c r="AF304" s="766"/>
      <c r="AG304" s="766"/>
      <c r="AI304" s="1590" t="s">
        <v>1056</v>
      </c>
      <c r="AJ304" s="1590"/>
      <c r="AK304" s="1590"/>
      <c r="AL304" s="1590"/>
      <c r="AM304" s="1590"/>
      <c r="AN304" s="1590"/>
      <c r="AO304" s="1590"/>
      <c r="AP304" s="1590"/>
      <c r="AQ304" s="1590"/>
      <c r="AR304" s="607"/>
      <c r="AS304" s="1590" t="s">
        <v>1057</v>
      </c>
      <c r="AT304" s="1590"/>
      <c r="AU304" s="1590"/>
      <c r="AV304" s="1590"/>
      <c r="AW304" s="1590"/>
      <c r="AX304" s="1590"/>
      <c r="AY304" s="1590"/>
      <c r="AZ304" s="1590"/>
      <c r="BA304" s="1590"/>
      <c r="BB304" s="607"/>
      <c r="BC304" s="1590" t="s">
        <v>1058</v>
      </c>
      <c r="BD304" s="1590"/>
      <c r="BE304" s="1590"/>
      <c r="BF304" s="1590"/>
      <c r="BG304" s="1590"/>
      <c r="BH304" s="1590"/>
      <c r="BI304" s="1590"/>
      <c r="BJ304" s="1590"/>
      <c r="BK304" s="1590"/>
    </row>
    <row r="305" spans="1:63" s="584" customFormat="1" ht="15.75" customHeight="1" thickBot="1">
      <c r="A305" s="597"/>
      <c r="D305" s="1877" t="s">
        <v>40</v>
      </c>
      <c r="E305" s="1878"/>
      <c r="F305" s="1878"/>
      <c r="G305" s="1881"/>
      <c r="H305" s="1921" t="s">
        <v>2</v>
      </c>
      <c r="I305" s="1921"/>
      <c r="J305" s="1921"/>
      <c r="K305" s="1921"/>
      <c r="L305" s="1921"/>
      <c r="M305" s="1921"/>
      <c r="N305" s="1921"/>
      <c r="O305" s="1921"/>
      <c r="P305" s="1921"/>
      <c r="Q305" s="1921"/>
      <c r="R305" s="1921"/>
      <c r="S305" s="1921"/>
      <c r="T305" s="1921"/>
      <c r="U305" s="1921"/>
      <c r="V305" s="1921"/>
      <c r="W305" s="1921"/>
      <c r="X305" s="1921"/>
      <c r="Y305" s="1921"/>
      <c r="Z305" s="1921"/>
      <c r="AA305" s="1921"/>
      <c r="AB305" s="1921"/>
      <c r="AC305" s="1921"/>
      <c r="AD305" s="1921"/>
      <c r="AE305" s="1921"/>
      <c r="AF305" s="1921"/>
      <c r="AG305" s="1921"/>
      <c r="AH305" s="1921"/>
      <c r="AI305" s="18"/>
      <c r="AJ305" s="18"/>
      <c r="AK305" s="18"/>
      <c r="AL305" s="18"/>
      <c r="AM305" s="18"/>
      <c r="AN305" s="18"/>
      <c r="AO305" s="18"/>
      <c r="AP305" s="18"/>
      <c r="AQ305" s="18"/>
    </row>
    <row r="306" spans="1:63" s="584" customFormat="1" ht="55.5" customHeight="1" thickTop="1" thickBot="1">
      <c r="A306" s="597"/>
      <c r="D306" s="1879"/>
      <c r="E306" s="1880"/>
      <c r="F306" s="1880"/>
      <c r="G306" s="1882"/>
      <c r="H306" s="1851" t="s">
        <v>41</v>
      </c>
      <c r="I306" s="1851"/>
      <c r="J306" s="1851"/>
      <c r="K306" s="1851" t="s">
        <v>42</v>
      </c>
      <c r="L306" s="1851"/>
      <c r="M306" s="1851"/>
      <c r="N306" s="1851" t="s">
        <v>43</v>
      </c>
      <c r="O306" s="1851"/>
      <c r="P306" s="1851"/>
      <c r="Q306" s="1851" t="s">
        <v>1406</v>
      </c>
      <c r="R306" s="1851"/>
      <c r="S306" s="1851"/>
      <c r="T306" s="1851" t="s">
        <v>44</v>
      </c>
      <c r="U306" s="1851"/>
      <c r="V306" s="1851"/>
      <c r="W306" s="1851" t="s">
        <v>45</v>
      </c>
      <c r="X306" s="1851"/>
      <c r="Y306" s="1851"/>
      <c r="Z306" s="1851" t="s">
        <v>445</v>
      </c>
      <c r="AA306" s="1851"/>
      <c r="AB306" s="1851"/>
      <c r="AC306" s="1851" t="s">
        <v>46</v>
      </c>
      <c r="AD306" s="1851"/>
      <c r="AE306" s="1851"/>
      <c r="AF306" s="1851" t="s">
        <v>14</v>
      </c>
      <c r="AG306" s="1851"/>
      <c r="AH306" s="1851"/>
      <c r="AI306" s="932" t="s">
        <v>41</v>
      </c>
      <c r="AJ306" s="764" t="s">
        <v>42</v>
      </c>
      <c r="AK306" s="764" t="s">
        <v>43</v>
      </c>
      <c r="AL306" s="764" t="s">
        <v>444</v>
      </c>
      <c r="AM306" s="764" t="s">
        <v>44</v>
      </c>
      <c r="AN306" s="764" t="s">
        <v>45</v>
      </c>
      <c r="AO306" s="764" t="s">
        <v>445</v>
      </c>
      <c r="AP306" s="764" t="s">
        <v>46</v>
      </c>
      <c r="AQ306" s="764" t="s">
        <v>14</v>
      </c>
      <c r="AS306" s="764" t="s">
        <v>41</v>
      </c>
      <c r="AT306" s="764" t="s">
        <v>42</v>
      </c>
      <c r="AU306" s="764" t="s">
        <v>43</v>
      </c>
      <c r="AV306" s="764" t="s">
        <v>444</v>
      </c>
      <c r="AW306" s="764" t="s">
        <v>44</v>
      </c>
      <c r="AX306" s="764" t="s">
        <v>45</v>
      </c>
      <c r="AY306" s="764" t="s">
        <v>445</v>
      </c>
      <c r="AZ306" s="764" t="s">
        <v>46</v>
      </c>
      <c r="BA306" s="764" t="s">
        <v>14</v>
      </c>
      <c r="BC306" s="764" t="s">
        <v>41</v>
      </c>
      <c r="BD306" s="764" t="s">
        <v>42</v>
      </c>
      <c r="BE306" s="764" t="s">
        <v>43</v>
      </c>
      <c r="BF306" s="764" t="s">
        <v>444</v>
      </c>
      <c r="BG306" s="764" t="s">
        <v>44</v>
      </c>
      <c r="BH306" s="764" t="s">
        <v>45</v>
      </c>
      <c r="BI306" s="764" t="s">
        <v>445</v>
      </c>
      <c r="BJ306" s="764" t="s">
        <v>46</v>
      </c>
      <c r="BK306" s="764" t="s">
        <v>14</v>
      </c>
    </row>
    <row r="307" spans="1:63" s="584" customFormat="1" ht="15.75" customHeight="1" thickBot="1">
      <c r="A307" s="597"/>
      <c r="D307" s="1795" t="s">
        <v>25</v>
      </c>
      <c r="E307" s="1796"/>
      <c r="F307" s="1796"/>
      <c r="G307" s="1796"/>
      <c r="H307" s="1796"/>
      <c r="I307" s="1796"/>
      <c r="J307" s="1796"/>
      <c r="K307" s="1796"/>
      <c r="L307" s="1796"/>
      <c r="M307" s="1796"/>
      <c r="N307" s="1796"/>
      <c r="O307" s="1796"/>
      <c r="P307" s="1796"/>
      <c r="Q307" s="1796"/>
      <c r="R307" s="1796"/>
      <c r="S307" s="1796"/>
      <c r="T307" s="1796"/>
      <c r="U307" s="1796"/>
      <c r="V307" s="1796"/>
      <c r="W307" s="1796"/>
      <c r="X307" s="1796"/>
      <c r="Y307" s="1796"/>
      <c r="Z307" s="1796"/>
      <c r="AA307" s="1796"/>
      <c r="AB307" s="1796"/>
      <c r="AC307" s="1796"/>
      <c r="AD307" s="1796"/>
      <c r="AE307" s="1796"/>
      <c r="AF307" s="1796"/>
      <c r="AG307" s="1796"/>
      <c r="AH307" s="1797"/>
      <c r="AI307" s="613"/>
      <c r="AJ307" s="613"/>
      <c r="AK307" s="613"/>
      <c r="AL307" s="613"/>
      <c r="AM307" s="613"/>
      <c r="AN307" s="613"/>
      <c r="AO307" s="613"/>
      <c r="AP307" s="613"/>
      <c r="AQ307" s="618"/>
      <c r="AS307" s="612"/>
      <c r="AT307" s="613"/>
      <c r="AU307" s="613"/>
      <c r="AV307" s="613"/>
      <c r="AW307" s="613"/>
      <c r="AX307" s="613"/>
      <c r="AY307" s="613"/>
      <c r="AZ307" s="613"/>
      <c r="BA307" s="618"/>
      <c r="BC307" s="612"/>
      <c r="BD307" s="613"/>
      <c r="BE307" s="613"/>
      <c r="BF307" s="613"/>
      <c r="BG307" s="613"/>
      <c r="BH307" s="613"/>
      <c r="BI307" s="613"/>
      <c r="BJ307" s="613"/>
      <c r="BK307" s="618"/>
    </row>
    <row r="308" spans="1:63" s="584" customFormat="1" ht="21.75" customHeight="1">
      <c r="A308" s="597"/>
      <c r="D308" s="1922" t="s">
        <v>26</v>
      </c>
      <c r="E308" s="1922"/>
      <c r="F308" s="1922"/>
      <c r="G308" s="1922"/>
      <c r="H308" s="1940">
        <v>0</v>
      </c>
      <c r="I308" s="1941"/>
      <c r="J308" s="1942"/>
      <c r="K308" s="1852">
        <v>364187</v>
      </c>
      <c r="L308" s="1853"/>
      <c r="M308" s="1854"/>
      <c r="N308" s="1852">
        <v>481014</v>
      </c>
      <c r="O308" s="1853"/>
      <c r="P308" s="1854"/>
      <c r="Q308" s="1852">
        <v>0</v>
      </c>
      <c r="R308" s="1853"/>
      <c r="S308" s="1854"/>
      <c r="T308" s="1852">
        <v>0</v>
      </c>
      <c r="U308" s="1853"/>
      <c r="V308" s="1854"/>
      <c r="W308" s="1852">
        <v>0</v>
      </c>
      <c r="X308" s="1853"/>
      <c r="Y308" s="1854"/>
      <c r="Z308" s="1852">
        <v>0</v>
      </c>
      <c r="AA308" s="1853"/>
      <c r="AB308" s="1854"/>
      <c r="AC308" s="1852">
        <v>0</v>
      </c>
      <c r="AD308" s="1853"/>
      <c r="AE308" s="1854"/>
      <c r="AF308" s="1924">
        <f>SUM(H308:AE308)</f>
        <v>845201</v>
      </c>
      <c r="AG308" s="1925"/>
      <c r="AH308" s="1926"/>
      <c r="AI308" s="607"/>
      <c r="AJ308" s="607"/>
      <c r="AK308" s="607"/>
      <c r="AL308" s="607"/>
      <c r="AM308" s="607"/>
      <c r="AN308" s="607"/>
      <c r="AO308" s="607"/>
      <c r="AP308" s="607"/>
      <c r="AQ308" s="608">
        <f>SUM(H308:AE308)-AF308</f>
        <v>0</v>
      </c>
      <c r="AS308" s="621">
        <f>H308-H337</f>
        <v>0</v>
      </c>
      <c r="AT308" s="661">
        <f>K308-K337</f>
        <v>0</v>
      </c>
      <c r="AU308" s="661">
        <f>N308-N337</f>
        <v>0</v>
      </c>
      <c r="AV308" s="661">
        <f>Q308-Q337</f>
        <v>0</v>
      </c>
      <c r="AW308" s="661">
        <f>T308-T337</f>
        <v>0</v>
      </c>
      <c r="AX308" s="661">
        <f>W308-W337</f>
        <v>0</v>
      </c>
      <c r="AY308" s="661">
        <f>Z308-Z337</f>
        <v>0</v>
      </c>
      <c r="AZ308" s="661">
        <f>AC308-AC337</f>
        <v>0</v>
      </c>
      <c r="BA308" s="608">
        <f>AF308-AF337</f>
        <v>0</v>
      </c>
      <c r="BC308" s="606"/>
      <c r="BD308" s="607"/>
      <c r="BE308" s="607"/>
      <c r="BF308" s="607"/>
      <c r="BG308" s="607"/>
      <c r="BH308" s="607"/>
      <c r="BI308" s="607"/>
      <c r="BJ308" s="607"/>
      <c r="BK308" s="619"/>
    </row>
    <row r="309" spans="1:63" s="584" customFormat="1" ht="14">
      <c r="A309" s="597"/>
      <c r="D309" s="1789" t="s">
        <v>27</v>
      </c>
      <c r="E309" s="1789"/>
      <c r="F309" s="1789"/>
      <c r="G309" s="1789"/>
      <c r="H309" s="1790">
        <v>0</v>
      </c>
      <c r="I309" s="1790"/>
      <c r="J309" s="1790"/>
      <c r="K309" s="1791">
        <v>0</v>
      </c>
      <c r="L309" s="1791"/>
      <c r="M309" s="1791"/>
      <c r="N309" s="1855">
        <v>0</v>
      </c>
      <c r="O309" s="1856"/>
      <c r="P309" s="1857"/>
      <c r="Q309" s="1791">
        <v>0</v>
      </c>
      <c r="R309" s="1791"/>
      <c r="S309" s="1791"/>
      <c r="T309" s="1791">
        <v>0</v>
      </c>
      <c r="U309" s="1791"/>
      <c r="V309" s="1791"/>
      <c r="W309" s="1791">
        <v>0</v>
      </c>
      <c r="X309" s="1791"/>
      <c r="Y309" s="1791"/>
      <c r="Z309" s="1791">
        <v>54415</v>
      </c>
      <c r="AA309" s="1791"/>
      <c r="AB309" s="1791"/>
      <c r="AC309" s="1791">
        <v>0</v>
      </c>
      <c r="AD309" s="1791"/>
      <c r="AE309" s="1791"/>
      <c r="AF309" s="1794">
        <f>SUM(H309:AE309)</f>
        <v>54415</v>
      </c>
      <c r="AG309" s="1794"/>
      <c r="AH309" s="1794"/>
      <c r="AI309" s="607"/>
      <c r="AJ309" s="607"/>
      <c r="AK309" s="607"/>
      <c r="AL309" s="607"/>
      <c r="AM309" s="607"/>
      <c r="AN309" s="607"/>
      <c r="AO309" s="607"/>
      <c r="AP309" s="607"/>
      <c r="AQ309" s="608">
        <f t="shared" ref="AQ309:AQ310" si="50">SUM(H309:AE309)-AF309</f>
        <v>0</v>
      </c>
      <c r="AS309" s="606"/>
      <c r="AT309" s="607"/>
      <c r="AU309" s="607"/>
      <c r="AV309" s="607"/>
      <c r="AW309" s="607"/>
      <c r="AX309" s="607"/>
      <c r="AY309" s="607"/>
      <c r="AZ309" s="607"/>
      <c r="BA309" s="619"/>
      <c r="BC309" s="606"/>
      <c r="BD309" s="607"/>
      <c r="BE309" s="607"/>
      <c r="BF309" s="607"/>
      <c r="BG309" s="607"/>
      <c r="BH309" s="607"/>
      <c r="BI309" s="607"/>
      <c r="BJ309" s="607"/>
      <c r="BK309" s="619"/>
    </row>
    <row r="310" spans="1:63" s="584" customFormat="1" ht="14">
      <c r="A310" s="597"/>
      <c r="D310" s="1789" t="s">
        <v>28</v>
      </c>
      <c r="E310" s="1789"/>
      <c r="F310" s="1789"/>
      <c r="G310" s="1789"/>
      <c r="H310" s="1790">
        <v>0</v>
      </c>
      <c r="I310" s="1790"/>
      <c r="J310" s="1790"/>
      <c r="K310" s="1791">
        <v>0</v>
      </c>
      <c r="L310" s="1791"/>
      <c r="M310" s="1791"/>
      <c r="N310" s="1791">
        <v>0</v>
      </c>
      <c r="O310" s="1791"/>
      <c r="P310" s="1791"/>
      <c r="Q310" s="1791">
        <v>0</v>
      </c>
      <c r="R310" s="1791"/>
      <c r="S310" s="1791"/>
      <c r="T310" s="1791">
        <v>0</v>
      </c>
      <c r="U310" s="1791"/>
      <c r="V310" s="1791"/>
      <c r="W310" s="1791">
        <v>0</v>
      </c>
      <c r="X310" s="1791"/>
      <c r="Y310" s="1791"/>
      <c r="Z310" s="1791"/>
      <c r="AA310" s="1791"/>
      <c r="AB310" s="1791"/>
      <c r="AC310" s="1791">
        <v>0</v>
      </c>
      <c r="AD310" s="1791"/>
      <c r="AE310" s="1791"/>
      <c r="AF310" s="1794">
        <f>SUM(H310:AE310)</f>
        <v>0</v>
      </c>
      <c r="AG310" s="1794"/>
      <c r="AH310" s="1794"/>
      <c r="AI310" s="607"/>
      <c r="AJ310" s="607"/>
      <c r="AK310" s="607"/>
      <c r="AL310" s="607"/>
      <c r="AM310" s="607"/>
      <c r="AN310" s="607"/>
      <c r="AO310" s="607"/>
      <c r="AP310" s="607"/>
      <c r="AQ310" s="608">
        <f t="shared" si="50"/>
        <v>0</v>
      </c>
      <c r="AS310" s="606"/>
      <c r="AT310" s="607"/>
      <c r="AU310" s="607"/>
      <c r="AV310" s="607"/>
      <c r="AW310" s="607"/>
      <c r="AX310" s="607"/>
      <c r="AY310" s="607"/>
      <c r="AZ310" s="607"/>
      <c r="BA310" s="619"/>
      <c r="BC310" s="606"/>
      <c r="BD310" s="607"/>
      <c r="BE310" s="607"/>
      <c r="BF310" s="607"/>
      <c r="BG310" s="607"/>
      <c r="BH310" s="607"/>
      <c r="BI310" s="607"/>
      <c r="BJ310" s="607"/>
      <c r="BK310" s="619"/>
    </row>
    <row r="311" spans="1:63" s="584" customFormat="1" ht="14">
      <c r="A311" s="597"/>
      <c r="D311" s="1789" t="s">
        <v>29</v>
      </c>
      <c r="E311" s="1789"/>
      <c r="F311" s="1789"/>
      <c r="G311" s="1789"/>
      <c r="H311" s="1790">
        <v>0</v>
      </c>
      <c r="I311" s="1790"/>
      <c r="J311" s="1790"/>
      <c r="K311" s="1791">
        <v>10539</v>
      </c>
      <c r="L311" s="1791"/>
      <c r="M311" s="1791"/>
      <c r="N311" s="1791">
        <v>40432</v>
      </c>
      <c r="O311" s="1791"/>
      <c r="P311" s="1791"/>
      <c r="Q311" s="1791">
        <v>0</v>
      </c>
      <c r="R311" s="1791"/>
      <c r="S311" s="1791"/>
      <c r="T311" s="1791">
        <v>0</v>
      </c>
      <c r="U311" s="1791"/>
      <c r="V311" s="1791"/>
      <c r="W311" s="1791">
        <v>0</v>
      </c>
      <c r="X311" s="1791"/>
      <c r="Y311" s="1791"/>
      <c r="Z311" s="1791">
        <v>-50971</v>
      </c>
      <c r="AA311" s="1791"/>
      <c r="AB311" s="1791"/>
      <c r="AC311" s="1791">
        <v>0</v>
      </c>
      <c r="AD311" s="1791"/>
      <c r="AE311" s="1791"/>
      <c r="AF311" s="1794">
        <f>SUM(H311:AE311)</f>
        <v>0</v>
      </c>
      <c r="AG311" s="1794"/>
      <c r="AH311" s="1794"/>
      <c r="AI311" s="607"/>
      <c r="AJ311" s="607"/>
      <c r="AK311" s="607"/>
      <c r="AL311" s="607"/>
      <c r="AM311" s="607"/>
      <c r="AN311" s="607"/>
      <c r="AO311" s="607"/>
      <c r="AP311" s="607"/>
      <c r="AQ311" s="608">
        <f>SUM(H311:AE311)-AF311</f>
        <v>0</v>
      </c>
      <c r="AS311" s="606"/>
      <c r="AT311" s="607"/>
      <c r="AU311" s="607"/>
      <c r="AV311" s="607"/>
      <c r="AW311" s="607"/>
      <c r="AX311" s="607"/>
      <c r="AY311" s="607"/>
      <c r="AZ311" s="607"/>
      <c r="BA311" s="619"/>
      <c r="BC311" s="606"/>
      <c r="BD311" s="607"/>
      <c r="BE311" s="607"/>
      <c r="BF311" s="607"/>
      <c r="BG311" s="607"/>
      <c r="BH311" s="607"/>
      <c r="BI311" s="607"/>
      <c r="BJ311" s="607"/>
      <c r="BK311" s="619"/>
    </row>
    <row r="312" spans="1:63" s="584" customFormat="1" ht="22.5" customHeight="1" thickBot="1">
      <c r="A312" s="597"/>
      <c r="D312" s="1894" t="s">
        <v>30</v>
      </c>
      <c r="E312" s="1894"/>
      <c r="F312" s="1894"/>
      <c r="G312" s="1894"/>
      <c r="H312" s="1801">
        <f>H308+H309-H310+H311</f>
        <v>0</v>
      </c>
      <c r="I312" s="1801"/>
      <c r="J312" s="1801"/>
      <c r="K312" s="1801">
        <f t="shared" ref="K312" si="51">K308+K309-K310+K311</f>
        <v>374726</v>
      </c>
      <c r="L312" s="1801"/>
      <c r="M312" s="1801"/>
      <c r="N312" s="1801">
        <f>N308+N309-N310+N311</f>
        <v>521446</v>
      </c>
      <c r="O312" s="1801"/>
      <c r="P312" s="1801"/>
      <c r="Q312" s="1801">
        <f t="shared" ref="Q312" si="52">Q308+Q309-Q310+Q311</f>
        <v>0</v>
      </c>
      <c r="R312" s="1801"/>
      <c r="S312" s="1801"/>
      <c r="T312" s="1801">
        <f t="shared" ref="T312" si="53">T308+T309-T310+T311</f>
        <v>0</v>
      </c>
      <c r="U312" s="1801"/>
      <c r="V312" s="1801"/>
      <c r="W312" s="1801">
        <f t="shared" ref="W312" si="54">W308+W309-W310+W311</f>
        <v>0</v>
      </c>
      <c r="X312" s="1801"/>
      <c r="Y312" s="1801"/>
      <c r="Z312" s="1801">
        <f t="shared" ref="Z312" si="55">Z308+Z309-Z310+Z311</f>
        <v>3444</v>
      </c>
      <c r="AA312" s="1801"/>
      <c r="AB312" s="1801"/>
      <c r="AC312" s="1801">
        <f t="shared" ref="AC312" si="56">AC308+AC309-AC310+AC311</f>
        <v>0</v>
      </c>
      <c r="AD312" s="1801"/>
      <c r="AE312" s="1801"/>
      <c r="AF312" s="1801">
        <f>AF308+AF309-AF310+AF311</f>
        <v>899616</v>
      </c>
      <c r="AG312" s="1801"/>
      <c r="AH312" s="1801"/>
      <c r="AI312" s="661">
        <f>H308+H309-H310+H311-H312</f>
        <v>0</v>
      </c>
      <c r="AJ312" s="661">
        <f>K308+K309-K310+K311-K312</f>
        <v>0</v>
      </c>
      <c r="AK312" s="661">
        <f>N308+N309-N310+N311-N312</f>
        <v>0</v>
      </c>
      <c r="AL312" s="661">
        <f>Q308+Q309-Q310+Q311-Q312</f>
        <v>0</v>
      </c>
      <c r="AM312" s="661">
        <f>T308+T309-T310+T311-T311</f>
        <v>0</v>
      </c>
      <c r="AN312" s="661">
        <f>W308+W309-W310+W311-W312</f>
        <v>0</v>
      </c>
      <c r="AO312" s="661">
        <f>Z308+Z309-Z310+Z311-Z312</f>
        <v>0</v>
      </c>
      <c r="AP312" s="661">
        <f>AC308+AC309-AC310+AC311-AC312</f>
        <v>0</v>
      </c>
      <c r="AQ312" s="608">
        <f>AF308+AF309-AF310+AF311-AF312</f>
        <v>0</v>
      </c>
      <c r="AS312" s="606"/>
      <c r="AT312" s="607"/>
      <c r="AU312" s="607"/>
      <c r="AV312" s="607"/>
      <c r="AW312" s="607"/>
      <c r="AX312" s="607"/>
      <c r="AY312" s="607"/>
      <c r="AZ312" s="607"/>
      <c r="BA312" s="619"/>
      <c r="BC312" s="621">
        <f>H312-BS!$D$21</f>
        <v>0</v>
      </c>
      <c r="BD312" s="661">
        <f>K312-BS!$D$22</f>
        <v>0</v>
      </c>
      <c r="BE312" s="661">
        <f>N312-BS!$D$23</f>
        <v>0</v>
      </c>
      <c r="BF312" s="661">
        <f>Q312-BS!$D$24</f>
        <v>0</v>
      </c>
      <c r="BG312" s="661">
        <f>T312-BS!$D$25</f>
        <v>0</v>
      </c>
      <c r="BH312" s="661">
        <f>W312-BS!$D$26</f>
        <v>0</v>
      </c>
      <c r="BI312" s="661">
        <f>Z312-BS!$D$27</f>
        <v>0</v>
      </c>
      <c r="BJ312" s="661">
        <f>AC312-BS!$D$28</f>
        <v>0</v>
      </c>
      <c r="BK312" s="608">
        <f>AF312-BS!$D$20</f>
        <v>0</v>
      </c>
    </row>
    <row r="313" spans="1:63" s="584" customFormat="1" ht="15.75" customHeight="1" thickBot="1">
      <c r="A313" s="597"/>
      <c r="D313" s="1795" t="s">
        <v>31</v>
      </c>
      <c r="E313" s="1796"/>
      <c r="F313" s="1796"/>
      <c r="G313" s="1796"/>
      <c r="H313" s="1796"/>
      <c r="I313" s="1796"/>
      <c r="J313" s="1796"/>
      <c r="K313" s="1796"/>
      <c r="L313" s="1796"/>
      <c r="M313" s="1796"/>
      <c r="N313" s="1796"/>
      <c r="O313" s="1796"/>
      <c r="P313" s="1796"/>
      <c r="Q313" s="1796"/>
      <c r="R313" s="1796"/>
      <c r="S313" s="1796"/>
      <c r="T313" s="1796"/>
      <c r="U313" s="1796"/>
      <c r="V313" s="1796"/>
      <c r="W313" s="1796"/>
      <c r="X313" s="1796"/>
      <c r="Y313" s="1796"/>
      <c r="Z313" s="1796"/>
      <c r="AA313" s="1796"/>
      <c r="AB313" s="1796"/>
      <c r="AC313" s="1796"/>
      <c r="AD313" s="1796"/>
      <c r="AE313" s="1796"/>
      <c r="AF313" s="1796"/>
      <c r="AG313" s="1796"/>
      <c r="AH313" s="1797"/>
      <c r="AI313" s="607"/>
      <c r="AJ313" s="607"/>
      <c r="AK313" s="607"/>
      <c r="AL313" s="607"/>
      <c r="AM313" s="607"/>
      <c r="AN313" s="607"/>
      <c r="AO313" s="607"/>
      <c r="AP313" s="607"/>
      <c r="AQ313" s="608"/>
      <c r="AS313" s="606"/>
      <c r="AT313" s="607"/>
      <c r="AU313" s="607"/>
      <c r="AV313" s="607"/>
      <c r="AW313" s="607"/>
      <c r="AX313" s="607"/>
      <c r="AY313" s="607"/>
      <c r="AZ313" s="607"/>
      <c r="BA313" s="619"/>
      <c r="BC313" s="606"/>
      <c r="BD313" s="607"/>
      <c r="BE313" s="607"/>
      <c r="BF313" s="607"/>
      <c r="BG313" s="607"/>
      <c r="BH313" s="607"/>
      <c r="BI313" s="607"/>
      <c r="BJ313" s="607"/>
      <c r="BK313" s="619"/>
    </row>
    <row r="314" spans="1:63" s="584" customFormat="1" ht="22.5" customHeight="1">
      <c r="A314" s="597"/>
      <c r="D314" s="1922" t="s">
        <v>32</v>
      </c>
      <c r="E314" s="1922"/>
      <c r="F314" s="1922"/>
      <c r="G314" s="1922"/>
      <c r="H314" s="1923">
        <v>0</v>
      </c>
      <c r="I314" s="1923"/>
      <c r="J314" s="1923"/>
      <c r="K314" s="1830">
        <v>5947</v>
      </c>
      <c r="L314" s="1830"/>
      <c r="M314" s="1830"/>
      <c r="N314" s="1830">
        <v>333398</v>
      </c>
      <c r="O314" s="1830"/>
      <c r="P314" s="1830"/>
      <c r="Q314" s="1830">
        <v>0</v>
      </c>
      <c r="R314" s="1830"/>
      <c r="S314" s="1830"/>
      <c r="T314" s="1830">
        <v>0</v>
      </c>
      <c r="U314" s="1830"/>
      <c r="V314" s="1830"/>
      <c r="W314" s="1830">
        <v>0</v>
      </c>
      <c r="X314" s="1830"/>
      <c r="Y314" s="1830"/>
      <c r="Z314" s="1830">
        <v>0</v>
      </c>
      <c r="AA314" s="1830"/>
      <c r="AB314" s="1830"/>
      <c r="AC314" s="1830">
        <v>0</v>
      </c>
      <c r="AD314" s="1830"/>
      <c r="AE314" s="1830"/>
      <c r="AF314" s="1899">
        <f>SUM(H314:AE314)</f>
        <v>339345</v>
      </c>
      <c r="AG314" s="1899"/>
      <c r="AH314" s="1899"/>
      <c r="AI314" s="607"/>
      <c r="AJ314" s="607"/>
      <c r="AK314" s="607"/>
      <c r="AL314" s="607"/>
      <c r="AM314" s="607"/>
      <c r="AN314" s="607"/>
      <c r="AO314" s="607"/>
      <c r="AP314" s="607"/>
      <c r="AQ314" s="608">
        <f>SUM(H314:AE314)-AF314</f>
        <v>0</v>
      </c>
      <c r="AS314" s="621">
        <f>H314-H343</f>
        <v>0</v>
      </c>
      <c r="AT314" s="661">
        <f>K314-K343</f>
        <v>0</v>
      </c>
      <c r="AU314" s="661">
        <f>N314-N343</f>
        <v>0</v>
      </c>
      <c r="AV314" s="661">
        <f>Q314-Q343</f>
        <v>0</v>
      </c>
      <c r="AW314" s="661">
        <f>T314-T343</f>
        <v>0</v>
      </c>
      <c r="AX314" s="661">
        <f>W314-W343</f>
        <v>0</v>
      </c>
      <c r="AY314" s="661">
        <f>Z314-Z343</f>
        <v>0</v>
      </c>
      <c r="AZ314" s="661">
        <f>AC314-AC343</f>
        <v>0</v>
      </c>
      <c r="BA314" s="608">
        <f>AF314-AF343</f>
        <v>0</v>
      </c>
      <c r="BC314" s="606"/>
      <c r="BD314" s="607"/>
      <c r="BE314" s="607"/>
      <c r="BF314" s="607"/>
      <c r="BG314" s="607"/>
      <c r="BH314" s="607"/>
      <c r="BI314" s="607"/>
      <c r="BJ314" s="607"/>
      <c r="BK314" s="619"/>
    </row>
    <row r="315" spans="1:63" s="584" customFormat="1" ht="14">
      <c r="A315" s="597"/>
      <c r="D315" s="1789" t="s">
        <v>27</v>
      </c>
      <c r="E315" s="1789"/>
      <c r="F315" s="1789"/>
      <c r="G315" s="1789"/>
      <c r="H315" s="1790">
        <v>0</v>
      </c>
      <c r="I315" s="1790"/>
      <c r="J315" s="1790"/>
      <c r="K315" s="1791">
        <v>37140</v>
      </c>
      <c r="L315" s="1791"/>
      <c r="M315" s="1791"/>
      <c r="N315" s="1791">
        <v>68575</v>
      </c>
      <c r="O315" s="1791"/>
      <c r="P315" s="1791"/>
      <c r="Q315" s="1791">
        <v>0</v>
      </c>
      <c r="R315" s="1791"/>
      <c r="S315" s="1791"/>
      <c r="T315" s="1791">
        <v>0</v>
      </c>
      <c r="U315" s="1791"/>
      <c r="V315" s="1791"/>
      <c r="W315" s="1791">
        <v>0</v>
      </c>
      <c r="X315" s="1791"/>
      <c r="Y315" s="1791"/>
      <c r="Z315" s="1791">
        <v>0</v>
      </c>
      <c r="AA315" s="1791"/>
      <c r="AB315" s="1791"/>
      <c r="AC315" s="1791">
        <v>0</v>
      </c>
      <c r="AD315" s="1791"/>
      <c r="AE315" s="1791"/>
      <c r="AF315" s="1794">
        <f>SUM(H315:AE315)</f>
        <v>105715</v>
      </c>
      <c r="AG315" s="1794"/>
      <c r="AH315" s="1794"/>
      <c r="AI315" s="607"/>
      <c r="AJ315" s="607"/>
      <c r="AK315" s="607"/>
      <c r="AL315" s="607"/>
      <c r="AM315" s="607"/>
      <c r="AN315" s="607"/>
      <c r="AO315" s="607"/>
      <c r="AP315" s="607"/>
      <c r="AQ315" s="608">
        <f t="shared" ref="AQ315:AQ316" si="57">SUM(H315:AE315)-AF315</f>
        <v>0</v>
      </c>
      <c r="AS315" s="606"/>
      <c r="AT315" s="607"/>
      <c r="AU315" s="607"/>
      <c r="AV315" s="607"/>
      <c r="AW315" s="607"/>
      <c r="AX315" s="607"/>
      <c r="AY315" s="607"/>
      <c r="AZ315" s="607"/>
      <c r="BA315" s="619"/>
      <c r="BC315" s="606"/>
      <c r="BD315" s="607"/>
      <c r="BE315" s="607"/>
      <c r="BF315" s="607"/>
      <c r="BG315" s="607"/>
      <c r="BH315" s="607"/>
      <c r="BI315" s="607"/>
      <c r="BJ315" s="607"/>
      <c r="BK315" s="619"/>
    </row>
    <row r="316" spans="1:63" s="584" customFormat="1" ht="14">
      <c r="A316" s="597"/>
      <c r="D316" s="1789" t="s">
        <v>28</v>
      </c>
      <c r="E316" s="1789"/>
      <c r="F316" s="1789"/>
      <c r="G316" s="1789"/>
      <c r="H316" s="1790">
        <v>0</v>
      </c>
      <c r="I316" s="1790"/>
      <c r="J316" s="1790"/>
      <c r="K316" s="1791">
        <v>0</v>
      </c>
      <c r="L316" s="1791"/>
      <c r="M316" s="1791"/>
      <c r="N316" s="1791">
        <v>0</v>
      </c>
      <c r="O316" s="1791"/>
      <c r="P316" s="1791"/>
      <c r="Q316" s="1791">
        <v>0</v>
      </c>
      <c r="R316" s="1791"/>
      <c r="S316" s="1791"/>
      <c r="T316" s="1791">
        <v>0</v>
      </c>
      <c r="U316" s="1791"/>
      <c r="V316" s="1791"/>
      <c r="W316" s="1791">
        <v>0</v>
      </c>
      <c r="X316" s="1791"/>
      <c r="Y316" s="1791"/>
      <c r="Z316" s="1791">
        <v>0</v>
      </c>
      <c r="AA316" s="1791"/>
      <c r="AB316" s="1791"/>
      <c r="AC316" s="1791">
        <v>0</v>
      </c>
      <c r="AD316" s="1791"/>
      <c r="AE316" s="1791"/>
      <c r="AF316" s="1794">
        <f>SUM(H316:AE316)</f>
        <v>0</v>
      </c>
      <c r="AG316" s="1794"/>
      <c r="AH316" s="1794"/>
      <c r="AI316" s="607"/>
      <c r="AJ316" s="607"/>
      <c r="AK316" s="607"/>
      <c r="AL316" s="607"/>
      <c r="AM316" s="607"/>
      <c r="AN316" s="607"/>
      <c r="AO316" s="607"/>
      <c r="AP316" s="607"/>
      <c r="AQ316" s="608">
        <f t="shared" si="57"/>
        <v>0</v>
      </c>
      <c r="AS316" s="606"/>
      <c r="AT316" s="607"/>
      <c r="AU316" s="607"/>
      <c r="AV316" s="607"/>
      <c r="AW316" s="607"/>
      <c r="AX316" s="607"/>
      <c r="AY316" s="607"/>
      <c r="AZ316" s="607"/>
      <c r="BA316" s="619"/>
      <c r="BC316" s="674" t="s">
        <v>1059</v>
      </c>
      <c r="BD316" s="607"/>
      <c r="BE316" s="607"/>
      <c r="BF316" s="607"/>
      <c r="BG316" s="607"/>
      <c r="BH316" s="607"/>
      <c r="BI316" s="607"/>
      <c r="BJ316" s="607"/>
      <c r="BK316" s="619"/>
    </row>
    <row r="317" spans="1:63" s="584" customFormat="1" ht="14">
      <c r="A317" s="597"/>
      <c r="D317" s="1789" t="s">
        <v>29</v>
      </c>
      <c r="E317" s="1789"/>
      <c r="F317" s="1789"/>
      <c r="G317" s="1789"/>
      <c r="H317" s="1790">
        <v>0</v>
      </c>
      <c r="I317" s="1790"/>
      <c r="J317" s="1790"/>
      <c r="K317" s="1791">
        <v>0</v>
      </c>
      <c r="L317" s="1791"/>
      <c r="M317" s="1791"/>
      <c r="N317" s="1791">
        <v>0</v>
      </c>
      <c r="O317" s="1791"/>
      <c r="P317" s="1791"/>
      <c r="Q317" s="1791">
        <v>0</v>
      </c>
      <c r="R317" s="1791"/>
      <c r="S317" s="1791"/>
      <c r="T317" s="1791">
        <v>0</v>
      </c>
      <c r="U317" s="1791"/>
      <c r="V317" s="1791"/>
      <c r="W317" s="1791">
        <v>0</v>
      </c>
      <c r="X317" s="1791"/>
      <c r="Y317" s="1791"/>
      <c r="Z317" s="1791">
        <v>0</v>
      </c>
      <c r="AA317" s="1791"/>
      <c r="AB317" s="1791"/>
      <c r="AC317" s="1791">
        <v>0</v>
      </c>
      <c r="AD317" s="1791"/>
      <c r="AE317" s="1791"/>
      <c r="AF317" s="1794">
        <f>SUM(H317:AE317)</f>
        <v>0</v>
      </c>
      <c r="AG317" s="1794"/>
      <c r="AH317" s="1794"/>
      <c r="AI317" s="607"/>
      <c r="AJ317" s="607"/>
      <c r="AK317" s="607"/>
      <c r="AL317" s="607"/>
      <c r="AM317" s="607"/>
      <c r="AN317" s="607"/>
      <c r="AO317" s="607"/>
      <c r="AP317" s="607"/>
      <c r="AQ317" s="608">
        <f>SUM(H317:AE317)-AF317</f>
        <v>0</v>
      </c>
      <c r="AS317" s="606"/>
      <c r="AT317" s="607"/>
      <c r="AU317" s="607"/>
      <c r="AV317" s="607"/>
      <c r="AW317" s="607"/>
      <c r="AX317" s="607"/>
      <c r="AY317" s="607"/>
      <c r="AZ317" s="607"/>
      <c r="BA317" s="619"/>
      <c r="BC317" s="606"/>
      <c r="BD317" s="607"/>
      <c r="BE317" s="607"/>
      <c r="BF317" s="607"/>
      <c r="BG317" s="607"/>
      <c r="BH317" s="607"/>
      <c r="BI317" s="607"/>
      <c r="BJ317" s="607"/>
      <c r="BK317" s="619"/>
    </row>
    <row r="318" spans="1:63" s="584" customFormat="1" ht="22.5" customHeight="1" thickBot="1">
      <c r="A318" s="597"/>
      <c r="D318" s="1894" t="s">
        <v>30</v>
      </c>
      <c r="E318" s="1894"/>
      <c r="F318" s="1894"/>
      <c r="G318" s="1894"/>
      <c r="H318" s="1801">
        <f>H314+H315-H316+H317</f>
        <v>0</v>
      </c>
      <c r="I318" s="1801"/>
      <c r="J318" s="1801"/>
      <c r="K318" s="1801">
        <f t="shared" ref="K318" si="58">K314+K315-K316+K317</f>
        <v>43087</v>
      </c>
      <c r="L318" s="1801"/>
      <c r="M318" s="1801"/>
      <c r="N318" s="1801">
        <f>N314+N315-N316+N317</f>
        <v>401973</v>
      </c>
      <c r="O318" s="1801"/>
      <c r="P318" s="1801"/>
      <c r="Q318" s="1801">
        <f t="shared" ref="Q318" si="59">Q314+Q315-Q316+Q317</f>
        <v>0</v>
      </c>
      <c r="R318" s="1801"/>
      <c r="S318" s="1801"/>
      <c r="T318" s="1801">
        <f t="shared" ref="T318" si="60">T314+T315-T316+T317</f>
        <v>0</v>
      </c>
      <c r="U318" s="1801"/>
      <c r="V318" s="1801"/>
      <c r="W318" s="1801">
        <f t="shared" ref="W318" si="61">W314+W315-W316+W317</f>
        <v>0</v>
      </c>
      <c r="X318" s="1801"/>
      <c r="Y318" s="1801"/>
      <c r="Z318" s="1801">
        <f t="shared" ref="Z318" si="62">Z314+Z315-Z316+Z317</f>
        <v>0</v>
      </c>
      <c r="AA318" s="1801"/>
      <c r="AB318" s="1801"/>
      <c r="AC318" s="1801">
        <f t="shared" ref="AC318" si="63">AC314+AC315-AC316+AC317</f>
        <v>0</v>
      </c>
      <c r="AD318" s="1801"/>
      <c r="AE318" s="1801"/>
      <c r="AF318" s="1801">
        <f>AF314+AF315-AF316+AF317</f>
        <v>445060</v>
      </c>
      <c r="AG318" s="1801"/>
      <c r="AH318" s="1801"/>
      <c r="AI318" s="661">
        <f>H314+H315-H316+H317-H318</f>
        <v>0</v>
      </c>
      <c r="AJ318" s="661">
        <f>K314+K315-K316+K317-K318</f>
        <v>0</v>
      </c>
      <c r="AK318" s="661">
        <f>N314+N315-N316+N317-N318</f>
        <v>0</v>
      </c>
      <c r="AL318" s="661">
        <f>Q314+Q315-Q316+Q317-Q318</f>
        <v>0</v>
      </c>
      <c r="AM318" s="661">
        <f>T314+T315-T316+T317-T317</f>
        <v>0</v>
      </c>
      <c r="AN318" s="661">
        <f>W314+W315-W316+W317-W318</f>
        <v>0</v>
      </c>
      <c r="AO318" s="661">
        <f>Z314+Z315-Z316+Z317-Z318</f>
        <v>0</v>
      </c>
      <c r="AP318" s="661">
        <f>AC314+AC315-AC316+AC317-AC318</f>
        <v>0</v>
      </c>
      <c r="AQ318" s="608">
        <f>AF314+AF315-AF316+AF317-AF318</f>
        <v>0</v>
      </c>
      <c r="AS318" s="606"/>
      <c r="AT318" s="607"/>
      <c r="AU318" s="607"/>
      <c r="AV318" s="607"/>
      <c r="AW318" s="607"/>
      <c r="AX318" s="607"/>
      <c r="AY318" s="607"/>
      <c r="AZ318" s="607"/>
      <c r="BA318" s="619"/>
      <c r="BC318" s="621">
        <f>H318+H324-BS!$E$21</f>
        <v>0</v>
      </c>
      <c r="BD318" s="661">
        <f>K318+K324-BS!$E$22</f>
        <v>0</v>
      </c>
      <c r="BE318" s="661">
        <f>N318+N324-BS!$E$23</f>
        <v>0</v>
      </c>
      <c r="BF318" s="661">
        <f>Q318+Q324-BS!$E$24</f>
        <v>0</v>
      </c>
      <c r="BG318" s="661">
        <f>T318+T324-BS!$E$25</f>
        <v>0</v>
      </c>
      <c r="BH318" s="661">
        <f>W318+W324-BS!$E$26</f>
        <v>0</v>
      </c>
      <c r="BI318" s="661">
        <f>Z318+Z324-BS!$E$27</f>
        <v>0</v>
      </c>
      <c r="BJ318" s="661">
        <f>AC318+AC324-BS!$E$28</f>
        <v>0</v>
      </c>
      <c r="BK318" s="608">
        <f>AF318+AF324-BS!$E$20</f>
        <v>0</v>
      </c>
    </row>
    <row r="319" spans="1:63" s="584" customFormat="1" ht="15.75" customHeight="1" thickBot="1">
      <c r="A319" s="597"/>
      <c r="D319" s="1795" t="s">
        <v>33</v>
      </c>
      <c r="E319" s="1796"/>
      <c r="F319" s="1796"/>
      <c r="G319" s="1796"/>
      <c r="H319" s="1796"/>
      <c r="I319" s="1796"/>
      <c r="J319" s="1796"/>
      <c r="K319" s="1796"/>
      <c r="L319" s="1796"/>
      <c r="M319" s="1796"/>
      <c r="N319" s="1796"/>
      <c r="O319" s="1796"/>
      <c r="P319" s="1796"/>
      <c r="Q319" s="1796"/>
      <c r="R319" s="1796"/>
      <c r="S319" s="1796"/>
      <c r="T319" s="1796"/>
      <c r="U319" s="1796"/>
      <c r="V319" s="1796"/>
      <c r="W319" s="1796"/>
      <c r="X319" s="1796"/>
      <c r="Y319" s="1796"/>
      <c r="Z319" s="1796"/>
      <c r="AA319" s="1796"/>
      <c r="AB319" s="1796"/>
      <c r="AC319" s="1796"/>
      <c r="AD319" s="1796"/>
      <c r="AE319" s="1796"/>
      <c r="AF319" s="1796"/>
      <c r="AG319" s="1796"/>
      <c r="AH319" s="1797"/>
      <c r="AI319" s="607"/>
      <c r="AJ319" s="607"/>
      <c r="AK319" s="607"/>
      <c r="AL319" s="607"/>
      <c r="AM319" s="607"/>
      <c r="AN319" s="607"/>
      <c r="AO319" s="607"/>
      <c r="AP319" s="607"/>
      <c r="AQ319" s="608"/>
      <c r="AS319" s="606"/>
      <c r="AT319" s="607"/>
      <c r="AU319" s="607"/>
      <c r="AV319" s="607"/>
      <c r="AW319" s="607"/>
      <c r="AX319" s="607"/>
      <c r="AY319" s="607"/>
      <c r="AZ319" s="607"/>
      <c r="BA319" s="619"/>
      <c r="BC319" s="606"/>
      <c r="BD319" s="607"/>
      <c r="BE319" s="607"/>
      <c r="BF319" s="607"/>
      <c r="BG319" s="607"/>
      <c r="BH319" s="607"/>
      <c r="BI319" s="607"/>
      <c r="BJ319" s="607"/>
      <c r="BK319" s="619"/>
    </row>
    <row r="320" spans="1:63" s="584" customFormat="1" ht="22.5" customHeight="1">
      <c r="A320" s="597"/>
      <c r="D320" s="1922" t="s">
        <v>32</v>
      </c>
      <c r="E320" s="1922"/>
      <c r="F320" s="1922"/>
      <c r="G320" s="1922"/>
      <c r="H320" s="1923">
        <v>0</v>
      </c>
      <c r="I320" s="1923"/>
      <c r="J320" s="1923"/>
      <c r="K320" s="1830">
        <v>0</v>
      </c>
      <c r="L320" s="1830"/>
      <c r="M320" s="1830"/>
      <c r="N320" s="1830">
        <v>0</v>
      </c>
      <c r="O320" s="1830"/>
      <c r="P320" s="1830"/>
      <c r="Q320" s="1830">
        <v>0</v>
      </c>
      <c r="R320" s="1830"/>
      <c r="S320" s="1830"/>
      <c r="T320" s="1830">
        <v>0</v>
      </c>
      <c r="U320" s="1830"/>
      <c r="V320" s="1830"/>
      <c r="W320" s="1830">
        <v>0</v>
      </c>
      <c r="X320" s="1830"/>
      <c r="Y320" s="1830"/>
      <c r="Z320" s="1830">
        <v>0</v>
      </c>
      <c r="AA320" s="1830"/>
      <c r="AB320" s="1830"/>
      <c r="AC320" s="1830">
        <v>0</v>
      </c>
      <c r="AD320" s="1830"/>
      <c r="AE320" s="1830"/>
      <c r="AF320" s="1899">
        <f>SUM(H320:AE320)</f>
        <v>0</v>
      </c>
      <c r="AG320" s="1899"/>
      <c r="AH320" s="1899"/>
      <c r="AI320" s="607"/>
      <c r="AJ320" s="607"/>
      <c r="AK320" s="607"/>
      <c r="AL320" s="607"/>
      <c r="AM320" s="607"/>
      <c r="AN320" s="607"/>
      <c r="AO320" s="607"/>
      <c r="AP320" s="607"/>
      <c r="AQ320" s="608">
        <f>SUM(H320:AE320)-AF320</f>
        <v>0</v>
      </c>
      <c r="AS320" s="621">
        <f>H320-H349</f>
        <v>0</v>
      </c>
      <c r="AT320" s="661">
        <f>K320-K349</f>
        <v>0</v>
      </c>
      <c r="AU320" s="661">
        <f>N320-N349</f>
        <v>0</v>
      </c>
      <c r="AV320" s="661">
        <f>Q320-Q349</f>
        <v>0</v>
      </c>
      <c r="AW320" s="661">
        <f>T320-T349</f>
        <v>0</v>
      </c>
      <c r="AX320" s="661">
        <f>W320-W349</f>
        <v>0</v>
      </c>
      <c r="AY320" s="661">
        <f>Z320-Z349</f>
        <v>0</v>
      </c>
      <c r="AZ320" s="661">
        <f>AC320-AC349</f>
        <v>0</v>
      </c>
      <c r="BA320" s="608">
        <f>AF320-AF349</f>
        <v>0</v>
      </c>
      <c r="BC320" s="606"/>
      <c r="BD320" s="607"/>
      <c r="BE320" s="607"/>
      <c r="BF320" s="607"/>
      <c r="BG320" s="607"/>
      <c r="BH320" s="607"/>
      <c r="BI320" s="607"/>
      <c r="BJ320" s="607"/>
      <c r="BK320" s="619"/>
    </row>
    <row r="321" spans="1:63" s="584" customFormat="1" ht="15" customHeight="1">
      <c r="A321" s="597"/>
      <c r="D321" s="1789" t="s">
        <v>27</v>
      </c>
      <c r="E321" s="1789"/>
      <c r="F321" s="1789"/>
      <c r="G321" s="1789"/>
      <c r="H321" s="1790">
        <v>0</v>
      </c>
      <c r="I321" s="1790"/>
      <c r="J321" s="1790"/>
      <c r="K321" s="1791">
        <v>0</v>
      </c>
      <c r="L321" s="1791"/>
      <c r="M321" s="1791"/>
      <c r="N321" s="1791">
        <v>0</v>
      </c>
      <c r="O321" s="1791"/>
      <c r="P321" s="1791"/>
      <c r="Q321" s="1791">
        <v>0</v>
      </c>
      <c r="R321" s="1791"/>
      <c r="S321" s="1791"/>
      <c r="T321" s="1791">
        <v>0</v>
      </c>
      <c r="U321" s="1791"/>
      <c r="V321" s="1791"/>
      <c r="W321" s="1791">
        <v>0</v>
      </c>
      <c r="X321" s="1791"/>
      <c r="Y321" s="1791"/>
      <c r="Z321" s="1791">
        <v>0</v>
      </c>
      <c r="AA321" s="1791"/>
      <c r="AB321" s="1791"/>
      <c r="AC321" s="1791">
        <v>0</v>
      </c>
      <c r="AD321" s="1791"/>
      <c r="AE321" s="1791"/>
      <c r="AF321" s="1794">
        <f>SUM(H321:AE321)</f>
        <v>0</v>
      </c>
      <c r="AG321" s="1794"/>
      <c r="AH321" s="1794"/>
      <c r="AI321" s="607"/>
      <c r="AJ321" s="607"/>
      <c r="AK321" s="607"/>
      <c r="AL321" s="607"/>
      <c r="AM321" s="607"/>
      <c r="AN321" s="607"/>
      <c r="AO321" s="607"/>
      <c r="AP321" s="607"/>
      <c r="AQ321" s="608">
        <f>SUM(H321:AE321)-AF321</f>
        <v>0</v>
      </c>
      <c r="AS321" s="606"/>
      <c r="AT321" s="607"/>
      <c r="AU321" s="607"/>
      <c r="AV321" s="607"/>
      <c r="AW321" s="607"/>
      <c r="AX321" s="607"/>
      <c r="AY321" s="607"/>
      <c r="AZ321" s="607"/>
      <c r="BA321" s="619"/>
      <c r="BC321" s="606"/>
      <c r="BD321" s="607"/>
      <c r="BE321" s="607"/>
      <c r="BF321" s="607"/>
      <c r="BG321" s="607"/>
      <c r="BH321" s="607"/>
      <c r="BI321" s="607"/>
      <c r="BJ321" s="607"/>
      <c r="BK321" s="619"/>
    </row>
    <row r="322" spans="1:63" s="584" customFormat="1" ht="15" customHeight="1">
      <c r="A322" s="597"/>
      <c r="D322" s="1789" t="s">
        <v>28</v>
      </c>
      <c r="E322" s="1789"/>
      <c r="F322" s="1789"/>
      <c r="G322" s="1789"/>
      <c r="H322" s="1790">
        <v>0</v>
      </c>
      <c r="I322" s="1790"/>
      <c r="J322" s="1790"/>
      <c r="K322" s="1791">
        <v>0</v>
      </c>
      <c r="L322" s="1791"/>
      <c r="M322" s="1791"/>
      <c r="N322" s="1791">
        <v>0</v>
      </c>
      <c r="O322" s="1791"/>
      <c r="P322" s="1791"/>
      <c r="Q322" s="1791">
        <v>0</v>
      </c>
      <c r="R322" s="1791"/>
      <c r="S322" s="1791"/>
      <c r="T322" s="1791">
        <v>0</v>
      </c>
      <c r="U322" s="1791"/>
      <c r="V322" s="1791"/>
      <c r="W322" s="1791">
        <v>0</v>
      </c>
      <c r="X322" s="1791"/>
      <c r="Y322" s="1791"/>
      <c r="Z322" s="1791">
        <v>0</v>
      </c>
      <c r="AA322" s="1791"/>
      <c r="AB322" s="1791"/>
      <c r="AC322" s="1791">
        <v>0</v>
      </c>
      <c r="AD322" s="1791"/>
      <c r="AE322" s="1791"/>
      <c r="AF322" s="1794">
        <f>SUM(H322:AE322)</f>
        <v>0</v>
      </c>
      <c r="AG322" s="1794"/>
      <c r="AH322" s="1794"/>
      <c r="AI322" s="607"/>
      <c r="AJ322" s="607"/>
      <c r="AK322" s="607"/>
      <c r="AL322" s="607"/>
      <c r="AM322" s="607"/>
      <c r="AN322" s="607"/>
      <c r="AO322" s="607"/>
      <c r="AP322" s="607"/>
      <c r="AQ322" s="608">
        <f t="shared" ref="AQ322" si="64">SUM(H322:AE322)-AF322</f>
        <v>0</v>
      </c>
      <c r="AS322" s="606"/>
      <c r="AT322" s="607"/>
      <c r="AU322" s="607"/>
      <c r="AV322" s="607"/>
      <c r="AW322" s="607"/>
      <c r="AX322" s="607"/>
      <c r="AY322" s="607"/>
      <c r="AZ322" s="607"/>
      <c r="BA322" s="619"/>
      <c r="BC322" s="606"/>
      <c r="BD322" s="607"/>
      <c r="BE322" s="607"/>
      <c r="BF322" s="607"/>
      <c r="BG322" s="607"/>
      <c r="BH322" s="607"/>
      <c r="BI322" s="607"/>
      <c r="BJ322" s="607"/>
      <c r="BK322" s="619"/>
    </row>
    <row r="323" spans="1:63" s="584" customFormat="1" ht="14">
      <c r="A323" s="597"/>
      <c r="D323" s="1789" t="s">
        <v>29</v>
      </c>
      <c r="E323" s="1789"/>
      <c r="F323" s="1789"/>
      <c r="G323" s="1789"/>
      <c r="H323" s="1790">
        <v>0</v>
      </c>
      <c r="I323" s="1790"/>
      <c r="J323" s="1790"/>
      <c r="K323" s="1791">
        <v>0</v>
      </c>
      <c r="L323" s="1791"/>
      <c r="M323" s="1791"/>
      <c r="N323" s="1791">
        <v>0</v>
      </c>
      <c r="O323" s="1791"/>
      <c r="P323" s="1791"/>
      <c r="Q323" s="1791">
        <v>0</v>
      </c>
      <c r="R323" s="1791"/>
      <c r="S323" s="1791"/>
      <c r="T323" s="1791">
        <v>0</v>
      </c>
      <c r="U323" s="1791"/>
      <c r="V323" s="1791"/>
      <c r="W323" s="1791">
        <v>0</v>
      </c>
      <c r="X323" s="1791"/>
      <c r="Y323" s="1791"/>
      <c r="Z323" s="1791">
        <v>0</v>
      </c>
      <c r="AA323" s="1791"/>
      <c r="AB323" s="1791"/>
      <c r="AC323" s="1791">
        <v>0</v>
      </c>
      <c r="AD323" s="1791"/>
      <c r="AE323" s="1791"/>
      <c r="AF323" s="1794">
        <f>SUM(H323:AE323)</f>
        <v>0</v>
      </c>
      <c r="AG323" s="1794"/>
      <c r="AH323" s="1794"/>
      <c r="AI323" s="607"/>
      <c r="AJ323" s="607"/>
      <c r="AK323" s="607"/>
      <c r="AL323" s="607"/>
      <c r="AM323" s="607"/>
      <c r="AN323" s="607"/>
      <c r="AO323" s="607"/>
      <c r="AP323" s="607"/>
      <c r="AQ323" s="608">
        <f>SUM(H323:AE323)-AF323</f>
        <v>0</v>
      </c>
      <c r="AS323" s="606"/>
      <c r="AT323" s="607"/>
      <c r="AU323" s="607"/>
      <c r="AV323" s="607"/>
      <c r="AW323" s="607"/>
      <c r="AX323" s="607"/>
      <c r="AY323" s="607"/>
      <c r="AZ323" s="607"/>
      <c r="BA323" s="619"/>
      <c r="BC323" s="606"/>
      <c r="BD323" s="607"/>
      <c r="BE323" s="607"/>
      <c r="BF323" s="607"/>
      <c r="BG323" s="607"/>
      <c r="BH323" s="607"/>
      <c r="BI323" s="607"/>
      <c r="BJ323" s="607"/>
      <c r="BK323" s="619"/>
    </row>
    <row r="324" spans="1:63" s="584" customFormat="1" ht="22.5" customHeight="1" thickBot="1">
      <c r="A324" s="597"/>
      <c r="D324" s="1894" t="s">
        <v>30</v>
      </c>
      <c r="E324" s="1894"/>
      <c r="F324" s="1894"/>
      <c r="G324" s="1894"/>
      <c r="H324" s="1801">
        <f>H320+H321-H322+H323</f>
        <v>0</v>
      </c>
      <c r="I324" s="1801"/>
      <c r="J324" s="1801"/>
      <c r="K324" s="1801">
        <f t="shared" ref="K324" si="65">K320+K321-K322+K323</f>
        <v>0</v>
      </c>
      <c r="L324" s="1801"/>
      <c r="M324" s="1801"/>
      <c r="N324" s="1801">
        <f t="shared" ref="N324" si="66">N320+N321-N322+N323</f>
        <v>0</v>
      </c>
      <c r="O324" s="1801"/>
      <c r="P324" s="1801"/>
      <c r="Q324" s="1801">
        <f t="shared" ref="Q324" si="67">Q320+Q321-Q322+Q323</f>
        <v>0</v>
      </c>
      <c r="R324" s="1801"/>
      <c r="S324" s="1801"/>
      <c r="T324" s="1801">
        <f t="shared" ref="T324" si="68">T320+T321-T322+T323</f>
        <v>0</v>
      </c>
      <c r="U324" s="1801"/>
      <c r="V324" s="1801"/>
      <c r="W324" s="1801">
        <f t="shared" ref="W324" si="69">W320+W321-W322+W323</f>
        <v>0</v>
      </c>
      <c r="X324" s="1801"/>
      <c r="Y324" s="1801"/>
      <c r="Z324" s="1801">
        <f t="shared" ref="Z324" si="70">Z320+Z321-Z322+Z323</f>
        <v>0</v>
      </c>
      <c r="AA324" s="1801"/>
      <c r="AB324" s="1801"/>
      <c r="AC324" s="1801">
        <f t="shared" ref="AC324" si="71">AC320+AC321-AC322+AC323</f>
        <v>0</v>
      </c>
      <c r="AD324" s="1801"/>
      <c r="AE324" s="1801"/>
      <c r="AF324" s="1801">
        <f t="shared" ref="AF324" si="72">AF320+AF321-AF322+AF323</f>
        <v>0</v>
      </c>
      <c r="AG324" s="1801"/>
      <c r="AH324" s="1801"/>
      <c r="AI324" s="661">
        <f>H320+H321-H322+H323-H324</f>
        <v>0</v>
      </c>
      <c r="AJ324" s="661">
        <f>K320+K321-K322+K323-K324</f>
        <v>0</v>
      </c>
      <c r="AK324" s="661">
        <f>N320+N321-N322+N323-N324</f>
        <v>0</v>
      </c>
      <c r="AL324" s="661">
        <f>Q320+Q321-Q322+Q323-Q324</f>
        <v>0</v>
      </c>
      <c r="AM324" s="661">
        <f>T320+T321-T322+T323-T323</f>
        <v>0</v>
      </c>
      <c r="AN324" s="661">
        <f>W320+W321-W322+W323-W324</f>
        <v>0</v>
      </c>
      <c r="AO324" s="661">
        <f>Z320+Z321-Z322+Z323-Z324</f>
        <v>0</v>
      </c>
      <c r="AP324" s="661">
        <f>AC320+AC321-AC322+AC323-AC324</f>
        <v>0</v>
      </c>
      <c r="AQ324" s="608">
        <f>AF320+AF321-AF322+AF323-AF324</f>
        <v>0</v>
      </c>
      <c r="AS324" s="606"/>
      <c r="AT324" s="607"/>
      <c r="AU324" s="607"/>
      <c r="AV324" s="607"/>
      <c r="AW324" s="607"/>
      <c r="AX324" s="607"/>
      <c r="AY324" s="607"/>
      <c r="AZ324" s="607"/>
      <c r="BA324" s="619"/>
      <c r="BC324" s="606"/>
      <c r="BD324" s="607"/>
      <c r="BE324" s="607"/>
      <c r="BF324" s="607"/>
      <c r="BG324" s="607"/>
      <c r="BH324" s="607"/>
      <c r="BI324" s="607"/>
      <c r="BJ324" s="607"/>
      <c r="BK324" s="619"/>
    </row>
    <row r="325" spans="1:63" s="584" customFormat="1" ht="15.75" customHeight="1" thickBot="1">
      <c r="A325" s="597"/>
      <c r="D325" s="1795" t="s">
        <v>34</v>
      </c>
      <c r="E325" s="1796"/>
      <c r="F325" s="1796"/>
      <c r="G325" s="1796"/>
      <c r="H325" s="1796"/>
      <c r="I325" s="1796"/>
      <c r="J325" s="1796"/>
      <c r="K325" s="1796"/>
      <c r="L325" s="1796"/>
      <c r="M325" s="1796"/>
      <c r="N325" s="1796"/>
      <c r="O325" s="1796"/>
      <c r="P325" s="1796"/>
      <c r="Q325" s="1796"/>
      <c r="R325" s="1796"/>
      <c r="S325" s="1796"/>
      <c r="T325" s="1796"/>
      <c r="U325" s="1796"/>
      <c r="V325" s="1796"/>
      <c r="W325" s="1796"/>
      <c r="X325" s="1796"/>
      <c r="Y325" s="1796"/>
      <c r="Z325" s="1796"/>
      <c r="AA325" s="1796"/>
      <c r="AB325" s="1796"/>
      <c r="AC325" s="1796"/>
      <c r="AD325" s="1796"/>
      <c r="AE325" s="1796"/>
      <c r="AF325" s="1796"/>
      <c r="AG325" s="1796"/>
      <c r="AH325" s="1797"/>
      <c r="AI325" s="607"/>
      <c r="AJ325" s="607"/>
      <c r="AK325" s="607"/>
      <c r="AL325" s="607"/>
      <c r="AM325" s="607"/>
      <c r="AN325" s="607"/>
      <c r="AO325" s="607"/>
      <c r="AP325" s="607"/>
      <c r="AQ325" s="608"/>
      <c r="AS325" s="606"/>
      <c r="AT325" s="607"/>
      <c r="AU325" s="607"/>
      <c r="AV325" s="607"/>
      <c r="AW325" s="607"/>
      <c r="AX325" s="607"/>
      <c r="AY325" s="607"/>
      <c r="AZ325" s="607"/>
      <c r="BA325" s="619"/>
      <c r="BC325" s="606"/>
      <c r="BD325" s="607"/>
      <c r="BE325" s="607"/>
      <c r="BF325" s="607"/>
      <c r="BG325" s="607"/>
      <c r="BH325" s="607"/>
      <c r="BI325" s="607"/>
      <c r="BJ325" s="607"/>
      <c r="BK325" s="619"/>
    </row>
    <row r="326" spans="1:63" s="584" customFormat="1" ht="22.5" customHeight="1">
      <c r="A326" s="597"/>
      <c r="D326" s="1802" t="s">
        <v>32</v>
      </c>
      <c r="E326" s="1802"/>
      <c r="F326" s="1802"/>
      <c r="G326" s="1802"/>
      <c r="H326" s="1803">
        <f>H308-H314-H320</f>
        <v>0</v>
      </c>
      <c r="I326" s="1803"/>
      <c r="J326" s="1803"/>
      <c r="K326" s="1803">
        <f t="shared" ref="K326" si="73">K308-K314-K320</f>
        <v>358240</v>
      </c>
      <c r="L326" s="1803"/>
      <c r="M326" s="1803"/>
      <c r="N326" s="1803">
        <f>N308-N314-N320</f>
        <v>147616</v>
      </c>
      <c r="O326" s="1803"/>
      <c r="P326" s="1803"/>
      <c r="Q326" s="1803">
        <f t="shared" ref="Q326" si="74">Q308-Q314-Q320</f>
        <v>0</v>
      </c>
      <c r="R326" s="1803"/>
      <c r="S326" s="1803"/>
      <c r="T326" s="1803">
        <f t="shared" ref="T326" si="75">T308-T314-T320</f>
        <v>0</v>
      </c>
      <c r="U326" s="1803"/>
      <c r="V326" s="1803"/>
      <c r="W326" s="1803">
        <f t="shared" ref="W326" si="76">W308-W314-W320</f>
        <v>0</v>
      </c>
      <c r="X326" s="1803"/>
      <c r="Y326" s="1803"/>
      <c r="Z326" s="1803">
        <f t="shared" ref="Z326" si="77">Z308-Z314-Z320</f>
        <v>0</v>
      </c>
      <c r="AA326" s="1803"/>
      <c r="AB326" s="1803"/>
      <c r="AC326" s="1803">
        <f t="shared" ref="AC326" si="78">AC308-AC314-AC320</f>
        <v>0</v>
      </c>
      <c r="AD326" s="1803"/>
      <c r="AE326" s="1803"/>
      <c r="AF326" s="1803">
        <f t="shared" ref="AF326" si="79">AF308-AF314-AF320</f>
        <v>505856</v>
      </c>
      <c r="AG326" s="1803"/>
      <c r="AH326" s="1803"/>
      <c r="AI326" s="661">
        <f>H308-H314-H320-H326</f>
        <v>0</v>
      </c>
      <c r="AJ326" s="661">
        <f>K308-K314-K320-K326</f>
        <v>0</v>
      </c>
      <c r="AK326" s="661">
        <f>N308-N314-N320-N326</f>
        <v>0</v>
      </c>
      <c r="AL326" s="661">
        <f>Q308-Q314-Q320-Q326</f>
        <v>0</v>
      </c>
      <c r="AM326" s="661">
        <f>T308-T314-T320-T326</f>
        <v>0</v>
      </c>
      <c r="AN326" s="661">
        <f>W308-W314-W320-W326</f>
        <v>0</v>
      </c>
      <c r="AO326" s="661">
        <f>Z308-Z314-Z320-Z326</f>
        <v>0</v>
      </c>
      <c r="AP326" s="661">
        <f>AC308-AC314-AC320-AC326</f>
        <v>0</v>
      </c>
      <c r="AQ326" s="608">
        <f>SUM(H326:AE326)-AF326</f>
        <v>0</v>
      </c>
      <c r="AS326" s="621">
        <f>H326-H352</f>
        <v>0</v>
      </c>
      <c r="AT326" s="661">
        <f>K326-K352</f>
        <v>0</v>
      </c>
      <c r="AU326" s="661">
        <f>N326-N352</f>
        <v>0</v>
      </c>
      <c r="AV326" s="661">
        <f>Q326-Q352</f>
        <v>0</v>
      </c>
      <c r="AW326" s="661">
        <f>T326-T352</f>
        <v>0</v>
      </c>
      <c r="AX326" s="661">
        <f>W326-W352</f>
        <v>0</v>
      </c>
      <c r="AY326" s="661">
        <f>Z326-Z352</f>
        <v>0</v>
      </c>
      <c r="AZ326" s="661">
        <f>AC326-AC352</f>
        <v>0</v>
      </c>
      <c r="BA326" s="608">
        <f>AF326-AF352</f>
        <v>0</v>
      </c>
      <c r="BC326" s="606"/>
      <c r="BD326" s="607"/>
      <c r="BE326" s="607"/>
      <c r="BF326" s="607"/>
      <c r="BG326" s="607"/>
      <c r="BH326" s="607"/>
      <c r="BI326" s="607"/>
      <c r="BJ326" s="607"/>
      <c r="BK326" s="619"/>
    </row>
    <row r="327" spans="1:63" s="584" customFormat="1" ht="22.5" customHeight="1" thickBot="1">
      <c r="A327" s="597"/>
      <c r="D327" s="1894" t="s">
        <v>30</v>
      </c>
      <c r="E327" s="1894"/>
      <c r="F327" s="1894"/>
      <c r="G327" s="1894"/>
      <c r="H327" s="1801">
        <f>H312-H318-H324</f>
        <v>0</v>
      </c>
      <c r="I327" s="1801"/>
      <c r="J327" s="1801"/>
      <c r="K327" s="1801">
        <f t="shared" ref="K327" si="80">K312-K318-K324</f>
        <v>331639</v>
      </c>
      <c r="L327" s="1801"/>
      <c r="M327" s="1801"/>
      <c r="N327" s="1801">
        <f t="shared" ref="N327" si="81">N312-N318-N324</f>
        <v>119473</v>
      </c>
      <c r="O327" s="1801"/>
      <c r="P327" s="1801"/>
      <c r="Q327" s="1801">
        <f t="shared" ref="Q327" si="82">Q312-Q318-Q324</f>
        <v>0</v>
      </c>
      <c r="R327" s="1801"/>
      <c r="S327" s="1801"/>
      <c r="T327" s="1801">
        <f t="shared" ref="T327" si="83">T312-T318-T324</f>
        <v>0</v>
      </c>
      <c r="U327" s="1801"/>
      <c r="V327" s="1801"/>
      <c r="W327" s="1801">
        <f t="shared" ref="W327" si="84">W312-W318-W324</f>
        <v>0</v>
      </c>
      <c r="X327" s="1801"/>
      <c r="Y327" s="1801"/>
      <c r="Z327" s="1801">
        <f t="shared" ref="Z327" si="85">Z312-Z318-Z324</f>
        <v>3444</v>
      </c>
      <c r="AA327" s="1801"/>
      <c r="AB327" s="1801"/>
      <c r="AC327" s="1801">
        <f t="shared" ref="AC327" si="86">AC312-AC318-AC324</f>
        <v>0</v>
      </c>
      <c r="AD327" s="1801"/>
      <c r="AE327" s="1801"/>
      <c r="AF327" s="1801">
        <f t="shared" ref="AF327" si="87">AF312-AF318-AF324</f>
        <v>454556</v>
      </c>
      <c r="AG327" s="1801"/>
      <c r="AH327" s="1801"/>
      <c r="AI327" s="610">
        <f>H312-H318-H324-H327</f>
        <v>0</v>
      </c>
      <c r="AJ327" s="610">
        <f>K312-K318-K324-K327</f>
        <v>0</v>
      </c>
      <c r="AK327" s="610">
        <f>N312-N318-N324-N327</f>
        <v>0</v>
      </c>
      <c r="AL327" s="610">
        <f>Q312-Q318-Q324-Q327</f>
        <v>0</v>
      </c>
      <c r="AM327" s="610">
        <f>T312-T318-T324-T327</f>
        <v>0</v>
      </c>
      <c r="AN327" s="610">
        <f>W312-W318-W324-W327</f>
        <v>0</v>
      </c>
      <c r="AO327" s="610">
        <f>Z312-Z318-Z324-Z327</f>
        <v>0</v>
      </c>
      <c r="AP327" s="610">
        <f>AC312-AC318-AC324-AC327</f>
        <v>0</v>
      </c>
      <c r="AQ327" s="611">
        <f>SUM(H327:AE327)-AF327</f>
        <v>0</v>
      </c>
      <c r="AS327" s="633"/>
      <c r="AT327" s="663"/>
      <c r="AU327" s="663"/>
      <c r="AV327" s="663"/>
      <c r="AW327" s="663"/>
      <c r="AX327" s="663"/>
      <c r="AY327" s="663"/>
      <c r="AZ327" s="663"/>
      <c r="BA327" s="634"/>
      <c r="BC327" s="609">
        <f>H327-BS!$F$21</f>
        <v>0</v>
      </c>
      <c r="BD327" s="610">
        <f>K327-BS!$F$22</f>
        <v>0</v>
      </c>
      <c r="BE327" s="610">
        <f>N327-BS!$F$23</f>
        <v>0</v>
      </c>
      <c r="BF327" s="610">
        <f>Q327-BS!$F$24</f>
        <v>0</v>
      </c>
      <c r="BG327" s="610">
        <f>T327-BS!$F$25</f>
        <v>0</v>
      </c>
      <c r="BH327" s="610">
        <f>W327-BS!$F$26</f>
        <v>0</v>
      </c>
      <c r="BI327" s="610">
        <f>Z327-BS!$F$27</f>
        <v>0</v>
      </c>
      <c r="BJ327" s="610">
        <f>AC327-BS!$F$28</f>
        <v>0</v>
      </c>
      <c r="BK327" s="611">
        <f>AF327-BS!$F$20</f>
        <v>0</v>
      </c>
    </row>
    <row r="328" spans="1:63" s="584" customFormat="1" ht="14">
      <c r="A328" s="597"/>
      <c r="D328" s="780"/>
      <c r="E328" s="766"/>
      <c r="F328" s="766"/>
      <c r="G328" s="766"/>
      <c r="H328" s="766"/>
      <c r="I328" s="766"/>
      <c r="J328" s="766"/>
      <c r="K328" s="766"/>
      <c r="L328" s="766"/>
      <c r="M328" s="766"/>
      <c r="N328" s="766"/>
      <c r="O328" s="766"/>
      <c r="P328" s="766"/>
      <c r="Q328" s="766"/>
      <c r="R328" s="766"/>
      <c r="S328" s="766"/>
      <c r="T328" s="766"/>
      <c r="U328" s="766"/>
      <c r="V328" s="766"/>
      <c r="W328" s="766"/>
      <c r="X328" s="766"/>
      <c r="Y328" s="766"/>
      <c r="Z328" s="766"/>
      <c r="AA328" s="766"/>
      <c r="AB328" s="766"/>
      <c r="AC328" s="766"/>
      <c r="AD328" s="766"/>
      <c r="AE328" s="766"/>
      <c r="AF328" s="766"/>
      <c r="AG328" s="766"/>
      <c r="AI328" s="18"/>
      <c r="AJ328" s="18"/>
      <c r="AK328" s="18"/>
      <c r="AL328" s="18"/>
      <c r="AM328" s="18"/>
      <c r="AN328" s="18"/>
      <c r="AO328" s="18"/>
      <c r="AP328" s="18"/>
      <c r="AQ328" s="18"/>
    </row>
    <row r="329" spans="1:63" s="584" customFormat="1" ht="14.5" thickBot="1">
      <c r="A329" s="597"/>
      <c r="D329" s="780"/>
      <c r="E329" s="766"/>
      <c r="F329" s="766"/>
      <c r="G329" s="766"/>
      <c r="H329" s="766"/>
      <c r="I329" s="766"/>
      <c r="J329" s="766"/>
      <c r="K329" s="766"/>
      <c r="L329" s="766"/>
      <c r="M329" s="766"/>
      <c r="N329" s="766"/>
      <c r="O329" s="766"/>
      <c r="P329" s="766"/>
      <c r="Q329" s="766"/>
      <c r="R329" s="766"/>
      <c r="S329" s="766"/>
      <c r="T329" s="766"/>
      <c r="U329" s="766"/>
      <c r="V329" s="766"/>
      <c r="W329" s="766"/>
      <c r="X329" s="766"/>
      <c r="Y329" s="766"/>
      <c r="Z329" s="766"/>
      <c r="AA329" s="766"/>
      <c r="AB329" s="766"/>
      <c r="AC329" s="766"/>
      <c r="AD329" s="766"/>
      <c r="AE329" s="766"/>
      <c r="AF329" s="766"/>
      <c r="AG329" s="766"/>
      <c r="AI329" s="18"/>
      <c r="AJ329" s="18"/>
      <c r="AK329" s="18"/>
      <c r="AL329" s="18"/>
      <c r="AM329" s="18"/>
      <c r="AN329" s="18"/>
      <c r="AO329" s="18"/>
      <c r="AP329" s="18"/>
      <c r="AQ329" s="18"/>
    </row>
    <row r="330" spans="1:63" s="584" customFormat="1" ht="14.5" thickBot="1">
      <c r="A330" s="597"/>
      <c r="D330" s="1877" t="s">
        <v>40</v>
      </c>
      <c r="E330" s="1878"/>
      <c r="F330" s="1878"/>
      <c r="G330" s="1881"/>
      <c r="H330" s="1921" t="s">
        <v>3</v>
      </c>
      <c r="I330" s="1921"/>
      <c r="J330" s="1921"/>
      <c r="K330" s="1921"/>
      <c r="L330" s="1921"/>
      <c r="M330" s="1921"/>
      <c r="N330" s="1921"/>
      <c r="O330" s="1921"/>
      <c r="P330" s="1921"/>
      <c r="Q330" s="1921"/>
      <c r="R330" s="1921"/>
      <c r="S330" s="1921"/>
      <c r="T330" s="1921"/>
      <c r="U330" s="1921"/>
      <c r="V330" s="1921"/>
      <c r="W330" s="1921"/>
      <c r="X330" s="1921"/>
      <c r="Y330" s="1921"/>
      <c r="Z330" s="1921"/>
      <c r="AA330" s="1921"/>
      <c r="AB330" s="1921"/>
      <c r="AC330" s="1921"/>
      <c r="AD330" s="1921"/>
      <c r="AE330" s="1921"/>
      <c r="AF330" s="1921"/>
      <c r="AG330" s="1921"/>
      <c r="AH330" s="1921"/>
      <c r="AI330" s="18"/>
      <c r="AJ330" s="18"/>
      <c r="AK330" s="18"/>
      <c r="AL330" s="18"/>
      <c r="AM330" s="18"/>
      <c r="AN330" s="18"/>
      <c r="AO330" s="18"/>
      <c r="AP330" s="18"/>
      <c r="AQ330" s="18"/>
      <c r="BC330" s="601"/>
      <c r="BD330" s="601"/>
      <c r="BE330" s="601"/>
      <c r="BF330" s="601"/>
      <c r="BG330" s="601"/>
      <c r="BH330" s="601"/>
      <c r="BI330" s="601"/>
      <c r="BJ330" s="601"/>
      <c r="BK330" s="601"/>
    </row>
    <row r="331" spans="1:63" s="584" customFormat="1" ht="55.5" customHeight="1" thickTop="1" thickBot="1">
      <c r="A331" s="597"/>
      <c r="D331" s="1879"/>
      <c r="E331" s="1880"/>
      <c r="F331" s="1880"/>
      <c r="G331" s="1882"/>
      <c r="H331" s="1851" t="s">
        <v>41</v>
      </c>
      <c r="I331" s="1851"/>
      <c r="J331" s="1851"/>
      <c r="K331" s="1851" t="s">
        <v>42</v>
      </c>
      <c r="L331" s="1851"/>
      <c r="M331" s="1851"/>
      <c r="N331" s="1851" t="s">
        <v>43</v>
      </c>
      <c r="O331" s="1851"/>
      <c r="P331" s="1851"/>
      <c r="Q331" s="1851" t="s">
        <v>1406</v>
      </c>
      <c r="R331" s="1851"/>
      <c r="S331" s="1851"/>
      <c r="T331" s="1851" t="s">
        <v>44</v>
      </c>
      <c r="U331" s="1851"/>
      <c r="V331" s="1851"/>
      <c r="W331" s="1851" t="s">
        <v>45</v>
      </c>
      <c r="X331" s="1851"/>
      <c r="Y331" s="1851"/>
      <c r="Z331" s="1851" t="s">
        <v>445</v>
      </c>
      <c r="AA331" s="1851"/>
      <c r="AB331" s="1851"/>
      <c r="AC331" s="1851" t="s">
        <v>46</v>
      </c>
      <c r="AD331" s="1851"/>
      <c r="AE331" s="1851"/>
      <c r="AF331" s="1851" t="s">
        <v>14</v>
      </c>
      <c r="AG331" s="1851"/>
      <c r="AH331" s="1851"/>
      <c r="AI331" s="764" t="s">
        <v>41</v>
      </c>
      <c r="AJ331" s="764" t="s">
        <v>42</v>
      </c>
      <c r="AK331" s="764" t="s">
        <v>43</v>
      </c>
      <c r="AL331" s="764" t="s">
        <v>444</v>
      </c>
      <c r="AM331" s="764" t="s">
        <v>44</v>
      </c>
      <c r="AN331" s="764" t="s">
        <v>45</v>
      </c>
      <c r="AO331" s="764" t="s">
        <v>445</v>
      </c>
      <c r="AP331" s="764" t="s">
        <v>46</v>
      </c>
      <c r="AQ331" s="764" t="s">
        <v>14</v>
      </c>
      <c r="BC331" s="601"/>
      <c r="BD331" s="601"/>
      <c r="BE331" s="601"/>
      <c r="BF331" s="601"/>
      <c r="BG331" s="601"/>
      <c r="BH331" s="601"/>
      <c r="BI331" s="601"/>
      <c r="BJ331" s="601"/>
      <c r="BK331" s="601"/>
    </row>
    <row r="332" spans="1:63" s="584" customFormat="1" ht="14.5" thickBot="1">
      <c r="A332" s="597"/>
      <c r="D332" s="1795" t="s">
        <v>25</v>
      </c>
      <c r="E332" s="1796"/>
      <c r="F332" s="1796"/>
      <c r="G332" s="1796"/>
      <c r="H332" s="1796"/>
      <c r="I332" s="1796"/>
      <c r="J332" s="1796"/>
      <c r="K332" s="1796"/>
      <c r="L332" s="1796"/>
      <c r="M332" s="1796"/>
      <c r="N332" s="1796"/>
      <c r="O332" s="1796"/>
      <c r="P332" s="1796"/>
      <c r="Q332" s="1796"/>
      <c r="R332" s="1796"/>
      <c r="S332" s="1796"/>
      <c r="T332" s="1796"/>
      <c r="U332" s="1796"/>
      <c r="V332" s="1796"/>
      <c r="W332" s="1796"/>
      <c r="X332" s="1796"/>
      <c r="Y332" s="1796"/>
      <c r="Z332" s="1796"/>
      <c r="AA332" s="1796"/>
      <c r="AB332" s="1796"/>
      <c r="AC332" s="1796"/>
      <c r="AD332" s="1796"/>
      <c r="AE332" s="1796"/>
      <c r="AF332" s="1796"/>
      <c r="AG332" s="1796"/>
      <c r="AH332" s="1797"/>
      <c r="AI332" s="612"/>
      <c r="AJ332" s="613"/>
      <c r="AK332" s="613"/>
      <c r="AL332" s="613"/>
      <c r="AM332" s="613"/>
      <c r="AN332" s="613"/>
      <c r="AO332" s="613"/>
      <c r="AP332" s="613"/>
      <c r="AQ332" s="618"/>
      <c r="BC332" s="781"/>
      <c r="BD332" s="782"/>
      <c r="BE332" s="782"/>
      <c r="BF332" s="782"/>
      <c r="BG332" s="782"/>
      <c r="BH332" s="782"/>
      <c r="BI332" s="782"/>
      <c r="BJ332" s="782"/>
      <c r="BK332" s="783"/>
    </row>
    <row r="333" spans="1:63" s="584" customFormat="1" ht="22.5" customHeight="1">
      <c r="A333" s="597"/>
      <c r="D333" s="1922" t="s">
        <v>26</v>
      </c>
      <c r="E333" s="1922"/>
      <c r="F333" s="1922"/>
      <c r="G333" s="1922"/>
      <c r="H333" s="1931">
        <v>0</v>
      </c>
      <c r="I333" s="1932"/>
      <c r="J333" s="1933"/>
      <c r="K333" s="1934">
        <v>0</v>
      </c>
      <c r="L333" s="1935"/>
      <c r="M333" s="1936"/>
      <c r="N333" s="1934">
        <v>505875</v>
      </c>
      <c r="O333" s="1935"/>
      <c r="P333" s="1936"/>
      <c r="Q333" s="1934">
        <v>0</v>
      </c>
      <c r="R333" s="1935"/>
      <c r="S333" s="1936"/>
      <c r="T333" s="1934">
        <v>0</v>
      </c>
      <c r="U333" s="1935"/>
      <c r="V333" s="1936"/>
      <c r="W333" s="1934">
        <v>0</v>
      </c>
      <c r="X333" s="1935"/>
      <c r="Y333" s="1936"/>
      <c r="Z333" s="1934">
        <v>0</v>
      </c>
      <c r="AA333" s="1935"/>
      <c r="AB333" s="1936"/>
      <c r="AC333" s="1934">
        <v>0</v>
      </c>
      <c r="AD333" s="1935"/>
      <c r="AE333" s="1936"/>
      <c r="AF333" s="1924">
        <f>SUM(H333:AE333)</f>
        <v>505875</v>
      </c>
      <c r="AG333" s="1925"/>
      <c r="AH333" s="1926"/>
      <c r="AI333" s="606"/>
      <c r="AJ333" s="607"/>
      <c r="AK333" s="607"/>
      <c r="AL333" s="607"/>
      <c r="AM333" s="607"/>
      <c r="AN333" s="607"/>
      <c r="AO333" s="607"/>
      <c r="AP333" s="607"/>
      <c r="AQ333" s="608">
        <f>SUM(H333:AE333)-AF333</f>
        <v>0</v>
      </c>
      <c r="BC333" s="776"/>
      <c r="BD333" s="601"/>
      <c r="BE333" s="601"/>
      <c r="BF333" s="601"/>
      <c r="BG333" s="601"/>
      <c r="BH333" s="601"/>
      <c r="BI333" s="601"/>
      <c r="BJ333" s="601"/>
      <c r="BK333" s="775"/>
    </row>
    <row r="334" spans="1:63" s="584" customFormat="1" ht="14">
      <c r="A334" s="597"/>
      <c r="D334" s="1789" t="s">
        <v>27</v>
      </c>
      <c r="E334" s="1789"/>
      <c r="F334" s="1789"/>
      <c r="G334" s="1789"/>
      <c r="H334" s="1907">
        <v>0</v>
      </c>
      <c r="I334" s="1907"/>
      <c r="J334" s="1907"/>
      <c r="K334" s="1793">
        <v>0</v>
      </c>
      <c r="L334" s="1793"/>
      <c r="M334" s="1793"/>
      <c r="N334" s="1928">
        <v>0</v>
      </c>
      <c r="O334" s="1929"/>
      <c r="P334" s="1930"/>
      <c r="Q334" s="1793">
        <v>0</v>
      </c>
      <c r="R334" s="1793"/>
      <c r="S334" s="1793"/>
      <c r="T334" s="1793">
        <v>0</v>
      </c>
      <c r="U334" s="1793"/>
      <c r="V334" s="1793"/>
      <c r="W334" s="1793">
        <v>0</v>
      </c>
      <c r="X334" s="1793"/>
      <c r="Y334" s="1793"/>
      <c r="Z334" s="1793">
        <v>406211</v>
      </c>
      <c r="AA334" s="1793"/>
      <c r="AB334" s="1793"/>
      <c r="AC334" s="1793">
        <v>0</v>
      </c>
      <c r="AD334" s="1793"/>
      <c r="AE334" s="1793"/>
      <c r="AF334" s="1794">
        <f>SUM(H334:AE334)</f>
        <v>406211</v>
      </c>
      <c r="AG334" s="1794"/>
      <c r="AH334" s="1794"/>
      <c r="AI334" s="606"/>
      <c r="AJ334" s="607"/>
      <c r="AK334" s="607"/>
      <c r="AL334" s="607"/>
      <c r="AM334" s="607"/>
      <c r="AN334" s="607"/>
      <c r="AO334" s="607"/>
      <c r="AP334" s="607"/>
      <c r="AQ334" s="608">
        <f t="shared" ref="AQ334:AQ335" si="88">SUM(H334:AE334)-AF334</f>
        <v>0</v>
      </c>
      <c r="BC334" s="776"/>
      <c r="BD334" s="601"/>
      <c r="BE334" s="601"/>
      <c r="BF334" s="601"/>
      <c r="BG334" s="601"/>
      <c r="BH334" s="601"/>
      <c r="BI334" s="601"/>
      <c r="BJ334" s="601"/>
      <c r="BK334" s="775"/>
    </row>
    <row r="335" spans="1:63" s="584" customFormat="1" ht="14">
      <c r="A335" s="597"/>
      <c r="D335" s="1789" t="s">
        <v>28</v>
      </c>
      <c r="E335" s="1789"/>
      <c r="F335" s="1789"/>
      <c r="G335" s="1789"/>
      <c r="H335" s="1907">
        <v>0</v>
      </c>
      <c r="I335" s="1907"/>
      <c r="J335" s="1907"/>
      <c r="K335" s="1793">
        <v>0</v>
      </c>
      <c r="L335" s="1793"/>
      <c r="M335" s="1793"/>
      <c r="N335" s="1793">
        <v>66885</v>
      </c>
      <c r="O335" s="1793"/>
      <c r="P335" s="1793"/>
      <c r="Q335" s="1793">
        <v>0</v>
      </c>
      <c r="R335" s="1793"/>
      <c r="S335" s="1793"/>
      <c r="T335" s="1793">
        <v>0</v>
      </c>
      <c r="U335" s="1793"/>
      <c r="V335" s="1793"/>
      <c r="W335" s="1793">
        <v>0</v>
      </c>
      <c r="X335" s="1793"/>
      <c r="Y335" s="1793"/>
      <c r="Z335" s="1793"/>
      <c r="AA335" s="1793"/>
      <c r="AB335" s="1793"/>
      <c r="AC335" s="1793">
        <v>0</v>
      </c>
      <c r="AD335" s="1793"/>
      <c r="AE335" s="1793"/>
      <c r="AF335" s="1794">
        <f>SUM(H335:AE335)</f>
        <v>66885</v>
      </c>
      <c r="AG335" s="1794"/>
      <c r="AH335" s="1794"/>
      <c r="AI335" s="606"/>
      <c r="AJ335" s="607"/>
      <c r="AK335" s="607"/>
      <c r="AL335" s="607"/>
      <c r="AM335" s="607"/>
      <c r="AN335" s="607"/>
      <c r="AO335" s="607"/>
      <c r="AP335" s="607"/>
      <c r="AQ335" s="608">
        <f t="shared" si="88"/>
        <v>0</v>
      </c>
      <c r="BC335" s="776"/>
      <c r="BD335" s="601"/>
      <c r="BE335" s="601"/>
      <c r="BF335" s="601"/>
      <c r="BG335" s="601"/>
      <c r="BH335" s="601"/>
      <c r="BI335" s="601"/>
      <c r="BJ335" s="601"/>
      <c r="BK335" s="775"/>
    </row>
    <row r="336" spans="1:63" s="584" customFormat="1" ht="14">
      <c r="A336" s="597"/>
      <c r="D336" s="1789" t="s">
        <v>29</v>
      </c>
      <c r="E336" s="1789"/>
      <c r="F336" s="1789"/>
      <c r="G336" s="1789"/>
      <c r="H336" s="1907">
        <v>0</v>
      </c>
      <c r="I336" s="1907"/>
      <c r="J336" s="1907"/>
      <c r="K336" s="1793">
        <v>364187</v>
      </c>
      <c r="L336" s="1793"/>
      <c r="M336" s="1793"/>
      <c r="N336" s="1793">
        <v>42024</v>
      </c>
      <c r="O336" s="1793"/>
      <c r="P336" s="1793"/>
      <c r="Q336" s="1793">
        <v>0</v>
      </c>
      <c r="R336" s="1793"/>
      <c r="S336" s="1793"/>
      <c r="T336" s="1793">
        <v>0</v>
      </c>
      <c r="U336" s="1793"/>
      <c r="V336" s="1793"/>
      <c r="W336" s="1793">
        <v>0</v>
      </c>
      <c r="X336" s="1793"/>
      <c r="Y336" s="1793"/>
      <c r="Z336" s="1793">
        <v>-406211</v>
      </c>
      <c r="AA336" s="1793"/>
      <c r="AB336" s="1793"/>
      <c r="AC336" s="1793">
        <v>0</v>
      </c>
      <c r="AD336" s="1793"/>
      <c r="AE336" s="1793"/>
      <c r="AF336" s="1794">
        <f>SUM(H336:AE336)</f>
        <v>0</v>
      </c>
      <c r="AG336" s="1794"/>
      <c r="AH336" s="1794"/>
      <c r="AI336" s="606"/>
      <c r="AJ336" s="607"/>
      <c r="AK336" s="607"/>
      <c r="AL336" s="607"/>
      <c r="AM336" s="607"/>
      <c r="AN336" s="607"/>
      <c r="AO336" s="607"/>
      <c r="AP336" s="607"/>
      <c r="AQ336" s="608">
        <f>SUM(H336:AE336)-AF336</f>
        <v>0</v>
      </c>
      <c r="BC336" s="776"/>
      <c r="BD336" s="601"/>
      <c r="BE336" s="601"/>
      <c r="BF336" s="601"/>
      <c r="BG336" s="601"/>
      <c r="BH336" s="601"/>
      <c r="BI336" s="601"/>
      <c r="BJ336" s="601"/>
      <c r="BK336" s="775"/>
    </row>
    <row r="337" spans="1:63" s="584" customFormat="1" ht="22.5" customHeight="1" thickBot="1">
      <c r="A337" s="597"/>
      <c r="D337" s="1894" t="s">
        <v>30</v>
      </c>
      <c r="E337" s="1894"/>
      <c r="F337" s="1894"/>
      <c r="G337" s="1894"/>
      <c r="H337" s="1801">
        <f>H333+H334-H335+H336</f>
        <v>0</v>
      </c>
      <c r="I337" s="1801"/>
      <c r="J337" s="1801"/>
      <c r="K337" s="1801">
        <f t="shared" ref="K337" si="89">K333+K334-K335+K336</f>
        <v>364187</v>
      </c>
      <c r="L337" s="1801"/>
      <c r="M337" s="1801"/>
      <c r="N337" s="1801">
        <f>N333+N334-N335+N336</f>
        <v>481014</v>
      </c>
      <c r="O337" s="1801"/>
      <c r="P337" s="1801"/>
      <c r="Q337" s="1801">
        <f t="shared" ref="Q337" si="90">Q333+Q334-Q335+Q336</f>
        <v>0</v>
      </c>
      <c r="R337" s="1801"/>
      <c r="S337" s="1801"/>
      <c r="T337" s="1801">
        <f t="shared" ref="T337" si="91">T333+T334-T335+T336</f>
        <v>0</v>
      </c>
      <c r="U337" s="1801"/>
      <c r="V337" s="1801"/>
      <c r="W337" s="1801">
        <f t="shared" ref="W337" si="92">W333+W334-W335+W336</f>
        <v>0</v>
      </c>
      <c r="X337" s="1801"/>
      <c r="Y337" s="1801"/>
      <c r="Z337" s="1801">
        <f t="shared" ref="Z337" si="93">Z333+Z334-Z335+Z336</f>
        <v>0</v>
      </c>
      <c r="AA337" s="1801"/>
      <c r="AB337" s="1801"/>
      <c r="AC337" s="1801">
        <f t="shared" ref="AC337" si="94">AC333+AC334-AC335+AC336</f>
        <v>0</v>
      </c>
      <c r="AD337" s="1801"/>
      <c r="AE337" s="1801"/>
      <c r="AF337" s="1801">
        <f>AF333+AF334-AF335+AF336</f>
        <v>845201</v>
      </c>
      <c r="AG337" s="1801"/>
      <c r="AH337" s="1801"/>
      <c r="AI337" s="621">
        <f>H333+H334-H335+H336-H337</f>
        <v>0</v>
      </c>
      <c r="AJ337" s="661">
        <f>K333+K334-K335+K336-K337</f>
        <v>0</v>
      </c>
      <c r="AK337" s="661">
        <f>N333+N334-N335+N336-N337</f>
        <v>0</v>
      </c>
      <c r="AL337" s="661">
        <f>Q333+Q334-Q335+Q336-Q337</f>
        <v>0</v>
      </c>
      <c r="AM337" s="661">
        <f>T333+T334-T335+T336-T336</f>
        <v>0</v>
      </c>
      <c r="AN337" s="661">
        <f>W333+W334-W335+W336-W337</f>
        <v>0</v>
      </c>
      <c r="AO337" s="661">
        <f>Z333+Z334-Z335+Z336-Z337</f>
        <v>0</v>
      </c>
      <c r="AP337" s="661">
        <f>AC333+AC334-AC335+AC336-AC337</f>
        <v>0</v>
      </c>
      <c r="AQ337" s="608">
        <f>AF333+AF334-AF335+AF336-AF337</f>
        <v>0</v>
      </c>
      <c r="BC337" s="776"/>
      <c r="BD337" s="601"/>
      <c r="BE337" s="601"/>
      <c r="BF337" s="601"/>
      <c r="BG337" s="601"/>
      <c r="BH337" s="601"/>
      <c r="BI337" s="601"/>
      <c r="BJ337" s="601"/>
      <c r="BK337" s="775"/>
    </row>
    <row r="338" spans="1:63" s="584" customFormat="1" ht="14.5" thickBot="1">
      <c r="A338" s="597"/>
      <c r="D338" s="1795" t="s">
        <v>31</v>
      </c>
      <c r="E338" s="1796"/>
      <c r="F338" s="1796"/>
      <c r="G338" s="1796"/>
      <c r="H338" s="1796"/>
      <c r="I338" s="1796"/>
      <c r="J338" s="1796"/>
      <c r="K338" s="1796"/>
      <c r="L338" s="1796"/>
      <c r="M338" s="1796"/>
      <c r="N338" s="1796"/>
      <c r="O338" s="1796"/>
      <c r="P338" s="1796"/>
      <c r="Q338" s="1796"/>
      <c r="R338" s="1796"/>
      <c r="S338" s="1796"/>
      <c r="T338" s="1796"/>
      <c r="U338" s="1796"/>
      <c r="V338" s="1796"/>
      <c r="W338" s="1796"/>
      <c r="X338" s="1796"/>
      <c r="Y338" s="1796"/>
      <c r="Z338" s="1796"/>
      <c r="AA338" s="1796"/>
      <c r="AB338" s="1796"/>
      <c r="AC338" s="1796"/>
      <c r="AD338" s="1796"/>
      <c r="AE338" s="1796"/>
      <c r="AF338" s="1796"/>
      <c r="AG338" s="1796"/>
      <c r="AH338" s="1797"/>
      <c r="AI338" s="606"/>
      <c r="AJ338" s="607"/>
      <c r="AK338" s="607"/>
      <c r="AL338" s="607"/>
      <c r="AM338" s="607"/>
      <c r="AN338" s="607"/>
      <c r="AO338" s="607"/>
      <c r="AP338" s="607"/>
      <c r="AQ338" s="608"/>
      <c r="BC338" s="776"/>
      <c r="BD338" s="601"/>
      <c r="BE338" s="601"/>
      <c r="BF338" s="601"/>
      <c r="BG338" s="601"/>
      <c r="BH338" s="601"/>
      <c r="BI338" s="601"/>
      <c r="BJ338" s="601"/>
      <c r="BK338" s="775"/>
    </row>
    <row r="339" spans="1:63" s="584" customFormat="1" ht="22.5" customHeight="1">
      <c r="A339" s="597"/>
      <c r="D339" s="1922" t="s">
        <v>32</v>
      </c>
      <c r="E339" s="1922"/>
      <c r="F339" s="1922"/>
      <c r="G339" s="1922"/>
      <c r="H339" s="1927">
        <v>0</v>
      </c>
      <c r="I339" s="1927"/>
      <c r="J339" s="1927"/>
      <c r="K339" s="1829">
        <v>0</v>
      </c>
      <c r="L339" s="1829"/>
      <c r="M339" s="1829"/>
      <c r="N339" s="1829">
        <v>323716</v>
      </c>
      <c r="O339" s="1829"/>
      <c r="P339" s="1829"/>
      <c r="Q339" s="1829">
        <v>0</v>
      </c>
      <c r="R339" s="1829"/>
      <c r="S339" s="1829"/>
      <c r="T339" s="1829">
        <v>0</v>
      </c>
      <c r="U339" s="1829"/>
      <c r="V339" s="1829"/>
      <c r="W339" s="1829">
        <v>0</v>
      </c>
      <c r="X339" s="1829"/>
      <c r="Y339" s="1829"/>
      <c r="Z339" s="1829">
        <v>0</v>
      </c>
      <c r="AA339" s="1829"/>
      <c r="AB339" s="1829"/>
      <c r="AC339" s="1829">
        <v>0</v>
      </c>
      <c r="AD339" s="1829"/>
      <c r="AE339" s="1829"/>
      <c r="AF339" s="1899">
        <f>SUM(H339:AE339)</f>
        <v>323716</v>
      </c>
      <c r="AG339" s="1899"/>
      <c r="AH339" s="1899"/>
      <c r="AI339" s="606"/>
      <c r="AJ339" s="607"/>
      <c r="AK339" s="607"/>
      <c r="AL339" s="607"/>
      <c r="AM339" s="607"/>
      <c r="AN339" s="607"/>
      <c r="AO339" s="607"/>
      <c r="AP339" s="607"/>
      <c r="AQ339" s="608">
        <f>SUM(H339:AE339)-AF339</f>
        <v>0</v>
      </c>
      <c r="BC339" s="776"/>
      <c r="BD339" s="601"/>
      <c r="BE339" s="601"/>
      <c r="BF339" s="601"/>
      <c r="BG339" s="601"/>
      <c r="BH339" s="601"/>
      <c r="BI339" s="601"/>
      <c r="BJ339" s="601"/>
      <c r="BK339" s="775"/>
    </row>
    <row r="340" spans="1:63" s="584" customFormat="1" ht="14">
      <c r="A340" s="597"/>
      <c r="D340" s="1789" t="s">
        <v>27</v>
      </c>
      <c r="E340" s="1789"/>
      <c r="F340" s="1789"/>
      <c r="G340" s="1789"/>
      <c r="H340" s="1907">
        <v>0</v>
      </c>
      <c r="I340" s="1907"/>
      <c r="J340" s="1907"/>
      <c r="K340" s="1793">
        <v>5947</v>
      </c>
      <c r="L340" s="1793"/>
      <c r="M340" s="1793"/>
      <c r="N340" s="1793">
        <v>76567</v>
      </c>
      <c r="O340" s="1793"/>
      <c r="P340" s="1793"/>
      <c r="Q340" s="1793">
        <v>0</v>
      </c>
      <c r="R340" s="1793"/>
      <c r="S340" s="1793"/>
      <c r="T340" s="1793">
        <v>0</v>
      </c>
      <c r="U340" s="1793"/>
      <c r="V340" s="1793"/>
      <c r="W340" s="1793">
        <v>0</v>
      </c>
      <c r="X340" s="1793"/>
      <c r="Y340" s="1793"/>
      <c r="Z340" s="1793">
        <v>0</v>
      </c>
      <c r="AA340" s="1793"/>
      <c r="AB340" s="1793"/>
      <c r="AC340" s="1793">
        <v>0</v>
      </c>
      <c r="AD340" s="1793"/>
      <c r="AE340" s="1793"/>
      <c r="AF340" s="1794">
        <f>SUM(H340:AE340)</f>
        <v>82514</v>
      </c>
      <c r="AG340" s="1794"/>
      <c r="AH340" s="1794"/>
      <c r="AI340" s="606"/>
      <c r="AJ340" s="607"/>
      <c r="AK340" s="607"/>
      <c r="AL340" s="607"/>
      <c r="AM340" s="607"/>
      <c r="AN340" s="607"/>
      <c r="AO340" s="607"/>
      <c r="AP340" s="607"/>
      <c r="AQ340" s="608">
        <f t="shared" ref="AQ340:AQ341" si="95">SUM(H340:AE340)-AF340</f>
        <v>0</v>
      </c>
      <c r="BC340" s="776"/>
      <c r="BD340" s="601"/>
      <c r="BE340" s="601"/>
      <c r="BF340" s="601"/>
      <c r="BG340" s="601"/>
      <c r="BH340" s="601"/>
      <c r="BI340" s="601"/>
      <c r="BJ340" s="601"/>
      <c r="BK340" s="775"/>
    </row>
    <row r="341" spans="1:63" s="584" customFormat="1" ht="14">
      <c r="A341" s="597"/>
      <c r="D341" s="1789" t="s">
        <v>28</v>
      </c>
      <c r="E341" s="1789"/>
      <c r="F341" s="1789"/>
      <c r="G341" s="1789"/>
      <c r="H341" s="1907">
        <v>0</v>
      </c>
      <c r="I341" s="1907"/>
      <c r="J341" s="1907"/>
      <c r="K341" s="1793">
        <v>0</v>
      </c>
      <c r="L341" s="1793"/>
      <c r="M341" s="1793"/>
      <c r="N341" s="1793">
        <v>66885</v>
      </c>
      <c r="O341" s="1793"/>
      <c r="P341" s="1793"/>
      <c r="Q341" s="1793">
        <v>0</v>
      </c>
      <c r="R341" s="1793"/>
      <c r="S341" s="1793"/>
      <c r="T341" s="1793">
        <v>0</v>
      </c>
      <c r="U341" s="1793"/>
      <c r="V341" s="1793"/>
      <c r="W341" s="1793">
        <v>0</v>
      </c>
      <c r="X341" s="1793"/>
      <c r="Y341" s="1793"/>
      <c r="Z341" s="1793">
        <v>0</v>
      </c>
      <c r="AA341" s="1793"/>
      <c r="AB341" s="1793"/>
      <c r="AC341" s="1793">
        <v>0</v>
      </c>
      <c r="AD341" s="1793"/>
      <c r="AE341" s="1793"/>
      <c r="AF341" s="1794">
        <f>SUM(H341:AE341)</f>
        <v>66885</v>
      </c>
      <c r="AG341" s="1794"/>
      <c r="AH341" s="1794"/>
      <c r="AI341" s="606"/>
      <c r="AJ341" s="607"/>
      <c r="AK341" s="607"/>
      <c r="AL341" s="607"/>
      <c r="AM341" s="607"/>
      <c r="AN341" s="607"/>
      <c r="AO341" s="607"/>
      <c r="AP341" s="607"/>
      <c r="AQ341" s="608">
        <f t="shared" si="95"/>
        <v>0</v>
      </c>
      <c r="BC341" s="776"/>
      <c r="BD341" s="601"/>
      <c r="BE341" s="601"/>
      <c r="BF341" s="601"/>
      <c r="BG341" s="601"/>
      <c r="BH341" s="601"/>
      <c r="BI341" s="601"/>
      <c r="BJ341" s="601"/>
      <c r="BK341" s="775"/>
    </row>
    <row r="342" spans="1:63" s="584" customFormat="1" ht="14">
      <c r="A342" s="597"/>
      <c r="D342" s="1789" t="s">
        <v>29</v>
      </c>
      <c r="E342" s="1789"/>
      <c r="F342" s="1789"/>
      <c r="G342" s="1789"/>
      <c r="H342" s="1907">
        <v>0</v>
      </c>
      <c r="I342" s="1907"/>
      <c r="J342" s="1907"/>
      <c r="K342" s="1793">
        <v>0</v>
      </c>
      <c r="L342" s="1793"/>
      <c r="M342" s="1793"/>
      <c r="N342" s="1793">
        <v>0</v>
      </c>
      <c r="O342" s="1793"/>
      <c r="P342" s="1793"/>
      <c r="Q342" s="1793">
        <v>0</v>
      </c>
      <c r="R342" s="1793"/>
      <c r="S342" s="1793"/>
      <c r="T342" s="1793">
        <v>0</v>
      </c>
      <c r="U342" s="1793"/>
      <c r="V342" s="1793"/>
      <c r="W342" s="1793">
        <v>0</v>
      </c>
      <c r="X342" s="1793"/>
      <c r="Y342" s="1793"/>
      <c r="Z342" s="1793">
        <v>0</v>
      </c>
      <c r="AA342" s="1793"/>
      <c r="AB342" s="1793"/>
      <c r="AC342" s="1793">
        <v>0</v>
      </c>
      <c r="AD342" s="1793"/>
      <c r="AE342" s="1793"/>
      <c r="AF342" s="1794">
        <f>SUM(H342:AE342)</f>
        <v>0</v>
      </c>
      <c r="AG342" s="1794"/>
      <c r="AH342" s="1794"/>
      <c r="AI342" s="606"/>
      <c r="AJ342" s="607"/>
      <c r="AK342" s="607"/>
      <c r="AL342" s="607"/>
      <c r="AM342" s="607"/>
      <c r="AN342" s="607"/>
      <c r="AO342" s="607"/>
      <c r="AP342" s="607"/>
      <c r="AQ342" s="608">
        <f>SUM(H342:AE342)-AF342</f>
        <v>0</v>
      </c>
      <c r="BC342" s="776"/>
      <c r="BD342" s="601"/>
      <c r="BE342" s="601"/>
      <c r="BF342" s="601"/>
      <c r="BG342" s="601"/>
      <c r="BH342" s="601"/>
      <c r="BI342" s="601"/>
      <c r="BJ342" s="601"/>
      <c r="BK342" s="775"/>
    </row>
    <row r="343" spans="1:63" s="584" customFormat="1" ht="22.5" customHeight="1" thickBot="1">
      <c r="A343" s="597"/>
      <c r="D343" s="1894" t="s">
        <v>30</v>
      </c>
      <c r="E343" s="1894"/>
      <c r="F343" s="1894"/>
      <c r="G343" s="1894"/>
      <c r="H343" s="1801">
        <f>H339+H340-H341+H342</f>
        <v>0</v>
      </c>
      <c r="I343" s="1801"/>
      <c r="J343" s="1801"/>
      <c r="K343" s="1801">
        <f t="shared" ref="K343" si="96">K339+K340-K341+K342</f>
        <v>5947</v>
      </c>
      <c r="L343" s="1801"/>
      <c r="M343" s="1801"/>
      <c r="N343" s="1801">
        <f>N339+N340-N341+N342</f>
        <v>333398</v>
      </c>
      <c r="O343" s="1801"/>
      <c r="P343" s="1801"/>
      <c r="Q343" s="1801">
        <f t="shared" ref="Q343" si="97">Q339+Q340-Q341+Q342</f>
        <v>0</v>
      </c>
      <c r="R343" s="1801"/>
      <c r="S343" s="1801"/>
      <c r="T343" s="1801">
        <f t="shared" ref="T343" si="98">T339+T340-T341+T342</f>
        <v>0</v>
      </c>
      <c r="U343" s="1801"/>
      <c r="V343" s="1801"/>
      <c r="W343" s="1801">
        <f t="shared" ref="W343" si="99">W339+W340-W341+W342</f>
        <v>0</v>
      </c>
      <c r="X343" s="1801"/>
      <c r="Y343" s="1801"/>
      <c r="Z343" s="1801">
        <f t="shared" ref="Z343" si="100">Z339+Z340-Z341+Z342</f>
        <v>0</v>
      </c>
      <c r="AA343" s="1801"/>
      <c r="AB343" s="1801"/>
      <c r="AC343" s="1801">
        <f t="shared" ref="AC343" si="101">AC339+AC340-AC341+AC342</f>
        <v>0</v>
      </c>
      <c r="AD343" s="1801"/>
      <c r="AE343" s="1801"/>
      <c r="AF343" s="1801">
        <f>AF339+AF340-AF341+AF342</f>
        <v>339345</v>
      </c>
      <c r="AG343" s="1801"/>
      <c r="AH343" s="1801"/>
      <c r="AI343" s="621">
        <f>H339+H340-H341+H342-H343</f>
        <v>0</v>
      </c>
      <c r="AJ343" s="661">
        <f>K339+K340-K341+K342-K343</f>
        <v>0</v>
      </c>
      <c r="AK343" s="661">
        <f>N339+N340-N341+N342-N343</f>
        <v>0</v>
      </c>
      <c r="AL343" s="661">
        <f>Q339+Q340-Q341+Q342-Q343</f>
        <v>0</v>
      </c>
      <c r="AM343" s="661">
        <f>T339+T340-T341+T342-T342</f>
        <v>0</v>
      </c>
      <c r="AN343" s="661">
        <f>W339+W340-W341+W342-W343</f>
        <v>0</v>
      </c>
      <c r="AO343" s="661">
        <f>Z339+Z340-Z341+Z342-Z343</f>
        <v>0</v>
      </c>
      <c r="AP343" s="661">
        <f>AC339+AC340-AC341+AC342-AC343</f>
        <v>0</v>
      </c>
      <c r="AQ343" s="608">
        <f>AF339+AF340-AF341+AF342-AF343</f>
        <v>0</v>
      </c>
      <c r="BC343" s="776"/>
      <c r="BD343" s="601"/>
      <c r="BE343" s="601"/>
      <c r="BF343" s="601"/>
      <c r="BG343" s="601"/>
      <c r="BH343" s="601"/>
      <c r="BI343" s="601"/>
      <c r="BJ343" s="601"/>
      <c r="BK343" s="775"/>
    </row>
    <row r="344" spans="1:63" s="584" customFormat="1" ht="14.5" thickBot="1">
      <c r="A344" s="597"/>
      <c r="D344" s="1795" t="s">
        <v>33</v>
      </c>
      <c r="E344" s="1796"/>
      <c r="F344" s="1796"/>
      <c r="G344" s="1796"/>
      <c r="H344" s="1796"/>
      <c r="I344" s="1796"/>
      <c r="J344" s="1796"/>
      <c r="K344" s="1796"/>
      <c r="L344" s="1796"/>
      <c r="M344" s="1796"/>
      <c r="N344" s="1796"/>
      <c r="O344" s="1796"/>
      <c r="P344" s="1796"/>
      <c r="Q344" s="1796"/>
      <c r="R344" s="1796"/>
      <c r="S344" s="1796"/>
      <c r="T344" s="1796"/>
      <c r="U344" s="1796"/>
      <c r="V344" s="1796"/>
      <c r="W344" s="1796"/>
      <c r="X344" s="1796"/>
      <c r="Y344" s="1796"/>
      <c r="Z344" s="1796"/>
      <c r="AA344" s="1796"/>
      <c r="AB344" s="1796"/>
      <c r="AC344" s="1796"/>
      <c r="AD344" s="1796"/>
      <c r="AE344" s="1796"/>
      <c r="AF344" s="1796"/>
      <c r="AG344" s="1796"/>
      <c r="AH344" s="1797"/>
      <c r="AI344" s="606"/>
      <c r="AJ344" s="607"/>
      <c r="AK344" s="607"/>
      <c r="AL344" s="607"/>
      <c r="AM344" s="607"/>
      <c r="AN344" s="607"/>
      <c r="AO344" s="607"/>
      <c r="AP344" s="607"/>
      <c r="AQ344" s="608"/>
      <c r="BC344" s="776"/>
      <c r="BD344" s="601"/>
      <c r="BE344" s="601"/>
      <c r="BF344" s="601"/>
      <c r="BG344" s="601"/>
      <c r="BH344" s="601"/>
      <c r="BI344" s="601"/>
      <c r="BJ344" s="601"/>
      <c r="BK344" s="775"/>
    </row>
    <row r="345" spans="1:63" s="584" customFormat="1" ht="22.5" customHeight="1">
      <c r="A345" s="597"/>
      <c r="D345" s="1922" t="s">
        <v>32</v>
      </c>
      <c r="E345" s="1922"/>
      <c r="F345" s="1922"/>
      <c r="G345" s="1922"/>
      <c r="H345" s="1923">
        <v>0</v>
      </c>
      <c r="I345" s="1923"/>
      <c r="J345" s="1923"/>
      <c r="K345" s="1830">
        <v>0</v>
      </c>
      <c r="L345" s="1830"/>
      <c r="M345" s="1830"/>
      <c r="N345" s="1830">
        <v>0</v>
      </c>
      <c r="O345" s="1830"/>
      <c r="P345" s="1830"/>
      <c r="Q345" s="1830">
        <v>0</v>
      </c>
      <c r="R345" s="1830"/>
      <c r="S345" s="1830"/>
      <c r="T345" s="1830">
        <v>0</v>
      </c>
      <c r="U345" s="1830"/>
      <c r="V345" s="1830"/>
      <c r="W345" s="1830">
        <v>0</v>
      </c>
      <c r="X345" s="1830"/>
      <c r="Y345" s="1830"/>
      <c r="Z345" s="1830">
        <v>0</v>
      </c>
      <c r="AA345" s="1830"/>
      <c r="AB345" s="1830"/>
      <c r="AC345" s="1830">
        <v>0</v>
      </c>
      <c r="AD345" s="1830"/>
      <c r="AE345" s="1830"/>
      <c r="AF345" s="1899">
        <f>SUM(H345:AE345)</f>
        <v>0</v>
      </c>
      <c r="AG345" s="1899"/>
      <c r="AH345" s="1899"/>
      <c r="AI345" s="606"/>
      <c r="AJ345" s="607"/>
      <c r="AK345" s="607"/>
      <c r="AL345" s="607"/>
      <c r="AM345" s="607"/>
      <c r="AN345" s="607"/>
      <c r="AO345" s="607"/>
      <c r="AP345" s="607"/>
      <c r="AQ345" s="608">
        <f>SUM(H345:AE345)-AF345</f>
        <v>0</v>
      </c>
      <c r="BC345" s="776"/>
      <c r="BD345" s="601"/>
      <c r="BE345" s="601"/>
      <c r="BF345" s="601"/>
      <c r="BG345" s="601"/>
      <c r="BH345" s="601"/>
      <c r="BI345" s="601"/>
      <c r="BJ345" s="601"/>
      <c r="BK345" s="775"/>
    </row>
    <row r="346" spans="1:63" s="584" customFormat="1" ht="14">
      <c r="A346" s="597"/>
      <c r="D346" s="1789" t="s">
        <v>27</v>
      </c>
      <c r="E346" s="1789"/>
      <c r="F346" s="1789"/>
      <c r="G346" s="1789"/>
      <c r="H346" s="1790">
        <v>0</v>
      </c>
      <c r="I346" s="1790"/>
      <c r="J346" s="1790"/>
      <c r="K346" s="1791">
        <v>0</v>
      </c>
      <c r="L346" s="1791"/>
      <c r="M346" s="1791"/>
      <c r="N346" s="1791">
        <v>0</v>
      </c>
      <c r="O346" s="1791"/>
      <c r="P346" s="1791"/>
      <c r="Q346" s="1791">
        <v>0</v>
      </c>
      <c r="R346" s="1791"/>
      <c r="S346" s="1791"/>
      <c r="T346" s="1791">
        <v>0</v>
      </c>
      <c r="U346" s="1791"/>
      <c r="V346" s="1791"/>
      <c r="W346" s="1791">
        <v>0</v>
      </c>
      <c r="X346" s="1791"/>
      <c r="Y346" s="1791"/>
      <c r="Z346" s="1791">
        <v>0</v>
      </c>
      <c r="AA346" s="1791"/>
      <c r="AB346" s="1791"/>
      <c r="AC346" s="1791">
        <v>0</v>
      </c>
      <c r="AD346" s="1791"/>
      <c r="AE346" s="1791"/>
      <c r="AF346" s="1794">
        <f>SUM(H346:AE346)</f>
        <v>0</v>
      </c>
      <c r="AG346" s="1794"/>
      <c r="AH346" s="1794"/>
      <c r="AI346" s="606"/>
      <c r="AJ346" s="607"/>
      <c r="AK346" s="607"/>
      <c r="AL346" s="607"/>
      <c r="AM346" s="607"/>
      <c r="AN346" s="607"/>
      <c r="AO346" s="607"/>
      <c r="AP346" s="607"/>
      <c r="AQ346" s="608">
        <f>SUM(H346:AE346)-AF346</f>
        <v>0</v>
      </c>
      <c r="BC346" s="776"/>
      <c r="BD346" s="601"/>
      <c r="BE346" s="601"/>
      <c r="BF346" s="601"/>
      <c r="BG346" s="601"/>
      <c r="BH346" s="601"/>
      <c r="BI346" s="601"/>
      <c r="BJ346" s="601"/>
      <c r="BK346" s="775"/>
    </row>
    <row r="347" spans="1:63" s="584" customFormat="1" ht="14">
      <c r="A347" s="597"/>
      <c r="D347" s="1789" t="s">
        <v>28</v>
      </c>
      <c r="E347" s="1789"/>
      <c r="F347" s="1789"/>
      <c r="G347" s="1789"/>
      <c r="H347" s="1790">
        <v>0</v>
      </c>
      <c r="I347" s="1790"/>
      <c r="J347" s="1790"/>
      <c r="K347" s="1791">
        <v>0</v>
      </c>
      <c r="L347" s="1791"/>
      <c r="M347" s="1791"/>
      <c r="N347" s="1791">
        <v>0</v>
      </c>
      <c r="O347" s="1791"/>
      <c r="P347" s="1791"/>
      <c r="Q347" s="1791">
        <v>0</v>
      </c>
      <c r="R347" s="1791"/>
      <c r="S347" s="1791"/>
      <c r="T347" s="1791">
        <v>0</v>
      </c>
      <c r="U347" s="1791"/>
      <c r="V347" s="1791"/>
      <c r="W347" s="1791">
        <v>0</v>
      </c>
      <c r="X347" s="1791"/>
      <c r="Y347" s="1791"/>
      <c r="Z347" s="1791">
        <v>0</v>
      </c>
      <c r="AA347" s="1791"/>
      <c r="AB347" s="1791"/>
      <c r="AC347" s="1791">
        <v>0</v>
      </c>
      <c r="AD347" s="1791"/>
      <c r="AE347" s="1791"/>
      <c r="AF347" s="1794">
        <f>SUM(H347:AE347)</f>
        <v>0</v>
      </c>
      <c r="AG347" s="1794"/>
      <c r="AH347" s="1794"/>
      <c r="AI347" s="606"/>
      <c r="AJ347" s="607"/>
      <c r="AK347" s="607"/>
      <c r="AL347" s="607"/>
      <c r="AM347" s="607"/>
      <c r="AN347" s="607"/>
      <c r="AO347" s="607"/>
      <c r="AP347" s="607"/>
      <c r="AQ347" s="608">
        <f t="shared" ref="AQ347" si="102">SUM(H347:AE347)-AF347</f>
        <v>0</v>
      </c>
      <c r="BC347" s="776"/>
      <c r="BD347" s="601"/>
      <c r="BE347" s="601"/>
      <c r="BF347" s="601"/>
      <c r="BG347" s="601"/>
      <c r="BH347" s="601"/>
      <c r="BI347" s="601"/>
      <c r="BJ347" s="601"/>
      <c r="BK347" s="775"/>
    </row>
    <row r="348" spans="1:63" s="584" customFormat="1" ht="14">
      <c r="A348" s="597"/>
      <c r="D348" s="1789" t="s">
        <v>29</v>
      </c>
      <c r="E348" s="1789"/>
      <c r="F348" s="1789"/>
      <c r="G348" s="1789"/>
      <c r="H348" s="1790">
        <v>0</v>
      </c>
      <c r="I348" s="1790"/>
      <c r="J348" s="1790"/>
      <c r="K348" s="1791">
        <v>0</v>
      </c>
      <c r="L348" s="1791"/>
      <c r="M348" s="1791"/>
      <c r="N348" s="1791">
        <v>0</v>
      </c>
      <c r="O348" s="1791"/>
      <c r="P348" s="1791"/>
      <c r="Q348" s="1791">
        <v>0</v>
      </c>
      <c r="R348" s="1791"/>
      <c r="S348" s="1791"/>
      <c r="T348" s="1791">
        <v>0</v>
      </c>
      <c r="U348" s="1791"/>
      <c r="V348" s="1791"/>
      <c r="W348" s="1791">
        <v>0</v>
      </c>
      <c r="X348" s="1791"/>
      <c r="Y348" s="1791"/>
      <c r="Z348" s="1791">
        <v>0</v>
      </c>
      <c r="AA348" s="1791"/>
      <c r="AB348" s="1791"/>
      <c r="AC348" s="1791">
        <v>0</v>
      </c>
      <c r="AD348" s="1791"/>
      <c r="AE348" s="1791"/>
      <c r="AF348" s="1794">
        <f>SUM(H348:AE348)</f>
        <v>0</v>
      </c>
      <c r="AG348" s="1794"/>
      <c r="AH348" s="1794"/>
      <c r="AI348" s="606"/>
      <c r="AJ348" s="607"/>
      <c r="AK348" s="607"/>
      <c r="AL348" s="607"/>
      <c r="AM348" s="607"/>
      <c r="AN348" s="607"/>
      <c r="AO348" s="607"/>
      <c r="AP348" s="607"/>
      <c r="AQ348" s="608">
        <f>SUM(H348:AE348)-AF348</f>
        <v>0</v>
      </c>
      <c r="BC348" s="776"/>
      <c r="BD348" s="601"/>
      <c r="BE348" s="601"/>
      <c r="BF348" s="601"/>
      <c r="BG348" s="601"/>
      <c r="BH348" s="601"/>
      <c r="BI348" s="601"/>
      <c r="BJ348" s="601"/>
      <c r="BK348" s="775"/>
    </row>
    <row r="349" spans="1:63" s="584" customFormat="1" ht="22.5" customHeight="1" thickBot="1">
      <c r="A349" s="597"/>
      <c r="D349" s="1894" t="s">
        <v>30</v>
      </c>
      <c r="E349" s="1894"/>
      <c r="F349" s="1894"/>
      <c r="G349" s="1894"/>
      <c r="H349" s="1801">
        <f>H345+H346-H347+H348</f>
        <v>0</v>
      </c>
      <c r="I349" s="1801"/>
      <c r="J349" s="1801"/>
      <c r="K349" s="1801">
        <f t="shared" ref="K349" si="103">K345+K346-K347+K348</f>
        <v>0</v>
      </c>
      <c r="L349" s="1801"/>
      <c r="M349" s="1801"/>
      <c r="N349" s="1801">
        <f t="shared" ref="N349" si="104">N345+N346-N347+N348</f>
        <v>0</v>
      </c>
      <c r="O349" s="1801"/>
      <c r="P349" s="1801"/>
      <c r="Q349" s="1801">
        <f t="shared" ref="Q349" si="105">Q345+Q346-Q347+Q348</f>
        <v>0</v>
      </c>
      <c r="R349" s="1801"/>
      <c r="S349" s="1801"/>
      <c r="T349" s="1801">
        <f t="shared" ref="T349" si="106">T345+T346-T347+T348</f>
        <v>0</v>
      </c>
      <c r="U349" s="1801"/>
      <c r="V349" s="1801"/>
      <c r="W349" s="1801">
        <f t="shared" ref="W349" si="107">W345+W346-W347+W348</f>
        <v>0</v>
      </c>
      <c r="X349" s="1801"/>
      <c r="Y349" s="1801"/>
      <c r="Z349" s="1801">
        <f t="shared" ref="Z349" si="108">Z345+Z346-Z347+Z348</f>
        <v>0</v>
      </c>
      <c r="AA349" s="1801"/>
      <c r="AB349" s="1801"/>
      <c r="AC349" s="1801">
        <f t="shared" ref="AC349" si="109">AC345+AC346-AC347+AC348</f>
        <v>0</v>
      </c>
      <c r="AD349" s="1801"/>
      <c r="AE349" s="1801"/>
      <c r="AF349" s="1801">
        <f t="shared" ref="AF349" si="110">AF345+AF346-AF347+AF348</f>
        <v>0</v>
      </c>
      <c r="AG349" s="1801"/>
      <c r="AH349" s="1801"/>
      <c r="AI349" s="621">
        <f>H345+H346-H347+H348-H349</f>
        <v>0</v>
      </c>
      <c r="AJ349" s="661">
        <f>K345+K346-K347+K348-K349</f>
        <v>0</v>
      </c>
      <c r="AK349" s="661">
        <f>N345+N346-N347+N348-N349</f>
        <v>0</v>
      </c>
      <c r="AL349" s="661">
        <f>Q345+Q346-Q347+Q348-Q349</f>
        <v>0</v>
      </c>
      <c r="AM349" s="661">
        <f>T345+T346-T347+T348-T348</f>
        <v>0</v>
      </c>
      <c r="AN349" s="661">
        <f>W345+W346-W347+W348-W349</f>
        <v>0</v>
      </c>
      <c r="AO349" s="661">
        <f>Z345+Z346-Z347+Z348-Z349</f>
        <v>0</v>
      </c>
      <c r="AP349" s="661">
        <f>AC345+AC346-AC347+AC348-AC349</f>
        <v>0</v>
      </c>
      <c r="AQ349" s="608">
        <f>AF345+AF346-AF347+AF348-AF349</f>
        <v>0</v>
      </c>
      <c r="BC349" s="776"/>
      <c r="BD349" s="601"/>
      <c r="BE349" s="601"/>
      <c r="BF349" s="601"/>
      <c r="BG349" s="601"/>
      <c r="BH349" s="601"/>
      <c r="BI349" s="601"/>
      <c r="BJ349" s="601"/>
      <c r="BK349" s="775"/>
    </row>
    <row r="350" spans="1:63" s="584" customFormat="1" ht="14.5" thickBot="1">
      <c r="A350" s="597"/>
      <c r="D350" s="1795" t="s">
        <v>34</v>
      </c>
      <c r="E350" s="1796"/>
      <c r="F350" s="1796"/>
      <c r="G350" s="1796"/>
      <c r="H350" s="1796"/>
      <c r="I350" s="1796"/>
      <c r="J350" s="1796"/>
      <c r="K350" s="1796"/>
      <c r="L350" s="1796"/>
      <c r="M350" s="1796"/>
      <c r="N350" s="1796"/>
      <c r="O350" s="1796"/>
      <c r="P350" s="1796"/>
      <c r="Q350" s="1796"/>
      <c r="R350" s="1796"/>
      <c r="S350" s="1796"/>
      <c r="T350" s="1796"/>
      <c r="U350" s="1796"/>
      <c r="V350" s="1796"/>
      <c r="W350" s="1796"/>
      <c r="X350" s="1796"/>
      <c r="Y350" s="1796"/>
      <c r="Z350" s="1796"/>
      <c r="AA350" s="1796"/>
      <c r="AB350" s="1796"/>
      <c r="AC350" s="1796"/>
      <c r="AD350" s="1796"/>
      <c r="AE350" s="1796"/>
      <c r="AF350" s="1796"/>
      <c r="AG350" s="1796"/>
      <c r="AH350" s="1797"/>
      <c r="AI350" s="606"/>
      <c r="AJ350" s="607"/>
      <c r="AK350" s="607"/>
      <c r="AL350" s="607"/>
      <c r="AM350" s="607"/>
      <c r="AN350" s="607"/>
      <c r="AO350" s="607"/>
      <c r="AP350" s="607"/>
      <c r="AQ350" s="608"/>
      <c r="BC350" s="776"/>
      <c r="BD350" s="601"/>
      <c r="BE350" s="601"/>
      <c r="BF350" s="601"/>
      <c r="BG350" s="601"/>
      <c r="BH350" s="601"/>
      <c r="BI350" s="601"/>
      <c r="BJ350" s="601"/>
      <c r="BK350" s="775"/>
    </row>
    <row r="351" spans="1:63" s="584" customFormat="1" ht="22.5" customHeight="1">
      <c r="A351" s="597"/>
      <c r="D351" s="1802" t="s">
        <v>32</v>
      </c>
      <c r="E351" s="1802"/>
      <c r="F351" s="1802"/>
      <c r="G351" s="1802"/>
      <c r="H351" s="1803">
        <f>H333-H339-H345</f>
        <v>0</v>
      </c>
      <c r="I351" s="1803"/>
      <c r="J351" s="1803"/>
      <c r="K351" s="1803">
        <f t="shared" ref="K351" si="111">K333-K339-K345</f>
        <v>0</v>
      </c>
      <c r="L351" s="1803"/>
      <c r="M351" s="1803"/>
      <c r="N351" s="1803">
        <f>N333-N339-N345</f>
        <v>182159</v>
      </c>
      <c r="O351" s="1803"/>
      <c r="P351" s="1803"/>
      <c r="Q351" s="1803">
        <f t="shared" ref="Q351" si="112">Q333-Q339-Q345</f>
        <v>0</v>
      </c>
      <c r="R351" s="1803"/>
      <c r="S351" s="1803"/>
      <c r="T351" s="1803">
        <f t="shared" ref="T351" si="113">T333-T339-T345</f>
        <v>0</v>
      </c>
      <c r="U351" s="1803"/>
      <c r="V351" s="1803"/>
      <c r="W351" s="1803">
        <f t="shared" ref="W351" si="114">W333-W339-W345</f>
        <v>0</v>
      </c>
      <c r="X351" s="1803"/>
      <c r="Y351" s="1803"/>
      <c r="Z351" s="1803">
        <f t="shared" ref="Z351" si="115">Z333-Z339-Z345</f>
        <v>0</v>
      </c>
      <c r="AA351" s="1803"/>
      <c r="AB351" s="1803"/>
      <c r="AC351" s="1803">
        <f t="shared" ref="AC351" si="116">AC333-AC339-AC345</f>
        <v>0</v>
      </c>
      <c r="AD351" s="1803"/>
      <c r="AE351" s="1803"/>
      <c r="AF351" s="1803">
        <f t="shared" ref="AF351" si="117">AF333-AF339-AF345</f>
        <v>182159</v>
      </c>
      <c r="AG351" s="1803"/>
      <c r="AH351" s="1803"/>
      <c r="AI351" s="621">
        <f>H333-H339-H345-H351</f>
        <v>0</v>
      </c>
      <c r="AJ351" s="661">
        <f>K333-K339-K345-K351</f>
        <v>0</v>
      </c>
      <c r="AK351" s="661">
        <f>N333-N339-N345-N351</f>
        <v>0</v>
      </c>
      <c r="AL351" s="661">
        <f>Q333-Q339-Q345-Q351</f>
        <v>0</v>
      </c>
      <c r="AM351" s="661">
        <f>T333-T339-T345-T351</f>
        <v>0</v>
      </c>
      <c r="AN351" s="661">
        <f>W333-W339-W345-W351</f>
        <v>0</v>
      </c>
      <c r="AO351" s="661">
        <f>Z333-Z339-Z345-Z351</f>
        <v>0</v>
      </c>
      <c r="AP351" s="661">
        <f>AC333-AC339-AC345-AC351</f>
        <v>0</v>
      </c>
      <c r="AQ351" s="608">
        <f>SUM(H351:AE351)-AF351</f>
        <v>0</v>
      </c>
      <c r="BC351" s="776"/>
      <c r="BD351" s="601"/>
      <c r="BE351" s="601"/>
      <c r="BF351" s="601"/>
      <c r="BG351" s="601"/>
      <c r="BH351" s="601"/>
      <c r="BI351" s="601"/>
      <c r="BJ351" s="601"/>
      <c r="BK351" s="775"/>
    </row>
    <row r="352" spans="1:63" s="584" customFormat="1" ht="22.5" customHeight="1" thickBot="1">
      <c r="A352" s="597"/>
      <c r="D352" s="1894" t="s">
        <v>30</v>
      </c>
      <c r="E352" s="1894"/>
      <c r="F352" s="1894"/>
      <c r="G352" s="1894"/>
      <c r="H352" s="1801">
        <f>H337-H343-H349</f>
        <v>0</v>
      </c>
      <c r="I352" s="1801"/>
      <c r="J352" s="1801"/>
      <c r="K352" s="1801">
        <f t="shared" ref="K352" si="118">K337-K343-K349</f>
        <v>358240</v>
      </c>
      <c r="L352" s="1801"/>
      <c r="M352" s="1801"/>
      <c r="N352" s="1801">
        <f t="shared" ref="N352" si="119">N337-N343-N349</f>
        <v>147616</v>
      </c>
      <c r="O352" s="1801"/>
      <c r="P352" s="1801"/>
      <c r="Q352" s="1801">
        <f t="shared" ref="Q352" si="120">Q337-Q343-Q349</f>
        <v>0</v>
      </c>
      <c r="R352" s="1801"/>
      <c r="S352" s="1801"/>
      <c r="T352" s="1801">
        <f t="shared" ref="T352" si="121">T337-T343-T349</f>
        <v>0</v>
      </c>
      <c r="U352" s="1801"/>
      <c r="V352" s="1801"/>
      <c r="W352" s="1801">
        <f t="shared" ref="W352" si="122">W337-W343-W349</f>
        <v>0</v>
      </c>
      <c r="X352" s="1801"/>
      <c r="Y352" s="1801"/>
      <c r="Z352" s="1801">
        <f t="shared" ref="Z352" si="123">Z337-Z343-Z349</f>
        <v>0</v>
      </c>
      <c r="AA352" s="1801"/>
      <c r="AB352" s="1801"/>
      <c r="AC352" s="1801">
        <f t="shared" ref="AC352" si="124">AC337-AC343-AC349</f>
        <v>0</v>
      </c>
      <c r="AD352" s="1801"/>
      <c r="AE352" s="1801"/>
      <c r="AF352" s="1801">
        <f t="shared" ref="AF352" si="125">AF337-AF343-AF349</f>
        <v>505856</v>
      </c>
      <c r="AG352" s="1801"/>
      <c r="AH352" s="1801"/>
      <c r="AI352" s="609">
        <f>H337-H343-H349-H352</f>
        <v>0</v>
      </c>
      <c r="AJ352" s="610">
        <f>K337-K343-K349-K352</f>
        <v>0</v>
      </c>
      <c r="AK352" s="610">
        <f>N337-N343-N349-N352</f>
        <v>0</v>
      </c>
      <c r="AL352" s="610">
        <f>Q337-Q343-Q349-Q352</f>
        <v>0</v>
      </c>
      <c r="AM352" s="610">
        <f>T337-T343-T349-T352</f>
        <v>0</v>
      </c>
      <c r="AN352" s="610">
        <f>W337-W343-W349-W352</f>
        <v>0</v>
      </c>
      <c r="AO352" s="610">
        <f>Z337-Z343-Z349-Z352</f>
        <v>0</v>
      </c>
      <c r="AP352" s="610">
        <f>AC337-AC343-AC349-AC352</f>
        <v>0</v>
      </c>
      <c r="AQ352" s="611">
        <f>SUM(H352:AE352)-AF352</f>
        <v>0</v>
      </c>
      <c r="BC352" s="609">
        <f>H352-BS!$G$21</f>
        <v>0</v>
      </c>
      <c r="BD352" s="610">
        <f>K352-BS!$G$22</f>
        <v>0</v>
      </c>
      <c r="BE352" s="610">
        <f>N352-BS!$G$23</f>
        <v>0</v>
      </c>
      <c r="BF352" s="610">
        <f>Q352-BS!$G$24</f>
        <v>0</v>
      </c>
      <c r="BG352" s="610">
        <f>T352-BS!$G$25</f>
        <v>0</v>
      </c>
      <c r="BH352" s="610">
        <f>W352-BS!$G$26</f>
        <v>0</v>
      </c>
      <c r="BI352" s="610">
        <f>Z352-BS!$G$27</f>
        <v>0</v>
      </c>
      <c r="BJ352" s="610">
        <f>AC352-BS!$G$28</f>
        <v>0</v>
      </c>
      <c r="BK352" s="611">
        <f>AF352-BS!$G$20</f>
        <v>0</v>
      </c>
    </row>
    <row r="353" spans="1:43" s="584" customFormat="1" ht="14">
      <c r="A353" s="597"/>
      <c r="D353" s="780"/>
      <c r="E353" s="766"/>
      <c r="F353" s="766"/>
      <c r="G353" s="766"/>
      <c r="H353" s="766"/>
      <c r="I353" s="766"/>
      <c r="J353" s="766"/>
      <c r="K353" s="766"/>
      <c r="L353" s="766"/>
      <c r="M353" s="766"/>
      <c r="N353" s="766"/>
      <c r="O353" s="766"/>
      <c r="P353" s="766"/>
      <c r="Q353" s="766"/>
      <c r="R353" s="766"/>
      <c r="S353" s="766"/>
      <c r="T353" s="766"/>
      <c r="U353" s="766"/>
      <c r="V353" s="766"/>
      <c r="W353" s="766"/>
      <c r="X353" s="766"/>
      <c r="Y353" s="766"/>
      <c r="Z353" s="766"/>
      <c r="AA353" s="766"/>
      <c r="AB353" s="766"/>
      <c r="AC353" s="766"/>
      <c r="AD353" s="766"/>
      <c r="AE353" s="766"/>
      <c r="AF353" s="766"/>
      <c r="AG353" s="766"/>
      <c r="AI353" s="18"/>
      <c r="AJ353" s="18"/>
      <c r="AK353" s="18"/>
      <c r="AL353" s="18"/>
      <c r="AM353" s="18"/>
      <c r="AN353" s="18"/>
      <c r="AO353" s="18"/>
      <c r="AP353" s="18"/>
      <c r="AQ353" s="18"/>
    </row>
    <row r="354" spans="1:43" s="584" customFormat="1" ht="14.5" thickBot="1">
      <c r="A354" s="597"/>
      <c r="AI354" s="18"/>
      <c r="AJ354" s="18"/>
      <c r="AK354" s="18"/>
      <c r="AL354" s="18"/>
      <c r="AM354" s="18"/>
      <c r="AN354" s="18"/>
      <c r="AO354" s="18"/>
      <c r="AP354" s="18"/>
      <c r="AQ354" s="18"/>
    </row>
    <row r="355" spans="1:43" s="584" customFormat="1" ht="29.25" customHeight="1" thickBot="1">
      <c r="A355" s="597"/>
      <c r="D355" s="1921" t="s">
        <v>40</v>
      </c>
      <c r="E355" s="1921"/>
      <c r="F355" s="1921"/>
      <c r="G355" s="1921"/>
      <c r="H355" s="1921"/>
      <c r="I355" s="1921"/>
      <c r="J355" s="1921"/>
      <c r="K355" s="1921"/>
      <c r="L355" s="1921"/>
      <c r="M355" s="1921"/>
      <c r="N355" s="1921"/>
      <c r="O355" s="1921"/>
      <c r="P355" s="1921"/>
      <c r="Q355" s="1921"/>
      <c r="R355" s="1921"/>
      <c r="S355" s="1921" t="s">
        <v>36</v>
      </c>
      <c r="T355" s="1921"/>
      <c r="U355" s="1921"/>
      <c r="V355" s="1921"/>
      <c r="W355" s="1921"/>
      <c r="X355" s="1921"/>
      <c r="Y355" s="1921"/>
      <c r="Z355" s="1921"/>
      <c r="AA355" s="1921"/>
      <c r="AB355" s="1921"/>
      <c r="AC355" s="1921"/>
      <c r="AD355" s="1921"/>
      <c r="AE355" s="1921"/>
      <c r="AF355" s="1921"/>
      <c r="AG355" s="1921"/>
      <c r="AI355" s="18"/>
      <c r="AJ355" s="18"/>
      <c r="AK355" s="18"/>
      <c r="AL355" s="18"/>
      <c r="AM355" s="18"/>
      <c r="AN355" s="18"/>
      <c r="AO355" s="18"/>
      <c r="AP355" s="18"/>
      <c r="AQ355" s="18"/>
    </row>
    <row r="356" spans="1:43" s="584" customFormat="1" ht="29.25" customHeight="1">
      <c r="A356" s="597"/>
      <c r="D356" s="2129" t="s">
        <v>48</v>
      </c>
      <c r="E356" s="2129"/>
      <c r="F356" s="2129"/>
      <c r="G356" s="2129"/>
      <c r="H356" s="2129"/>
      <c r="I356" s="2129"/>
      <c r="J356" s="2129"/>
      <c r="K356" s="2129"/>
      <c r="L356" s="2129"/>
      <c r="M356" s="2129"/>
      <c r="N356" s="2129"/>
      <c r="O356" s="2129"/>
      <c r="P356" s="2129"/>
      <c r="Q356" s="2129"/>
      <c r="R356" s="2129"/>
      <c r="S356" s="2251" t="s">
        <v>1339</v>
      </c>
      <c r="T356" s="2252"/>
      <c r="U356" s="2252"/>
      <c r="V356" s="2252"/>
      <c r="W356" s="2252"/>
      <c r="X356" s="2252"/>
      <c r="Y356" s="2252"/>
      <c r="Z356" s="2252"/>
      <c r="AA356" s="2252"/>
      <c r="AB356" s="2252"/>
      <c r="AC356" s="2252"/>
      <c r="AD356" s="2252"/>
      <c r="AE356" s="2252"/>
      <c r="AF356" s="2252"/>
      <c r="AG356" s="2253"/>
      <c r="AI356" s="18"/>
      <c r="AJ356" s="18"/>
      <c r="AK356" s="18"/>
      <c r="AL356" s="18"/>
      <c r="AM356" s="18"/>
      <c r="AN356" s="18"/>
      <c r="AO356" s="18"/>
      <c r="AP356" s="18"/>
      <c r="AQ356" s="18"/>
    </row>
    <row r="357" spans="1:43" s="584" customFormat="1" ht="29.25" customHeight="1" thickBot="1">
      <c r="A357" s="597"/>
      <c r="D357" s="1996" t="s">
        <v>49</v>
      </c>
      <c r="E357" s="1996"/>
      <c r="F357" s="1996"/>
      <c r="G357" s="1996"/>
      <c r="H357" s="1996"/>
      <c r="I357" s="1996"/>
      <c r="J357" s="1996"/>
      <c r="K357" s="1996"/>
      <c r="L357" s="1996"/>
      <c r="M357" s="1996"/>
      <c r="N357" s="1996"/>
      <c r="O357" s="1996"/>
      <c r="P357" s="1996"/>
      <c r="Q357" s="1996"/>
      <c r="R357" s="1996"/>
      <c r="S357" s="2254" t="s">
        <v>1339</v>
      </c>
      <c r="T357" s="2255"/>
      <c r="U357" s="2255"/>
      <c r="V357" s="2255"/>
      <c r="W357" s="2255"/>
      <c r="X357" s="2255"/>
      <c r="Y357" s="2255"/>
      <c r="Z357" s="2255"/>
      <c r="AA357" s="2255"/>
      <c r="AB357" s="2255"/>
      <c r="AC357" s="2255"/>
      <c r="AD357" s="2255"/>
      <c r="AE357" s="2255"/>
      <c r="AF357" s="2255"/>
      <c r="AG357" s="2256"/>
      <c r="AI357" s="18"/>
      <c r="AJ357" s="18"/>
      <c r="AK357" s="18"/>
      <c r="AL357" s="18"/>
      <c r="AM357" s="18"/>
      <c r="AN357" s="18"/>
      <c r="AO357" s="18"/>
      <c r="AP357" s="18"/>
      <c r="AQ357" s="18"/>
    </row>
    <row r="358" spans="1:43" s="584" customFormat="1" ht="15" customHeight="1">
      <c r="A358" s="597"/>
      <c r="D358" s="1436"/>
      <c r="E358" s="1436"/>
      <c r="F358" s="1436"/>
      <c r="G358" s="1436"/>
      <c r="H358" s="1436"/>
      <c r="I358" s="1436"/>
      <c r="J358" s="1436"/>
      <c r="K358" s="1436"/>
      <c r="L358" s="1436"/>
      <c r="M358" s="1436"/>
      <c r="N358" s="1436"/>
      <c r="O358" s="1436"/>
      <c r="P358" s="1436"/>
      <c r="Q358" s="1436"/>
      <c r="R358" s="1436"/>
      <c r="S358" s="1437"/>
      <c r="T358" s="1438"/>
      <c r="U358" s="1438"/>
      <c r="V358" s="1438"/>
      <c r="W358" s="1438"/>
      <c r="X358" s="1438"/>
      <c r="Y358" s="1438"/>
      <c r="Z358" s="1438"/>
      <c r="AA358" s="1438"/>
      <c r="AB358" s="1438"/>
      <c r="AC358" s="1438"/>
      <c r="AD358" s="1438"/>
      <c r="AE358" s="1438"/>
      <c r="AF358" s="1438"/>
      <c r="AG358" s="1438"/>
      <c r="AI358" s="18"/>
      <c r="AJ358" s="18"/>
      <c r="AK358" s="18"/>
      <c r="AL358" s="18"/>
      <c r="AM358" s="18"/>
      <c r="AN358" s="18"/>
      <c r="AO358" s="18"/>
      <c r="AP358" s="18"/>
      <c r="AQ358" s="18"/>
    </row>
    <row r="359" spans="1:43" s="584" customFormat="1" ht="14">
      <c r="A359" s="597"/>
      <c r="D359" s="1439" t="s">
        <v>2736</v>
      </c>
      <c r="AI359" s="18"/>
      <c r="AJ359" s="18"/>
      <c r="AK359" s="18"/>
      <c r="AL359" s="18"/>
      <c r="AM359" s="18"/>
      <c r="AN359" s="18"/>
      <c r="AO359" s="18"/>
      <c r="AP359" s="18"/>
      <c r="AQ359" s="18"/>
    </row>
    <row r="360" spans="1:43" s="584" customFormat="1" ht="14">
      <c r="A360" s="597"/>
      <c r="D360" s="1439"/>
      <c r="AI360" s="18"/>
      <c r="AJ360" s="18"/>
      <c r="AK360" s="18"/>
      <c r="AL360" s="18"/>
      <c r="AM360" s="18"/>
      <c r="AN360" s="18"/>
      <c r="AO360" s="18"/>
      <c r="AP360" s="18"/>
      <c r="AQ360" s="18"/>
    </row>
    <row r="361" spans="1:43" s="584" customFormat="1" ht="14">
      <c r="A361" s="597"/>
      <c r="D361" s="582" t="s">
        <v>1363</v>
      </c>
      <c r="AI361" s="18"/>
      <c r="AJ361" s="18"/>
      <c r="AK361" s="18"/>
      <c r="AL361" s="18"/>
      <c r="AM361" s="18"/>
      <c r="AN361" s="18"/>
      <c r="AO361" s="18"/>
      <c r="AP361" s="18"/>
      <c r="AQ361" s="18"/>
    </row>
    <row r="362" spans="1:43" s="584" customFormat="1" ht="14">
      <c r="A362" s="597"/>
      <c r="AI362" s="18"/>
      <c r="AJ362" s="18"/>
      <c r="AK362" s="18"/>
      <c r="AL362" s="18"/>
      <c r="AM362" s="18"/>
      <c r="AN362" s="18"/>
      <c r="AO362" s="18"/>
      <c r="AP362" s="18"/>
      <c r="AQ362" s="18"/>
    </row>
    <row r="363" spans="1:43" s="584" customFormat="1" ht="14">
      <c r="A363" s="597"/>
      <c r="D363" s="2142" t="s">
        <v>2997</v>
      </c>
      <c r="E363" s="2145"/>
      <c r="F363" s="2145"/>
      <c r="G363" s="2145"/>
      <c r="H363" s="2145"/>
      <c r="I363" s="2145"/>
      <c r="J363" s="2145"/>
      <c r="K363" s="2145"/>
      <c r="L363" s="2145"/>
      <c r="M363" s="2145"/>
      <c r="N363" s="2145"/>
      <c r="O363" s="2145"/>
      <c r="P363" s="2145"/>
      <c r="Q363" s="2145"/>
      <c r="R363" s="2145"/>
      <c r="S363" s="2145"/>
      <c r="T363" s="2145"/>
      <c r="U363" s="2145"/>
      <c r="V363" s="2145"/>
      <c r="W363" s="2145"/>
      <c r="X363" s="2145"/>
      <c r="Y363" s="2145"/>
      <c r="Z363" s="2145"/>
      <c r="AA363" s="2145"/>
      <c r="AB363" s="2145"/>
      <c r="AC363" s="2145"/>
      <c r="AD363" s="2145"/>
      <c r="AE363" s="2145"/>
      <c r="AF363" s="2145"/>
      <c r="AG363" s="2145"/>
      <c r="AI363" s="18"/>
      <c r="AJ363" s="18"/>
      <c r="AK363" s="18"/>
      <c r="AL363" s="18"/>
      <c r="AM363" s="18"/>
      <c r="AN363" s="18"/>
      <c r="AO363" s="18"/>
      <c r="AP363" s="18"/>
      <c r="AQ363" s="18"/>
    </row>
    <row r="364" spans="1:43" s="584" customFormat="1" ht="10.5" customHeight="1">
      <c r="A364" s="597"/>
      <c r="D364" s="2145"/>
      <c r="E364" s="2145"/>
      <c r="F364" s="2145"/>
      <c r="G364" s="2145"/>
      <c r="H364" s="2145"/>
      <c r="I364" s="2145"/>
      <c r="J364" s="2145"/>
      <c r="K364" s="2145"/>
      <c r="L364" s="2145"/>
      <c r="M364" s="2145"/>
      <c r="N364" s="2145"/>
      <c r="O364" s="2145"/>
      <c r="P364" s="2145"/>
      <c r="Q364" s="2145"/>
      <c r="R364" s="2145"/>
      <c r="S364" s="2145"/>
      <c r="T364" s="2145"/>
      <c r="U364" s="2145"/>
      <c r="V364" s="2145"/>
      <c r="W364" s="2145"/>
      <c r="X364" s="2145"/>
      <c r="Y364" s="2145"/>
      <c r="Z364" s="2145"/>
      <c r="AA364" s="2145"/>
      <c r="AB364" s="2145"/>
      <c r="AC364" s="2145"/>
      <c r="AD364" s="2145"/>
      <c r="AE364" s="2145"/>
      <c r="AF364" s="2145"/>
      <c r="AG364" s="2145"/>
      <c r="AI364" s="18"/>
      <c r="AJ364" s="18"/>
      <c r="AK364" s="18"/>
      <c r="AL364" s="18"/>
      <c r="AM364" s="18"/>
      <c r="AN364" s="18"/>
      <c r="AO364" s="18"/>
      <c r="AP364" s="18"/>
      <c r="AQ364" s="18"/>
    </row>
    <row r="365" spans="1:43" s="584" customFormat="1" ht="14.5" hidden="1" thickBot="1">
      <c r="A365" s="597"/>
      <c r="D365" s="2145"/>
      <c r="E365" s="2145"/>
      <c r="F365" s="2145"/>
      <c r="G365" s="2145"/>
      <c r="H365" s="2145"/>
      <c r="I365" s="2145"/>
      <c r="J365" s="2145"/>
      <c r="K365" s="2145"/>
      <c r="L365" s="2145"/>
      <c r="M365" s="2145"/>
      <c r="N365" s="2145"/>
      <c r="O365" s="2145"/>
      <c r="P365" s="2145"/>
      <c r="Q365" s="2145"/>
      <c r="R365" s="2145"/>
      <c r="S365" s="2145"/>
      <c r="T365" s="2145"/>
      <c r="U365" s="2145"/>
      <c r="V365" s="2145"/>
      <c r="W365" s="2145"/>
      <c r="X365" s="2145"/>
      <c r="Y365" s="2145"/>
      <c r="Z365" s="2145"/>
      <c r="AA365" s="2145"/>
      <c r="AB365" s="2145"/>
      <c r="AC365" s="2145"/>
      <c r="AD365" s="2145"/>
      <c r="AE365" s="2145"/>
      <c r="AF365" s="2145"/>
      <c r="AG365" s="2145"/>
      <c r="AI365" s="18"/>
      <c r="AJ365" s="18"/>
      <c r="AK365" s="18"/>
      <c r="AL365" s="18"/>
      <c r="AM365" s="18"/>
      <c r="AN365" s="18"/>
      <c r="AO365" s="18"/>
      <c r="AP365" s="18"/>
      <c r="AQ365" s="18"/>
    </row>
    <row r="366" spans="1:43" s="584" customFormat="1" ht="14.5" thickBot="1">
      <c r="A366" s="597"/>
      <c r="D366" s="1466"/>
      <c r="E366" s="1466"/>
      <c r="F366" s="1466"/>
      <c r="G366" s="1466"/>
      <c r="H366" s="1466"/>
      <c r="I366" s="1466"/>
      <c r="J366" s="1466"/>
      <c r="K366" s="1466"/>
      <c r="L366" s="1466"/>
      <c r="M366" s="1466"/>
      <c r="N366" s="1466"/>
      <c r="O366" s="1466"/>
      <c r="P366" s="1466"/>
      <c r="Q366" s="1466"/>
      <c r="R366" s="1466"/>
      <c r="S366" s="1466"/>
      <c r="T366" s="1466"/>
      <c r="U366" s="1466"/>
      <c r="V366" s="1466"/>
      <c r="W366" s="1466"/>
      <c r="X366" s="1466"/>
      <c r="Y366" s="1466"/>
      <c r="Z366" s="1466"/>
      <c r="AA366" s="1466"/>
      <c r="AB366" s="1466"/>
      <c r="AC366" s="1466"/>
      <c r="AD366" s="1466"/>
      <c r="AE366" s="1466"/>
      <c r="AF366" s="1466"/>
      <c r="AG366" s="1466"/>
      <c r="AI366" s="18"/>
      <c r="AJ366" s="18"/>
      <c r="AK366" s="18"/>
      <c r="AL366" s="18"/>
      <c r="AM366" s="18"/>
      <c r="AN366" s="18"/>
      <c r="AO366" s="18"/>
      <c r="AP366" s="18"/>
      <c r="AQ366" s="18"/>
    </row>
    <row r="367" spans="1:43" s="584" customFormat="1" ht="34.75" customHeight="1">
      <c r="A367" s="597"/>
      <c r="D367" s="2248" t="s">
        <v>2862</v>
      </c>
      <c r="E367" s="2249"/>
      <c r="F367" s="2249"/>
      <c r="G367" s="2249"/>
      <c r="H367" s="2249"/>
      <c r="I367" s="2249"/>
      <c r="J367" s="2249"/>
      <c r="K367" s="2249"/>
      <c r="L367" s="2249"/>
      <c r="M367" s="2249"/>
      <c r="N367" s="2249"/>
      <c r="O367" s="2249"/>
      <c r="P367" s="2249"/>
      <c r="Q367" s="2249"/>
      <c r="R367" s="2250"/>
      <c r="S367" s="1468"/>
      <c r="T367" s="1468"/>
      <c r="U367" s="1468"/>
      <c r="V367" s="1468"/>
      <c r="W367" s="1468"/>
      <c r="X367" s="1468"/>
      <c r="Y367" s="1468"/>
      <c r="Z367" s="1468"/>
      <c r="AA367" s="1468"/>
      <c r="AB367" s="1468"/>
      <c r="AC367" s="1468"/>
      <c r="AD367" s="1468"/>
      <c r="AE367" s="1468"/>
      <c r="AF367" s="1468"/>
      <c r="AG367" s="1468"/>
      <c r="AI367" s="18"/>
      <c r="AJ367" s="18"/>
      <c r="AK367" s="18"/>
      <c r="AL367" s="18"/>
      <c r="AM367" s="18"/>
      <c r="AN367" s="18"/>
      <c r="AO367" s="18"/>
      <c r="AP367" s="18"/>
      <c r="AQ367" s="18"/>
    </row>
    <row r="368" spans="1:43" s="584" customFormat="1" ht="15" customHeight="1">
      <c r="A368" s="597"/>
      <c r="D368" s="2293" t="s">
        <v>2733</v>
      </c>
      <c r="E368" s="2294"/>
      <c r="F368" s="2294"/>
      <c r="G368" s="2294"/>
      <c r="H368" s="2294"/>
      <c r="I368" s="2294"/>
      <c r="J368" s="2294" t="s">
        <v>2734</v>
      </c>
      <c r="K368" s="2294"/>
      <c r="L368" s="2294"/>
      <c r="M368" s="2294"/>
      <c r="N368" s="2294"/>
      <c r="O368" s="2295" t="s">
        <v>2735</v>
      </c>
      <c r="P368" s="2295"/>
      <c r="Q368" s="2295"/>
      <c r="R368" s="2296"/>
      <c r="S368" s="1469"/>
      <c r="T368" s="1469"/>
      <c r="U368" s="1469"/>
      <c r="V368" s="1469"/>
      <c r="W368" s="1469"/>
      <c r="X368" s="1469"/>
      <c r="Y368" s="1469"/>
      <c r="Z368" s="1469"/>
      <c r="AA368" s="1466"/>
      <c r="AB368" s="1466"/>
      <c r="AC368" s="1466"/>
      <c r="AD368" s="1466"/>
      <c r="AE368" s="1466"/>
      <c r="AF368" s="1466"/>
      <c r="AG368" s="1466"/>
      <c r="AI368" s="18"/>
      <c r="AJ368" s="18"/>
      <c r="AK368" s="18"/>
      <c r="AL368" s="18"/>
      <c r="AM368" s="18"/>
      <c r="AN368" s="18"/>
      <c r="AO368" s="18"/>
      <c r="AP368" s="18"/>
      <c r="AQ368" s="18"/>
    </row>
    <row r="369" spans="1:43" s="584" customFormat="1" ht="41.25" customHeight="1">
      <c r="A369" s="597"/>
      <c r="D369" s="2289" t="s">
        <v>2864</v>
      </c>
      <c r="E369" s="2290"/>
      <c r="F369" s="2290"/>
      <c r="G369" s="2290"/>
      <c r="H369" s="2290"/>
      <c r="I369" s="2290"/>
      <c r="J369" s="2290" t="s">
        <v>2863</v>
      </c>
      <c r="K369" s="2290"/>
      <c r="L369" s="2290"/>
      <c r="M369" s="2290"/>
      <c r="N369" s="2290"/>
      <c r="O369" s="2297" t="s">
        <v>3009</v>
      </c>
      <c r="P369" s="2297"/>
      <c r="Q369" s="2297"/>
      <c r="R369" s="2298"/>
      <c r="S369" s="1469"/>
      <c r="T369" s="1469"/>
      <c r="U369" s="1469"/>
      <c r="V369" s="1469"/>
      <c r="W369" s="1469"/>
      <c r="X369" s="1469"/>
      <c r="Y369" s="1469"/>
      <c r="Z369" s="1469"/>
      <c r="AA369" s="1466"/>
      <c r="AB369" s="1466"/>
      <c r="AC369" s="1466"/>
      <c r="AD369" s="1466"/>
      <c r="AE369" s="1466"/>
      <c r="AF369" s="1466"/>
      <c r="AG369" s="1466"/>
      <c r="AI369" s="18"/>
      <c r="AJ369" s="18"/>
      <c r="AK369" s="18"/>
      <c r="AL369" s="18"/>
      <c r="AM369" s="18"/>
      <c r="AN369" s="18"/>
      <c r="AO369" s="18"/>
      <c r="AP369" s="18"/>
      <c r="AQ369" s="18"/>
    </row>
    <row r="370" spans="1:43" s="584" customFormat="1" ht="34.75" customHeight="1" thickBot="1">
      <c r="A370" s="597"/>
      <c r="D370" s="2291" t="s">
        <v>86</v>
      </c>
      <c r="E370" s="2292"/>
      <c r="F370" s="2292"/>
      <c r="G370" s="2292"/>
      <c r="H370" s="2292"/>
      <c r="I370" s="2292"/>
      <c r="J370" s="2292" t="s">
        <v>2863</v>
      </c>
      <c r="K370" s="2292"/>
      <c r="L370" s="2292"/>
      <c r="M370" s="2292"/>
      <c r="N370" s="2292"/>
      <c r="O370" s="2299" t="s">
        <v>3008</v>
      </c>
      <c r="P370" s="2299"/>
      <c r="Q370" s="2299"/>
      <c r="R370" s="2300"/>
      <c r="S370" s="1469"/>
      <c r="T370" s="1469"/>
      <c r="U370" s="1469"/>
      <c r="V370" s="1469"/>
      <c r="W370" s="1469"/>
      <c r="X370" s="1469"/>
      <c r="Y370" s="1469"/>
      <c r="Z370" s="1469"/>
      <c r="AA370" s="1466"/>
      <c r="AB370" s="1466"/>
      <c r="AC370" s="1466"/>
      <c r="AD370" s="1466"/>
      <c r="AE370" s="1466"/>
      <c r="AF370" s="1466"/>
      <c r="AG370" s="1466"/>
      <c r="AI370" s="18"/>
      <c r="AJ370" s="18"/>
      <c r="AK370" s="18"/>
      <c r="AL370" s="18"/>
      <c r="AM370" s="18"/>
      <c r="AN370" s="18"/>
      <c r="AO370" s="18"/>
      <c r="AP370" s="18"/>
      <c r="AQ370" s="18"/>
    </row>
    <row r="371" spans="1:43" s="584" customFormat="1" ht="14">
      <c r="A371" s="597"/>
      <c r="D371" s="1426"/>
      <c r="E371" s="1426"/>
      <c r="F371" s="1426"/>
      <c r="G371" s="766"/>
      <c r="H371" s="766"/>
      <c r="I371" s="766"/>
      <c r="J371" s="766"/>
      <c r="K371" s="766"/>
      <c r="L371" s="766"/>
      <c r="M371" s="766"/>
      <c r="N371" s="766"/>
      <c r="O371" s="766"/>
      <c r="P371" s="766"/>
      <c r="Q371" s="766"/>
      <c r="R371" s="766"/>
      <c r="S371" s="766"/>
      <c r="T371" s="766"/>
      <c r="U371" s="766"/>
      <c r="V371" s="766"/>
      <c r="W371" s="766"/>
      <c r="X371" s="766"/>
      <c r="Y371" s="766"/>
      <c r="Z371" s="766"/>
      <c r="AA371" s="766"/>
      <c r="AB371" s="766"/>
      <c r="AC371" s="766"/>
      <c r="AD371" s="766"/>
      <c r="AE371" s="766"/>
      <c r="AF371" s="766"/>
      <c r="AG371" s="766"/>
      <c r="AI371" s="18"/>
      <c r="AJ371" s="18"/>
      <c r="AK371" s="18"/>
      <c r="AL371" s="18"/>
      <c r="AM371" s="18"/>
      <c r="AN371" s="18"/>
      <c r="AO371" s="18"/>
      <c r="AP371" s="18"/>
      <c r="AQ371" s="18"/>
    </row>
    <row r="372" spans="1:43" s="584" customFormat="1" ht="14">
      <c r="A372" s="597"/>
      <c r="D372" s="582" t="s">
        <v>1408</v>
      </c>
      <c r="E372" s="1426"/>
      <c r="F372" s="1426"/>
      <c r="AI372" s="18"/>
      <c r="AJ372" s="18"/>
      <c r="AK372" s="18"/>
      <c r="AL372" s="18"/>
      <c r="AM372" s="18"/>
      <c r="AN372" s="18"/>
      <c r="AO372" s="18"/>
      <c r="AP372" s="18"/>
      <c r="AQ372" s="18"/>
    </row>
    <row r="373" spans="1:43" s="773" customFormat="1" ht="14">
      <c r="A373" s="784"/>
      <c r="E373" s="785"/>
      <c r="F373" s="785"/>
      <c r="AI373" s="786"/>
      <c r="AJ373" s="786"/>
      <c r="AK373" s="786"/>
      <c r="AL373" s="786"/>
      <c r="AM373" s="786"/>
      <c r="AN373" s="786"/>
      <c r="AO373" s="786"/>
      <c r="AP373" s="786"/>
      <c r="AQ373" s="786"/>
    </row>
    <row r="374" spans="1:43" s="584" customFormat="1" ht="14">
      <c r="A374" s="597"/>
      <c r="D374" s="1439" t="s">
        <v>2737</v>
      </c>
      <c r="AI374" s="18"/>
      <c r="AJ374" s="18"/>
      <c r="AK374" s="18"/>
      <c r="AL374" s="18"/>
      <c r="AM374" s="18"/>
      <c r="AN374" s="18"/>
      <c r="AO374" s="18"/>
      <c r="AP374" s="18"/>
      <c r="AQ374" s="18"/>
    </row>
    <row r="375" spans="1:43" s="584" customFormat="1" ht="14">
      <c r="A375" s="597"/>
      <c r="AI375" s="18"/>
      <c r="AJ375" s="18"/>
      <c r="AK375" s="18"/>
      <c r="AL375" s="18"/>
      <c r="AM375" s="18"/>
      <c r="AN375" s="18"/>
      <c r="AO375" s="18"/>
      <c r="AP375" s="18"/>
      <c r="AQ375" s="18"/>
    </row>
    <row r="376" spans="1:43" s="584" customFormat="1" ht="14">
      <c r="A376" s="597"/>
      <c r="D376" s="582" t="s">
        <v>2928</v>
      </c>
      <c r="AI376" s="18"/>
      <c r="AJ376" s="18"/>
      <c r="AK376" s="18"/>
      <c r="AL376" s="18"/>
      <c r="AM376" s="18"/>
      <c r="AN376" s="18"/>
      <c r="AO376" s="18"/>
      <c r="AP376" s="18"/>
      <c r="AQ376" s="18"/>
    </row>
    <row r="377" spans="1:43" s="584" customFormat="1" ht="14">
      <c r="A377" s="597"/>
      <c r="AI377" s="18"/>
      <c r="AJ377" s="18"/>
      <c r="AK377" s="18"/>
      <c r="AL377" s="18"/>
      <c r="AM377" s="18"/>
      <c r="AN377" s="18"/>
      <c r="AO377" s="18"/>
      <c r="AP377" s="18"/>
      <c r="AQ377" s="18"/>
    </row>
    <row r="378" spans="1:43" s="584" customFormat="1" ht="14">
      <c r="A378" s="597"/>
      <c r="D378" s="2142" t="s">
        <v>2784</v>
      </c>
      <c r="E378" s="2143"/>
      <c r="F378" s="2143"/>
      <c r="G378" s="2143"/>
      <c r="H378" s="2143"/>
      <c r="I378" s="2143"/>
      <c r="J378" s="2143"/>
      <c r="K378" s="2143"/>
      <c r="L378" s="2143"/>
      <c r="M378" s="2143"/>
      <c r="N378" s="2143"/>
      <c r="O378" s="2143"/>
      <c r="P378" s="2143"/>
      <c r="Q378" s="2143"/>
      <c r="R378" s="2143"/>
      <c r="S378" s="2143"/>
      <c r="T378" s="2143"/>
      <c r="U378" s="2143"/>
      <c r="V378" s="2143"/>
      <c r="W378" s="2143"/>
      <c r="X378" s="2143"/>
      <c r="Y378" s="2143"/>
      <c r="Z378" s="2143"/>
      <c r="AA378" s="2143"/>
      <c r="AB378" s="2143"/>
      <c r="AC378" s="2143"/>
      <c r="AD378" s="2143"/>
      <c r="AE378" s="2143"/>
      <c r="AF378" s="2143"/>
      <c r="AG378" s="2143"/>
      <c r="AI378" s="18"/>
      <c r="AJ378" s="18"/>
      <c r="AK378" s="18"/>
      <c r="AL378" s="18"/>
      <c r="AM378" s="18"/>
      <c r="AN378" s="18"/>
      <c r="AO378" s="18"/>
      <c r="AP378" s="18"/>
      <c r="AQ378" s="18"/>
    </row>
    <row r="379" spans="1:43" s="584" customFormat="1" ht="14">
      <c r="A379" s="597"/>
      <c r="D379" s="2143"/>
      <c r="E379" s="2143"/>
      <c r="F379" s="2143"/>
      <c r="G379" s="2143"/>
      <c r="H379" s="2143"/>
      <c r="I379" s="2143"/>
      <c r="J379" s="2143"/>
      <c r="K379" s="2143"/>
      <c r="L379" s="2143"/>
      <c r="M379" s="2143"/>
      <c r="N379" s="2143"/>
      <c r="O379" s="2143"/>
      <c r="P379" s="2143"/>
      <c r="Q379" s="2143"/>
      <c r="R379" s="2143"/>
      <c r="S379" s="2143"/>
      <c r="T379" s="2143"/>
      <c r="U379" s="2143"/>
      <c r="V379" s="2143"/>
      <c r="W379" s="2143"/>
      <c r="X379" s="2143"/>
      <c r="Y379" s="2143"/>
      <c r="Z379" s="2143"/>
      <c r="AA379" s="2143"/>
      <c r="AB379" s="2143"/>
      <c r="AC379" s="2143"/>
      <c r="AD379" s="2143"/>
      <c r="AE379" s="2143"/>
      <c r="AF379" s="2143"/>
      <c r="AG379" s="2143"/>
      <c r="AI379" s="18"/>
      <c r="AJ379" s="18"/>
      <c r="AK379" s="18"/>
      <c r="AL379" s="18"/>
      <c r="AM379" s="18"/>
      <c r="AN379" s="18"/>
      <c r="AO379" s="18"/>
      <c r="AP379" s="18"/>
      <c r="AQ379" s="18"/>
    </row>
    <row r="380" spans="1:43" s="584" customFormat="1" ht="14">
      <c r="A380" s="597"/>
      <c r="AI380" s="18"/>
      <c r="AJ380" s="18"/>
      <c r="AK380" s="18"/>
      <c r="AL380" s="18"/>
      <c r="AM380" s="18"/>
      <c r="AN380" s="18"/>
      <c r="AO380" s="18"/>
      <c r="AP380" s="18"/>
      <c r="AQ380" s="18"/>
    </row>
    <row r="381" spans="1:43" s="584" customFormat="1" ht="14">
      <c r="A381" s="597"/>
      <c r="D381" s="2134" t="s">
        <v>1364</v>
      </c>
      <c r="E381" s="2134"/>
      <c r="F381" s="2134"/>
      <c r="G381" s="2134"/>
      <c r="H381" s="2134"/>
      <c r="I381" s="2134"/>
      <c r="J381" s="2134"/>
      <c r="K381" s="2134"/>
      <c r="L381" s="2134"/>
      <c r="M381" s="2134"/>
      <c r="N381" s="2134"/>
      <c r="O381" s="2134"/>
      <c r="P381" s="2134"/>
      <c r="Q381" s="2134"/>
      <c r="R381" s="2134"/>
      <c r="S381" s="2134"/>
      <c r="T381" s="2134"/>
      <c r="U381" s="2134"/>
      <c r="V381" s="2134"/>
      <c r="W381" s="2134"/>
      <c r="X381" s="2134"/>
      <c r="Y381" s="2134"/>
      <c r="Z381" s="2134"/>
      <c r="AA381" s="2134"/>
      <c r="AB381" s="2134"/>
      <c r="AC381" s="2134"/>
      <c r="AD381" s="2134"/>
      <c r="AE381" s="2134"/>
      <c r="AF381" s="2134"/>
      <c r="AG381" s="2134"/>
      <c r="AI381" s="18"/>
      <c r="AJ381" s="18"/>
      <c r="AK381" s="18"/>
      <c r="AL381" s="18"/>
      <c r="AM381" s="18"/>
      <c r="AN381" s="18"/>
      <c r="AO381" s="18"/>
      <c r="AP381" s="18"/>
      <c r="AQ381" s="18"/>
    </row>
    <row r="382" spans="1:43" s="584" customFormat="1" ht="14.5" thickBot="1">
      <c r="A382" s="597"/>
      <c r="AI382" s="18"/>
      <c r="AJ382" s="18"/>
      <c r="AK382" s="18"/>
      <c r="AL382" s="18"/>
      <c r="AM382" s="18"/>
      <c r="AN382" s="18"/>
      <c r="AO382" s="18"/>
      <c r="AP382" s="18"/>
      <c r="AQ382" s="18"/>
    </row>
    <row r="383" spans="1:43" s="584" customFormat="1" ht="15.75" customHeight="1" thickBot="1">
      <c r="A383" s="597"/>
      <c r="D383" s="1921" t="s">
        <v>86</v>
      </c>
      <c r="E383" s="1921"/>
      <c r="F383" s="1921"/>
      <c r="G383" s="1921"/>
      <c r="H383" s="1921"/>
      <c r="I383" s="1921" t="s">
        <v>2</v>
      </c>
      <c r="J383" s="1921"/>
      <c r="K383" s="1921"/>
      <c r="L383" s="1921"/>
      <c r="M383" s="1921"/>
      <c r="N383" s="1921"/>
      <c r="O383" s="1921"/>
      <c r="P383" s="1921"/>
      <c r="Q383" s="1921"/>
      <c r="R383" s="1921"/>
      <c r="S383" s="1921"/>
      <c r="T383" s="1921"/>
      <c r="U383" s="1921"/>
      <c r="V383" s="1921"/>
      <c r="W383" s="1921"/>
      <c r="X383" s="1921"/>
      <c r="Y383" s="1921"/>
      <c r="Z383" s="1921"/>
      <c r="AA383" s="1921"/>
      <c r="AB383" s="1921"/>
      <c r="AC383" s="1921"/>
      <c r="AD383" s="1921"/>
      <c r="AE383" s="1921"/>
      <c r="AF383" s="1921"/>
      <c r="AG383" s="1921"/>
      <c r="AI383" s="18"/>
      <c r="AJ383" s="18"/>
      <c r="AK383" s="18"/>
      <c r="AL383" s="18"/>
      <c r="AM383" s="18"/>
      <c r="AN383" s="18"/>
      <c r="AO383" s="18"/>
      <c r="AP383" s="18"/>
      <c r="AQ383" s="18"/>
    </row>
    <row r="384" spans="1:43" s="584" customFormat="1" ht="47.25" customHeight="1" thickTop="1" thickBot="1">
      <c r="A384" s="597"/>
      <c r="D384" s="1921"/>
      <c r="E384" s="1921"/>
      <c r="F384" s="1921"/>
      <c r="G384" s="1921"/>
      <c r="H384" s="1921"/>
      <c r="I384" s="1851" t="s">
        <v>87</v>
      </c>
      <c r="J384" s="1851"/>
      <c r="K384" s="1851"/>
      <c r="L384" s="1851"/>
      <c r="M384" s="1851"/>
      <c r="N384" s="1851" t="s">
        <v>455</v>
      </c>
      <c r="O384" s="1851"/>
      <c r="P384" s="1851"/>
      <c r="Q384" s="1851"/>
      <c r="R384" s="1851"/>
      <c r="S384" s="1851" t="s">
        <v>459</v>
      </c>
      <c r="T384" s="1851"/>
      <c r="U384" s="1851"/>
      <c r="V384" s="1851"/>
      <c r="W384" s="1851"/>
      <c r="X384" s="1851" t="s">
        <v>457</v>
      </c>
      <c r="Y384" s="1851"/>
      <c r="Z384" s="1851"/>
      <c r="AA384" s="1851"/>
      <c r="AB384" s="1851"/>
      <c r="AC384" s="1851" t="s">
        <v>89</v>
      </c>
      <c r="AD384" s="1851"/>
      <c r="AE384" s="1851"/>
      <c r="AF384" s="1851"/>
      <c r="AG384" s="1851"/>
      <c r="AI384" s="591" t="s">
        <v>87</v>
      </c>
      <c r="AJ384" s="594" t="s">
        <v>456</v>
      </c>
      <c r="AK384" s="591" t="s">
        <v>459</v>
      </c>
      <c r="AL384" s="594" t="s">
        <v>457</v>
      </c>
      <c r="AM384" s="591" t="s">
        <v>89</v>
      </c>
      <c r="AN384" s="18"/>
      <c r="AO384" s="59" t="s">
        <v>89</v>
      </c>
      <c r="AP384" s="18"/>
      <c r="AQ384" s="18"/>
    </row>
    <row r="385" spans="1:43" s="584" customFormat="1" ht="28.5" customHeight="1" thickBot="1">
      <c r="A385" s="597"/>
      <c r="D385" s="2141" t="s">
        <v>90</v>
      </c>
      <c r="E385" s="2141"/>
      <c r="F385" s="2141"/>
      <c r="G385" s="2141"/>
      <c r="H385" s="2141"/>
      <c r="I385" s="2074">
        <v>6224</v>
      </c>
      <c r="J385" s="2075"/>
      <c r="K385" s="2075"/>
      <c r="L385" s="2075"/>
      <c r="M385" s="2075"/>
      <c r="N385" s="2075">
        <v>16562</v>
      </c>
      <c r="O385" s="2075"/>
      <c r="P385" s="2075"/>
      <c r="Q385" s="2075"/>
      <c r="R385" s="2075"/>
      <c r="S385" s="2075">
        <v>0</v>
      </c>
      <c r="T385" s="2075"/>
      <c r="U385" s="2075"/>
      <c r="V385" s="2075"/>
      <c r="W385" s="2075"/>
      <c r="X385" s="2075">
        <v>0</v>
      </c>
      <c r="Y385" s="2075"/>
      <c r="Z385" s="2075"/>
      <c r="AA385" s="2075"/>
      <c r="AB385" s="2075"/>
      <c r="AC385" s="2077">
        <f>SUM(I385:AB385)</f>
        <v>22786</v>
      </c>
      <c r="AD385" s="2077"/>
      <c r="AE385" s="2077"/>
      <c r="AF385" s="2077"/>
      <c r="AG385" s="2078"/>
      <c r="AI385" s="612"/>
      <c r="AJ385" s="613"/>
      <c r="AK385" s="613"/>
      <c r="AL385" s="613"/>
      <c r="AM385" s="614">
        <f>SUM(I385:AB385)-AC385</f>
        <v>0</v>
      </c>
      <c r="AN385" s="18"/>
      <c r="AO385" s="615">
        <f>AC385-BS!E44</f>
        <v>0</v>
      </c>
      <c r="AP385" s="18"/>
      <c r="AQ385" s="18"/>
    </row>
    <row r="386" spans="1:43" s="584" customFormat="1" ht="34.75" customHeight="1" thickBot="1">
      <c r="A386" s="597"/>
      <c r="D386" s="2141" t="s">
        <v>98</v>
      </c>
      <c r="E386" s="2141"/>
      <c r="F386" s="2141"/>
      <c r="G386" s="2141"/>
      <c r="H386" s="2141"/>
      <c r="I386" s="2140">
        <v>0</v>
      </c>
      <c r="J386" s="1816"/>
      <c r="K386" s="1816"/>
      <c r="L386" s="1816"/>
      <c r="M386" s="1816"/>
      <c r="N386" s="1805">
        <v>0</v>
      </c>
      <c r="O386" s="1805"/>
      <c r="P386" s="1805"/>
      <c r="Q386" s="1805"/>
      <c r="R386" s="1805"/>
      <c r="S386" s="1805">
        <v>0</v>
      </c>
      <c r="T386" s="1805"/>
      <c r="U386" s="1805"/>
      <c r="V386" s="1805"/>
      <c r="W386" s="1805"/>
      <c r="X386" s="1805">
        <v>0</v>
      </c>
      <c r="Y386" s="1805"/>
      <c r="Z386" s="1805"/>
      <c r="AA386" s="1805"/>
      <c r="AB386" s="1805"/>
      <c r="AC386" s="1807">
        <f t="shared" ref="AC386:AC391" si="126">SUM(I386:AB386)</f>
        <v>0</v>
      </c>
      <c r="AD386" s="1807"/>
      <c r="AE386" s="1807"/>
      <c r="AF386" s="1807"/>
      <c r="AG386" s="1808"/>
      <c r="AI386" s="606"/>
      <c r="AJ386" s="607"/>
      <c r="AK386" s="607"/>
      <c r="AL386" s="607"/>
      <c r="AM386" s="608">
        <f t="shared" ref="AM386:AM391" si="127">SUM(I386:AB386)-AC386</f>
        <v>0</v>
      </c>
      <c r="AN386" s="18"/>
      <c r="AO386" s="615">
        <f>AC386-BS!E45</f>
        <v>0</v>
      </c>
      <c r="AP386" s="18"/>
      <c r="AQ386" s="18"/>
    </row>
    <row r="387" spans="1:43" s="584" customFormat="1" ht="28.5" customHeight="1" thickBot="1">
      <c r="A387" s="597"/>
      <c r="D387" s="2141" t="s">
        <v>91</v>
      </c>
      <c r="E387" s="2141"/>
      <c r="F387" s="2141"/>
      <c r="G387" s="2141"/>
      <c r="H387" s="2141"/>
      <c r="I387" s="2140">
        <v>0</v>
      </c>
      <c r="J387" s="1816"/>
      <c r="K387" s="1816"/>
      <c r="L387" s="1816"/>
      <c r="M387" s="1816"/>
      <c r="N387" s="1805">
        <v>0</v>
      </c>
      <c r="O387" s="1805"/>
      <c r="P387" s="1805"/>
      <c r="Q387" s="1805"/>
      <c r="R387" s="1805"/>
      <c r="S387" s="1805">
        <v>0</v>
      </c>
      <c r="T387" s="1805"/>
      <c r="U387" s="1805"/>
      <c r="V387" s="1805"/>
      <c r="W387" s="1805"/>
      <c r="X387" s="1805">
        <v>0</v>
      </c>
      <c r="Y387" s="1805"/>
      <c r="Z387" s="1805"/>
      <c r="AA387" s="1805"/>
      <c r="AB387" s="1805"/>
      <c r="AC387" s="1807">
        <f t="shared" si="126"/>
        <v>0</v>
      </c>
      <c r="AD387" s="1807"/>
      <c r="AE387" s="1807"/>
      <c r="AF387" s="1807"/>
      <c r="AG387" s="1808"/>
      <c r="AI387" s="606"/>
      <c r="AJ387" s="607"/>
      <c r="AK387" s="607"/>
      <c r="AL387" s="607"/>
      <c r="AM387" s="608">
        <f t="shared" si="127"/>
        <v>0</v>
      </c>
      <c r="AN387" s="18"/>
      <c r="AO387" s="615">
        <f>AC387-BS!E46</f>
        <v>0</v>
      </c>
      <c r="AP387" s="18"/>
      <c r="AQ387" s="18"/>
    </row>
    <row r="388" spans="1:43" s="584" customFormat="1" ht="28.5" customHeight="1" thickBot="1">
      <c r="A388" s="597"/>
      <c r="D388" s="2141" t="s">
        <v>92</v>
      </c>
      <c r="E388" s="2141"/>
      <c r="F388" s="2141"/>
      <c r="G388" s="2141"/>
      <c r="H388" s="2141"/>
      <c r="I388" s="2140">
        <v>0</v>
      </c>
      <c r="J388" s="1816"/>
      <c r="K388" s="1816"/>
      <c r="L388" s="1816"/>
      <c r="M388" s="1816"/>
      <c r="N388" s="1805">
        <v>0</v>
      </c>
      <c r="O388" s="1805"/>
      <c r="P388" s="1805"/>
      <c r="Q388" s="1805"/>
      <c r="R388" s="1805"/>
      <c r="S388" s="1805">
        <v>0</v>
      </c>
      <c r="T388" s="1805"/>
      <c r="U388" s="1805"/>
      <c r="V388" s="1805"/>
      <c r="W388" s="1805"/>
      <c r="X388" s="1805">
        <v>0</v>
      </c>
      <c r="Y388" s="1805"/>
      <c r="Z388" s="1805"/>
      <c r="AA388" s="1805"/>
      <c r="AB388" s="1805"/>
      <c r="AC388" s="1807">
        <f t="shared" si="126"/>
        <v>0</v>
      </c>
      <c r="AD388" s="1807"/>
      <c r="AE388" s="1807"/>
      <c r="AF388" s="1807"/>
      <c r="AG388" s="1808"/>
      <c r="AI388" s="606"/>
      <c r="AJ388" s="607"/>
      <c r="AK388" s="607"/>
      <c r="AL388" s="607"/>
      <c r="AM388" s="608">
        <f t="shared" si="127"/>
        <v>0</v>
      </c>
      <c r="AN388" s="18"/>
      <c r="AO388" s="615">
        <f>AC388-BS!E47</f>
        <v>0</v>
      </c>
      <c r="AP388" s="18"/>
      <c r="AQ388" s="18"/>
    </row>
    <row r="389" spans="1:43" s="584" customFormat="1" ht="28.5" customHeight="1" thickBot="1">
      <c r="A389" s="597"/>
      <c r="D389" s="2141" t="s">
        <v>93</v>
      </c>
      <c r="E389" s="2141"/>
      <c r="F389" s="2141"/>
      <c r="G389" s="2141"/>
      <c r="H389" s="2141"/>
      <c r="I389" s="2140">
        <v>0</v>
      </c>
      <c r="J389" s="1816"/>
      <c r="K389" s="1816"/>
      <c r="L389" s="1816"/>
      <c r="M389" s="1816"/>
      <c r="N389" s="1805">
        <v>0</v>
      </c>
      <c r="O389" s="1805"/>
      <c r="P389" s="1805"/>
      <c r="Q389" s="1805"/>
      <c r="R389" s="1805"/>
      <c r="S389" s="1805">
        <v>0</v>
      </c>
      <c r="T389" s="1805"/>
      <c r="U389" s="1805"/>
      <c r="V389" s="1805"/>
      <c r="W389" s="1805"/>
      <c r="X389" s="1805">
        <v>0</v>
      </c>
      <c r="Y389" s="1805"/>
      <c r="Z389" s="1805"/>
      <c r="AA389" s="1805"/>
      <c r="AB389" s="1805"/>
      <c r="AC389" s="1807">
        <f t="shared" si="126"/>
        <v>0</v>
      </c>
      <c r="AD389" s="1807"/>
      <c r="AE389" s="1807"/>
      <c r="AF389" s="1807"/>
      <c r="AG389" s="1808"/>
      <c r="AI389" s="606"/>
      <c r="AJ389" s="607"/>
      <c r="AK389" s="607"/>
      <c r="AL389" s="607"/>
      <c r="AM389" s="608">
        <f t="shared" si="127"/>
        <v>0</v>
      </c>
      <c r="AN389" s="18"/>
      <c r="AO389" s="615">
        <f>AC389-BS!E48</f>
        <v>0</v>
      </c>
      <c r="AP389" s="18"/>
      <c r="AQ389" s="18"/>
    </row>
    <row r="390" spans="1:43" s="584" customFormat="1" ht="28.5" customHeight="1" thickBot="1">
      <c r="A390" s="597"/>
      <c r="D390" s="2141" t="s">
        <v>94</v>
      </c>
      <c r="E390" s="2141"/>
      <c r="F390" s="2141"/>
      <c r="G390" s="2141"/>
      <c r="H390" s="2141"/>
      <c r="I390" s="2140">
        <v>0</v>
      </c>
      <c r="J390" s="1816"/>
      <c r="K390" s="1816"/>
      <c r="L390" s="1816"/>
      <c r="M390" s="1816"/>
      <c r="N390" s="1805">
        <v>0</v>
      </c>
      <c r="O390" s="1805"/>
      <c r="P390" s="1805"/>
      <c r="Q390" s="1805"/>
      <c r="R390" s="1805"/>
      <c r="S390" s="1805">
        <v>0</v>
      </c>
      <c r="T390" s="1805"/>
      <c r="U390" s="1805"/>
      <c r="V390" s="1805"/>
      <c r="W390" s="1805"/>
      <c r="X390" s="1805">
        <v>0</v>
      </c>
      <c r="Y390" s="1805"/>
      <c r="Z390" s="1805"/>
      <c r="AA390" s="1805"/>
      <c r="AB390" s="1805"/>
      <c r="AC390" s="1807">
        <f t="shared" si="126"/>
        <v>0</v>
      </c>
      <c r="AD390" s="1807"/>
      <c r="AE390" s="1807"/>
      <c r="AF390" s="1807"/>
      <c r="AG390" s="1808"/>
      <c r="AI390" s="606"/>
      <c r="AJ390" s="607"/>
      <c r="AK390" s="607"/>
      <c r="AL390" s="607"/>
      <c r="AM390" s="608">
        <f t="shared" si="127"/>
        <v>0</v>
      </c>
      <c r="AN390" s="18"/>
      <c r="AO390" s="616"/>
      <c r="AP390" s="18"/>
      <c r="AQ390" s="18"/>
    </row>
    <row r="391" spans="1:43" s="584" customFormat="1" ht="28.5" customHeight="1" thickBot="1">
      <c r="A391" s="597"/>
      <c r="D391" s="2141" t="s">
        <v>458</v>
      </c>
      <c r="E391" s="2141"/>
      <c r="F391" s="2141"/>
      <c r="G391" s="2141"/>
      <c r="H391" s="2141"/>
      <c r="I391" s="2140">
        <v>0</v>
      </c>
      <c r="J391" s="1816"/>
      <c r="K391" s="1816"/>
      <c r="L391" s="1816"/>
      <c r="M391" s="1816"/>
      <c r="N391" s="1805">
        <v>0</v>
      </c>
      <c r="O391" s="1805"/>
      <c r="P391" s="1805"/>
      <c r="Q391" s="1805"/>
      <c r="R391" s="1805"/>
      <c r="S391" s="1805">
        <v>0</v>
      </c>
      <c r="T391" s="1805"/>
      <c r="U391" s="1805"/>
      <c r="V391" s="1805"/>
      <c r="W391" s="1805"/>
      <c r="X391" s="1805">
        <v>0</v>
      </c>
      <c r="Y391" s="1805"/>
      <c r="Z391" s="1805"/>
      <c r="AA391" s="1805"/>
      <c r="AB391" s="1805"/>
      <c r="AC391" s="1807">
        <f t="shared" si="126"/>
        <v>0</v>
      </c>
      <c r="AD391" s="1807"/>
      <c r="AE391" s="1807"/>
      <c r="AF391" s="1807"/>
      <c r="AG391" s="1808"/>
      <c r="AI391" s="606"/>
      <c r="AJ391" s="607"/>
      <c r="AK391" s="607"/>
      <c r="AL391" s="607"/>
      <c r="AM391" s="608">
        <f t="shared" si="127"/>
        <v>0</v>
      </c>
      <c r="AN391" s="18"/>
      <c r="AO391" s="615">
        <f>AC391-BS!E49</f>
        <v>0</v>
      </c>
      <c r="AP391" s="18"/>
      <c r="AQ391" s="18"/>
    </row>
    <row r="392" spans="1:43" s="584" customFormat="1" ht="28.5" customHeight="1" thickBot="1">
      <c r="A392" s="597"/>
      <c r="D392" s="1995" t="s">
        <v>95</v>
      </c>
      <c r="E392" s="1995"/>
      <c r="F392" s="1995"/>
      <c r="G392" s="1995"/>
      <c r="H392" s="1995"/>
      <c r="I392" s="2137">
        <f t="shared" ref="I392" si="128">SUM(I385:M391)</f>
        <v>6224</v>
      </c>
      <c r="J392" s="2138"/>
      <c r="K392" s="2138"/>
      <c r="L392" s="2138"/>
      <c r="M392" s="2138"/>
      <c r="N392" s="2138">
        <f>SUM(N385:R391)</f>
        <v>16562</v>
      </c>
      <c r="O392" s="2138"/>
      <c r="P392" s="2138"/>
      <c r="Q392" s="2138"/>
      <c r="R392" s="2138"/>
      <c r="S392" s="2138">
        <f t="shared" ref="S392" si="129">SUM(S385:W391)</f>
        <v>0</v>
      </c>
      <c r="T392" s="2138"/>
      <c r="U392" s="2138"/>
      <c r="V392" s="2138"/>
      <c r="W392" s="2138"/>
      <c r="X392" s="2138">
        <f t="shared" ref="X392" si="130">SUM(X385:AB391)</f>
        <v>0</v>
      </c>
      <c r="Y392" s="2138"/>
      <c r="Z392" s="2138"/>
      <c r="AA392" s="2138"/>
      <c r="AB392" s="2138"/>
      <c r="AC392" s="2138">
        <f>SUM(AC385:AG391)</f>
        <v>22786</v>
      </c>
      <c r="AD392" s="2138"/>
      <c r="AE392" s="2138"/>
      <c r="AF392" s="2138"/>
      <c r="AG392" s="2139"/>
      <c r="AI392" s="609">
        <f>SUM(I385:M391)-I392</f>
        <v>0</v>
      </c>
      <c r="AJ392" s="610">
        <f>SUM(N385:R391)-N392</f>
        <v>0</v>
      </c>
      <c r="AK392" s="610">
        <f>SUM(S385:W391)-S392</f>
        <v>0</v>
      </c>
      <c r="AL392" s="610">
        <f>SUM(X385:AB391)-X392</f>
        <v>0</v>
      </c>
      <c r="AM392" s="611">
        <f>SUM(I392:AB392)-AC392</f>
        <v>0</v>
      </c>
      <c r="AN392" s="18"/>
      <c r="AO392" s="617">
        <f>AC392-BS!E43</f>
        <v>0</v>
      </c>
      <c r="AP392" s="18"/>
      <c r="AQ392" s="18"/>
    </row>
    <row r="393" spans="1:43" s="584" customFormat="1" ht="14.5" thickBot="1">
      <c r="A393" s="597"/>
      <c r="AI393" s="18"/>
      <c r="AJ393" s="18"/>
      <c r="AK393" s="18"/>
      <c r="AL393" s="18"/>
      <c r="AM393" s="18"/>
      <c r="AN393" s="18"/>
      <c r="AO393" s="18"/>
      <c r="AP393" s="18"/>
      <c r="AQ393" s="18"/>
    </row>
    <row r="394" spans="1:43" s="584" customFormat="1" ht="14.5" thickBot="1">
      <c r="A394" s="597"/>
      <c r="D394" s="1921" t="s">
        <v>86</v>
      </c>
      <c r="E394" s="1921"/>
      <c r="F394" s="1921"/>
      <c r="G394" s="1921"/>
      <c r="H394" s="1921"/>
      <c r="I394" s="1921" t="s">
        <v>3</v>
      </c>
      <c r="J394" s="1921"/>
      <c r="K394" s="1921"/>
      <c r="L394" s="1921"/>
      <c r="M394" s="1921"/>
      <c r="N394" s="1921"/>
      <c r="O394" s="1921"/>
      <c r="P394" s="1921"/>
      <c r="Q394" s="1921"/>
      <c r="R394" s="1921"/>
      <c r="S394" s="1921"/>
      <c r="T394" s="1921"/>
      <c r="U394" s="1921"/>
      <c r="V394" s="1921"/>
      <c r="W394" s="1921"/>
      <c r="X394" s="1921"/>
      <c r="Y394" s="1921"/>
      <c r="Z394" s="1921"/>
      <c r="AA394" s="1921"/>
      <c r="AB394" s="1921"/>
      <c r="AC394" s="1921"/>
      <c r="AD394" s="1921"/>
      <c r="AE394" s="1921"/>
      <c r="AF394" s="1921"/>
      <c r="AG394" s="1921"/>
      <c r="AI394" s="18"/>
      <c r="AJ394" s="18"/>
      <c r="AK394" s="18"/>
      <c r="AL394" s="18"/>
      <c r="AM394" s="18"/>
      <c r="AN394" s="18"/>
      <c r="AO394" s="18"/>
      <c r="AP394" s="18"/>
      <c r="AQ394" s="18"/>
    </row>
    <row r="395" spans="1:43" s="584" customFormat="1" ht="47.25" customHeight="1" thickBot="1">
      <c r="A395" s="597"/>
      <c r="D395" s="1921"/>
      <c r="E395" s="1921"/>
      <c r="F395" s="1921"/>
      <c r="G395" s="1921"/>
      <c r="H395" s="1921"/>
      <c r="I395" s="1851" t="s">
        <v>87</v>
      </c>
      <c r="J395" s="1851"/>
      <c r="K395" s="1851"/>
      <c r="L395" s="1851"/>
      <c r="M395" s="1851"/>
      <c r="N395" s="1851" t="s">
        <v>455</v>
      </c>
      <c r="O395" s="1851"/>
      <c r="P395" s="1851"/>
      <c r="Q395" s="1851"/>
      <c r="R395" s="1851"/>
      <c r="S395" s="1851" t="s">
        <v>459</v>
      </c>
      <c r="T395" s="1851"/>
      <c r="U395" s="1851"/>
      <c r="V395" s="1851"/>
      <c r="W395" s="1851"/>
      <c r="X395" s="1851" t="s">
        <v>457</v>
      </c>
      <c r="Y395" s="1851"/>
      <c r="Z395" s="1851"/>
      <c r="AA395" s="1851"/>
      <c r="AB395" s="1851"/>
      <c r="AC395" s="1851" t="s">
        <v>89</v>
      </c>
      <c r="AD395" s="1851"/>
      <c r="AE395" s="1851"/>
      <c r="AF395" s="1851"/>
      <c r="AG395" s="1851"/>
      <c r="AI395" s="18"/>
      <c r="AJ395" s="18"/>
      <c r="AK395" s="18"/>
      <c r="AL395" s="18"/>
      <c r="AM395" s="18"/>
      <c r="AN395" s="18"/>
      <c r="AO395" s="18"/>
      <c r="AP395" s="18"/>
      <c r="AQ395" s="18"/>
    </row>
    <row r="396" spans="1:43" s="584" customFormat="1" ht="15.75" customHeight="1" thickBot="1">
      <c r="A396" s="597"/>
      <c r="D396" s="2141" t="s">
        <v>90</v>
      </c>
      <c r="E396" s="2141"/>
      <c r="F396" s="2141"/>
      <c r="G396" s="2141"/>
      <c r="H396" s="2141"/>
      <c r="I396" s="2074">
        <v>4833</v>
      </c>
      <c r="J396" s="2075"/>
      <c r="K396" s="2075"/>
      <c r="L396" s="2075"/>
      <c r="M396" s="2075"/>
      <c r="N396" s="2075">
        <v>1391</v>
      </c>
      <c r="O396" s="2075"/>
      <c r="P396" s="2075"/>
      <c r="Q396" s="2075"/>
      <c r="R396" s="2075"/>
      <c r="S396" s="2075">
        <v>0</v>
      </c>
      <c r="T396" s="2075"/>
      <c r="U396" s="2075"/>
      <c r="V396" s="2075"/>
      <c r="W396" s="2075"/>
      <c r="X396" s="2075">
        <v>0</v>
      </c>
      <c r="Y396" s="2075"/>
      <c r="Z396" s="2075"/>
      <c r="AA396" s="2075"/>
      <c r="AB396" s="2075"/>
      <c r="AC396" s="2077">
        <f>SUM(I396:AB396)</f>
        <v>6224</v>
      </c>
      <c r="AD396" s="2077"/>
      <c r="AE396" s="2077"/>
      <c r="AF396" s="2077"/>
      <c r="AG396" s="2078"/>
      <c r="AI396" s="18"/>
      <c r="AJ396" s="18"/>
      <c r="AK396" s="18"/>
      <c r="AL396" s="18"/>
      <c r="AM396" s="18"/>
      <c r="AN396" s="18"/>
      <c r="AO396" s="18"/>
      <c r="AP396" s="18"/>
      <c r="AQ396" s="18"/>
    </row>
    <row r="397" spans="1:43" s="584" customFormat="1" ht="42" customHeight="1" thickBot="1">
      <c r="A397" s="597"/>
      <c r="D397" s="2141" t="s">
        <v>98</v>
      </c>
      <c r="E397" s="2141"/>
      <c r="F397" s="2141"/>
      <c r="G397" s="2141"/>
      <c r="H397" s="2141"/>
      <c r="I397" s="2140">
        <v>0</v>
      </c>
      <c r="J397" s="1816"/>
      <c r="K397" s="1816"/>
      <c r="L397" s="1816"/>
      <c r="M397" s="1816"/>
      <c r="N397" s="1816">
        <v>0</v>
      </c>
      <c r="O397" s="1816"/>
      <c r="P397" s="1816"/>
      <c r="Q397" s="1816"/>
      <c r="R397" s="1816"/>
      <c r="S397" s="1816">
        <v>0</v>
      </c>
      <c r="T397" s="1816"/>
      <c r="U397" s="1816"/>
      <c r="V397" s="1816"/>
      <c r="W397" s="1816"/>
      <c r="X397" s="1816">
        <v>0</v>
      </c>
      <c r="Y397" s="1816"/>
      <c r="Z397" s="1816"/>
      <c r="AA397" s="1816"/>
      <c r="AB397" s="1816"/>
      <c r="AC397" s="1807">
        <f t="shared" ref="AC397:AC402" si="131">SUM(I397:AB397)</f>
        <v>0</v>
      </c>
      <c r="AD397" s="1807"/>
      <c r="AE397" s="1807"/>
      <c r="AF397" s="1807"/>
      <c r="AG397" s="1808"/>
      <c r="AI397" s="18"/>
      <c r="AJ397" s="18"/>
      <c r="AK397" s="18"/>
      <c r="AL397" s="18"/>
      <c r="AM397" s="18"/>
      <c r="AN397" s="18"/>
      <c r="AO397" s="18"/>
      <c r="AP397" s="18"/>
      <c r="AQ397" s="18"/>
    </row>
    <row r="398" spans="1:43" s="584" customFormat="1" ht="23.25" customHeight="1" thickBot="1">
      <c r="A398" s="597"/>
      <c r="D398" s="2141" t="s">
        <v>91</v>
      </c>
      <c r="E398" s="2141"/>
      <c r="F398" s="2141"/>
      <c r="G398" s="2141"/>
      <c r="H398" s="2141"/>
      <c r="I398" s="2140">
        <v>0</v>
      </c>
      <c r="J398" s="1816"/>
      <c r="K398" s="1816"/>
      <c r="L398" s="1816"/>
      <c r="M398" s="1816"/>
      <c r="N398" s="1816">
        <v>0</v>
      </c>
      <c r="O398" s="1816"/>
      <c r="P398" s="1816"/>
      <c r="Q398" s="1816"/>
      <c r="R398" s="1816"/>
      <c r="S398" s="1816">
        <v>0</v>
      </c>
      <c r="T398" s="1816"/>
      <c r="U398" s="1816"/>
      <c r="V398" s="1816"/>
      <c r="W398" s="1816"/>
      <c r="X398" s="1816">
        <v>0</v>
      </c>
      <c r="Y398" s="1816"/>
      <c r="Z398" s="1816"/>
      <c r="AA398" s="1816"/>
      <c r="AB398" s="1816"/>
      <c r="AC398" s="1807">
        <f t="shared" si="131"/>
        <v>0</v>
      </c>
      <c r="AD398" s="1807"/>
      <c r="AE398" s="1807"/>
      <c r="AF398" s="1807"/>
      <c r="AG398" s="1808"/>
      <c r="AI398" s="18"/>
      <c r="AJ398" s="18"/>
      <c r="AK398" s="18"/>
      <c r="AL398" s="18"/>
      <c r="AM398" s="18"/>
      <c r="AN398" s="18"/>
      <c r="AO398" s="18"/>
      <c r="AP398" s="18"/>
      <c r="AQ398" s="18"/>
    </row>
    <row r="399" spans="1:43" s="584" customFormat="1" ht="25.5" customHeight="1" thickBot="1">
      <c r="A399" s="597"/>
      <c r="D399" s="2141" t="s">
        <v>92</v>
      </c>
      <c r="E399" s="2141"/>
      <c r="F399" s="2141"/>
      <c r="G399" s="2141"/>
      <c r="H399" s="2141"/>
      <c r="I399" s="2140">
        <v>0</v>
      </c>
      <c r="J399" s="1816"/>
      <c r="K399" s="1816"/>
      <c r="L399" s="1816"/>
      <c r="M399" s="1816"/>
      <c r="N399" s="1816">
        <v>0</v>
      </c>
      <c r="O399" s="1816"/>
      <c r="P399" s="1816"/>
      <c r="Q399" s="1816"/>
      <c r="R399" s="1816"/>
      <c r="S399" s="1816">
        <v>0</v>
      </c>
      <c r="T399" s="1816"/>
      <c r="U399" s="1816"/>
      <c r="V399" s="1816"/>
      <c r="W399" s="1816"/>
      <c r="X399" s="1816">
        <v>0</v>
      </c>
      <c r="Y399" s="1816"/>
      <c r="Z399" s="1816"/>
      <c r="AA399" s="1816"/>
      <c r="AB399" s="1816"/>
      <c r="AC399" s="1807">
        <f t="shared" si="131"/>
        <v>0</v>
      </c>
      <c r="AD399" s="1807"/>
      <c r="AE399" s="1807"/>
      <c r="AF399" s="1807"/>
      <c r="AG399" s="1808"/>
      <c r="AI399" s="18"/>
      <c r="AJ399" s="18"/>
      <c r="AK399" s="18"/>
      <c r="AL399" s="18"/>
      <c r="AM399" s="18"/>
      <c r="AN399" s="18"/>
      <c r="AO399" s="18"/>
      <c r="AP399" s="18"/>
      <c r="AQ399" s="18"/>
    </row>
    <row r="400" spans="1:43" s="584" customFormat="1" ht="22.5" customHeight="1" thickBot="1">
      <c r="A400" s="597"/>
      <c r="D400" s="2141" t="s">
        <v>93</v>
      </c>
      <c r="E400" s="2141"/>
      <c r="F400" s="2141"/>
      <c r="G400" s="2141"/>
      <c r="H400" s="2141"/>
      <c r="I400" s="2140">
        <v>0</v>
      </c>
      <c r="J400" s="1816"/>
      <c r="K400" s="1816"/>
      <c r="L400" s="1816"/>
      <c r="M400" s="1816"/>
      <c r="N400" s="1816">
        <v>0</v>
      </c>
      <c r="O400" s="1816"/>
      <c r="P400" s="1816"/>
      <c r="Q400" s="1816"/>
      <c r="R400" s="1816"/>
      <c r="S400" s="1816">
        <v>0</v>
      </c>
      <c r="T400" s="1816"/>
      <c r="U400" s="1816"/>
      <c r="V400" s="1816"/>
      <c r="W400" s="1816"/>
      <c r="X400" s="1816">
        <v>0</v>
      </c>
      <c r="Y400" s="1816"/>
      <c r="Z400" s="1816"/>
      <c r="AA400" s="1816"/>
      <c r="AB400" s="1816"/>
      <c r="AC400" s="1807">
        <f t="shared" si="131"/>
        <v>0</v>
      </c>
      <c r="AD400" s="1807"/>
      <c r="AE400" s="1807"/>
      <c r="AF400" s="1807"/>
      <c r="AG400" s="1808"/>
      <c r="AI400" s="18"/>
      <c r="AJ400" s="18"/>
      <c r="AK400" s="18"/>
      <c r="AL400" s="18"/>
      <c r="AM400" s="18"/>
      <c r="AN400" s="18"/>
      <c r="AO400" s="18"/>
      <c r="AP400" s="18"/>
      <c r="AQ400" s="18"/>
    </row>
    <row r="401" spans="1:43" s="584" customFormat="1" ht="27.75" customHeight="1" thickBot="1">
      <c r="A401" s="597"/>
      <c r="D401" s="2141" t="s">
        <v>94</v>
      </c>
      <c r="E401" s="2141"/>
      <c r="F401" s="2141"/>
      <c r="G401" s="2141"/>
      <c r="H401" s="2141"/>
      <c r="I401" s="2140">
        <v>0</v>
      </c>
      <c r="J401" s="1816"/>
      <c r="K401" s="1816"/>
      <c r="L401" s="1816"/>
      <c r="M401" s="1816"/>
      <c r="N401" s="1816">
        <v>0</v>
      </c>
      <c r="O401" s="1816"/>
      <c r="P401" s="1816"/>
      <c r="Q401" s="1816"/>
      <c r="R401" s="1816"/>
      <c r="S401" s="1816">
        <v>0</v>
      </c>
      <c r="T401" s="1816"/>
      <c r="U401" s="1816"/>
      <c r="V401" s="1816"/>
      <c r="W401" s="1816"/>
      <c r="X401" s="1816">
        <v>0</v>
      </c>
      <c r="Y401" s="1816"/>
      <c r="Z401" s="1816"/>
      <c r="AA401" s="1816"/>
      <c r="AB401" s="1816"/>
      <c r="AC401" s="1807">
        <f t="shared" si="131"/>
        <v>0</v>
      </c>
      <c r="AD401" s="1807"/>
      <c r="AE401" s="1807"/>
      <c r="AF401" s="1807"/>
      <c r="AG401" s="1808"/>
      <c r="AI401" s="18"/>
      <c r="AJ401" s="18"/>
      <c r="AK401" s="18"/>
      <c r="AL401" s="18"/>
      <c r="AM401" s="18"/>
      <c r="AN401" s="18"/>
      <c r="AO401" s="18"/>
      <c r="AP401" s="18"/>
      <c r="AQ401" s="18"/>
    </row>
    <row r="402" spans="1:43" s="584" customFormat="1" ht="33.75" customHeight="1" thickBot="1">
      <c r="A402" s="597"/>
      <c r="D402" s="2141" t="s">
        <v>458</v>
      </c>
      <c r="E402" s="2141"/>
      <c r="F402" s="2141"/>
      <c r="G402" s="2141"/>
      <c r="H402" s="2141"/>
      <c r="I402" s="2140">
        <v>0</v>
      </c>
      <c r="J402" s="1816"/>
      <c r="K402" s="1816"/>
      <c r="L402" s="1816"/>
      <c r="M402" s="1816"/>
      <c r="N402" s="1816">
        <v>0</v>
      </c>
      <c r="O402" s="1816"/>
      <c r="P402" s="1816"/>
      <c r="Q402" s="1816"/>
      <c r="R402" s="1816"/>
      <c r="S402" s="1816">
        <v>0</v>
      </c>
      <c r="T402" s="1816"/>
      <c r="U402" s="1816"/>
      <c r="V402" s="1816"/>
      <c r="W402" s="1816"/>
      <c r="X402" s="1816">
        <v>0</v>
      </c>
      <c r="Y402" s="1816"/>
      <c r="Z402" s="1816"/>
      <c r="AA402" s="1816"/>
      <c r="AB402" s="1816"/>
      <c r="AC402" s="1807">
        <f t="shared" si="131"/>
        <v>0</v>
      </c>
      <c r="AD402" s="1807"/>
      <c r="AE402" s="1807"/>
      <c r="AF402" s="1807"/>
      <c r="AG402" s="1808"/>
      <c r="AI402" s="18"/>
      <c r="AJ402" s="18"/>
      <c r="AK402" s="18"/>
      <c r="AL402" s="18"/>
      <c r="AM402" s="18"/>
      <c r="AN402" s="18"/>
      <c r="AO402" s="18"/>
      <c r="AP402" s="18"/>
      <c r="AQ402" s="18"/>
    </row>
    <row r="403" spans="1:43" s="584" customFormat="1" ht="21.75" customHeight="1" thickBot="1">
      <c r="A403" s="597"/>
      <c r="D403" s="1995" t="s">
        <v>95</v>
      </c>
      <c r="E403" s="1995"/>
      <c r="F403" s="1995"/>
      <c r="G403" s="1995"/>
      <c r="H403" s="1995"/>
      <c r="I403" s="2137">
        <f t="shared" ref="I403" si="132">SUM(I396:M402)</f>
        <v>4833</v>
      </c>
      <c r="J403" s="2138"/>
      <c r="K403" s="2138"/>
      <c r="L403" s="2138"/>
      <c r="M403" s="2138"/>
      <c r="N403" s="2138">
        <f>SUM(N396:R402)</f>
        <v>1391</v>
      </c>
      <c r="O403" s="2138"/>
      <c r="P403" s="2138"/>
      <c r="Q403" s="2138"/>
      <c r="R403" s="2138"/>
      <c r="S403" s="2138">
        <f t="shared" ref="S403" si="133">SUM(S396:W402)</f>
        <v>0</v>
      </c>
      <c r="T403" s="2138"/>
      <c r="U403" s="2138"/>
      <c r="V403" s="2138"/>
      <c r="W403" s="2138"/>
      <c r="X403" s="2138">
        <f t="shared" ref="X403" si="134">SUM(X396:AB402)</f>
        <v>0</v>
      </c>
      <c r="Y403" s="2138"/>
      <c r="Z403" s="2138"/>
      <c r="AA403" s="2138"/>
      <c r="AB403" s="2138"/>
      <c r="AC403" s="2138">
        <f>SUM(AC396:AG402)</f>
        <v>6224</v>
      </c>
      <c r="AD403" s="2138"/>
      <c r="AE403" s="2138"/>
      <c r="AF403" s="2138"/>
      <c r="AG403" s="2139"/>
      <c r="AI403" s="18"/>
      <c r="AJ403" s="18"/>
      <c r="AK403" s="18"/>
      <c r="AL403" s="18"/>
      <c r="AM403" s="18"/>
      <c r="AN403" s="18"/>
      <c r="AO403" s="18"/>
      <c r="AP403" s="18"/>
      <c r="AQ403" s="18"/>
    </row>
    <row r="404" spans="1:43" s="584" customFormat="1" ht="14">
      <c r="A404" s="597"/>
      <c r="D404" s="773"/>
      <c r="E404" s="773"/>
      <c r="F404" s="773"/>
      <c r="G404" s="773"/>
      <c r="H404" s="773"/>
      <c r="I404" s="773"/>
      <c r="J404" s="773"/>
      <c r="K404" s="773"/>
      <c r="L404" s="773"/>
      <c r="M404" s="773"/>
      <c r="N404" s="773"/>
      <c r="O404" s="773"/>
      <c r="P404" s="773"/>
      <c r="Q404" s="773"/>
      <c r="R404" s="773"/>
      <c r="S404" s="773"/>
      <c r="T404" s="773"/>
      <c r="U404" s="773"/>
      <c r="V404" s="773"/>
      <c r="W404" s="773"/>
      <c r="X404" s="773"/>
      <c r="Y404" s="773"/>
      <c r="Z404" s="773"/>
      <c r="AA404" s="773"/>
      <c r="AB404" s="773"/>
      <c r="AC404" s="773"/>
      <c r="AD404" s="773"/>
      <c r="AE404" s="773"/>
      <c r="AF404" s="773"/>
      <c r="AG404" s="773"/>
      <c r="AI404" s="18"/>
      <c r="AJ404" s="18"/>
      <c r="AK404" s="18"/>
      <c r="AL404" s="18"/>
      <c r="AM404" s="18"/>
      <c r="AN404" s="18"/>
      <c r="AO404" s="18"/>
      <c r="AP404" s="18"/>
      <c r="AQ404" s="18"/>
    </row>
    <row r="405" spans="1:43" s="584" customFormat="1" ht="14">
      <c r="A405" s="597"/>
      <c r="D405" s="2159" t="s">
        <v>2920</v>
      </c>
      <c r="E405" s="2159"/>
      <c r="F405" s="2159"/>
      <c r="G405" s="2159"/>
      <c r="H405" s="2159"/>
      <c r="I405" s="2159"/>
      <c r="J405" s="2159"/>
      <c r="K405" s="2159"/>
      <c r="L405" s="2159"/>
      <c r="M405" s="2159"/>
      <c r="N405" s="2159"/>
      <c r="O405" s="2159"/>
      <c r="P405" s="2159"/>
      <c r="Q405" s="2159"/>
      <c r="R405" s="2159"/>
      <c r="S405" s="2159"/>
      <c r="T405" s="2159"/>
      <c r="U405" s="2159"/>
      <c r="V405" s="2159"/>
      <c r="W405" s="2159"/>
      <c r="X405" s="2159"/>
      <c r="Y405" s="2159"/>
      <c r="Z405" s="2159"/>
      <c r="AA405" s="2159"/>
      <c r="AB405" s="2159"/>
      <c r="AC405" s="2159"/>
      <c r="AD405" s="2159"/>
      <c r="AE405" s="2159"/>
      <c r="AF405" s="2159"/>
      <c r="AG405" s="2159"/>
      <c r="AI405" s="18"/>
      <c r="AJ405" s="18"/>
      <c r="AK405" s="18"/>
      <c r="AL405" s="18"/>
      <c r="AM405" s="18"/>
      <c r="AN405" s="18"/>
      <c r="AO405" s="18"/>
      <c r="AP405" s="18"/>
      <c r="AQ405" s="18"/>
    </row>
    <row r="406" spans="1:43" s="584" customFormat="1" ht="14">
      <c r="A406" s="597"/>
      <c r="D406" s="2159"/>
      <c r="E406" s="2159"/>
      <c r="F406" s="2159"/>
      <c r="G406" s="2159"/>
      <c r="H406" s="2159"/>
      <c r="I406" s="2159"/>
      <c r="J406" s="2159"/>
      <c r="K406" s="2159"/>
      <c r="L406" s="2159"/>
      <c r="M406" s="2159"/>
      <c r="N406" s="2159"/>
      <c r="O406" s="2159"/>
      <c r="P406" s="2159"/>
      <c r="Q406" s="2159"/>
      <c r="R406" s="2159"/>
      <c r="S406" s="2159"/>
      <c r="T406" s="2159"/>
      <c r="U406" s="2159"/>
      <c r="V406" s="2159"/>
      <c r="W406" s="2159"/>
      <c r="X406" s="2159"/>
      <c r="Y406" s="2159"/>
      <c r="Z406" s="2159"/>
      <c r="AA406" s="2159"/>
      <c r="AB406" s="2159"/>
      <c r="AC406" s="2159"/>
      <c r="AD406" s="2159"/>
      <c r="AE406" s="2159"/>
      <c r="AF406" s="2159"/>
      <c r="AG406" s="2159"/>
      <c r="AI406" s="18"/>
      <c r="AJ406" s="18"/>
      <c r="AK406" s="18"/>
      <c r="AL406" s="18"/>
      <c r="AM406" s="18"/>
      <c r="AN406" s="18"/>
      <c r="AO406" s="18"/>
      <c r="AP406" s="18"/>
      <c r="AQ406" s="18"/>
    </row>
    <row r="407" spans="1:43" s="584" customFormat="1" ht="14">
      <c r="A407" s="597"/>
      <c r="D407" s="773"/>
      <c r="E407" s="773"/>
      <c r="F407" s="773"/>
      <c r="G407" s="773"/>
      <c r="H407" s="773"/>
      <c r="I407" s="773"/>
      <c r="J407" s="773"/>
      <c r="K407" s="773"/>
      <c r="L407" s="773"/>
      <c r="M407" s="773"/>
      <c r="N407" s="773"/>
      <c r="O407" s="773"/>
      <c r="P407" s="773"/>
      <c r="Q407" s="773"/>
      <c r="R407" s="773"/>
      <c r="S407" s="773"/>
      <c r="T407" s="773"/>
      <c r="U407" s="773"/>
      <c r="V407" s="773"/>
      <c r="W407" s="773"/>
      <c r="X407" s="773"/>
      <c r="Y407" s="773"/>
      <c r="Z407" s="773"/>
      <c r="AA407" s="773"/>
      <c r="AB407" s="773"/>
      <c r="AC407" s="773"/>
      <c r="AD407" s="773"/>
      <c r="AE407" s="773"/>
      <c r="AF407" s="773"/>
      <c r="AG407" s="773"/>
      <c r="AI407" s="18"/>
      <c r="AJ407" s="18"/>
      <c r="AK407" s="18"/>
      <c r="AL407" s="18"/>
      <c r="AM407" s="18"/>
      <c r="AN407" s="18"/>
      <c r="AO407" s="18"/>
      <c r="AP407" s="18"/>
      <c r="AQ407" s="18"/>
    </row>
    <row r="408" spans="1:43" s="584" customFormat="1" ht="14">
      <c r="A408" s="597"/>
      <c r="D408" s="2101" t="s">
        <v>1366</v>
      </c>
      <c r="E408" s="2101"/>
      <c r="F408" s="2101"/>
      <c r="G408" s="2101"/>
      <c r="H408" s="2101"/>
      <c r="I408" s="2101"/>
      <c r="J408" s="2101"/>
      <c r="K408" s="2101"/>
      <c r="L408" s="2101"/>
      <c r="M408" s="2101"/>
      <c r="N408" s="2101"/>
      <c r="O408" s="2101"/>
      <c r="P408" s="2101"/>
      <c r="Q408" s="2101"/>
      <c r="R408" s="2101"/>
      <c r="S408" s="2101"/>
      <c r="T408" s="2101"/>
      <c r="U408" s="2101"/>
      <c r="V408" s="2101"/>
      <c r="W408" s="2101"/>
      <c r="X408" s="2101"/>
      <c r="Y408" s="2101"/>
      <c r="Z408" s="2101"/>
      <c r="AA408" s="2101"/>
      <c r="AB408" s="2101"/>
      <c r="AC408" s="2101"/>
      <c r="AD408" s="2101"/>
      <c r="AE408" s="2101"/>
      <c r="AF408" s="2101"/>
      <c r="AG408" s="2101"/>
      <c r="AI408" s="18"/>
      <c r="AJ408" s="18"/>
      <c r="AK408" s="18"/>
      <c r="AL408" s="18"/>
      <c r="AM408" s="18"/>
      <c r="AN408" s="18"/>
      <c r="AO408" s="18"/>
      <c r="AP408" s="18"/>
      <c r="AQ408" s="18"/>
    </row>
    <row r="409" spans="1:43" s="584" customFormat="1" ht="14">
      <c r="A409" s="597"/>
      <c r="D409" s="2101"/>
      <c r="E409" s="2101"/>
      <c r="F409" s="2101"/>
      <c r="G409" s="2101"/>
      <c r="H409" s="2101"/>
      <c r="I409" s="2101"/>
      <c r="J409" s="2101"/>
      <c r="K409" s="2101"/>
      <c r="L409" s="2101"/>
      <c r="M409" s="2101"/>
      <c r="N409" s="2101"/>
      <c r="O409" s="2101"/>
      <c r="P409" s="2101"/>
      <c r="Q409" s="2101"/>
      <c r="R409" s="2101"/>
      <c r="S409" s="2101"/>
      <c r="T409" s="2101"/>
      <c r="U409" s="2101"/>
      <c r="V409" s="2101"/>
      <c r="W409" s="2101"/>
      <c r="X409" s="2101"/>
      <c r="Y409" s="2101"/>
      <c r="Z409" s="2101"/>
      <c r="AA409" s="2101"/>
      <c r="AB409" s="2101"/>
      <c r="AC409" s="2101"/>
      <c r="AD409" s="2101"/>
      <c r="AE409" s="2101"/>
      <c r="AF409" s="2101"/>
      <c r="AG409" s="2101"/>
      <c r="AI409" s="18"/>
      <c r="AJ409" s="18"/>
      <c r="AK409" s="18"/>
      <c r="AL409" s="18"/>
      <c r="AM409" s="18"/>
      <c r="AN409" s="18"/>
      <c r="AO409" s="18"/>
      <c r="AP409" s="18"/>
      <c r="AQ409" s="18"/>
    </row>
    <row r="410" spans="1:43" s="584" customFormat="1" ht="14.5" thickBot="1">
      <c r="A410" s="597"/>
      <c r="AI410" s="18"/>
      <c r="AJ410" s="18"/>
      <c r="AK410" s="18"/>
      <c r="AL410" s="18"/>
      <c r="AM410" s="18"/>
      <c r="AN410" s="18"/>
      <c r="AO410" s="18"/>
      <c r="AP410" s="18"/>
      <c r="AQ410" s="18"/>
    </row>
    <row r="411" spans="1:43" s="584" customFormat="1" ht="19.5" customHeight="1" thickBot="1">
      <c r="A411" s="597"/>
      <c r="D411" s="1921" t="s">
        <v>86</v>
      </c>
      <c r="E411" s="1921"/>
      <c r="F411" s="1921"/>
      <c r="G411" s="1921"/>
      <c r="H411" s="1921"/>
      <c r="I411" s="1921"/>
      <c r="J411" s="1921"/>
      <c r="K411" s="1921"/>
      <c r="L411" s="1921"/>
      <c r="M411" s="1921"/>
      <c r="N411" s="1921"/>
      <c r="O411" s="1921"/>
      <c r="P411" s="1921"/>
      <c r="Q411" s="1921"/>
      <c r="R411" s="1921"/>
      <c r="S411" s="1921"/>
      <c r="T411" s="1887" t="s">
        <v>2</v>
      </c>
      <c r="U411" s="1888"/>
      <c r="V411" s="1888"/>
      <c r="W411" s="1888"/>
      <c r="X411" s="1888"/>
      <c r="Y411" s="1888"/>
      <c r="Z411" s="1889"/>
      <c r="AA411" s="2042" t="s">
        <v>2915</v>
      </c>
      <c r="AB411" s="2043"/>
      <c r="AC411" s="2043"/>
      <c r="AD411" s="2043"/>
      <c r="AE411" s="2043"/>
      <c r="AF411" s="2043"/>
      <c r="AG411" s="2044"/>
      <c r="AI411" s="18"/>
      <c r="AJ411" s="18"/>
      <c r="AK411" s="18"/>
      <c r="AL411" s="18"/>
      <c r="AM411" s="18"/>
      <c r="AN411" s="18"/>
      <c r="AO411" s="18"/>
      <c r="AP411" s="18"/>
      <c r="AQ411" s="18"/>
    </row>
    <row r="412" spans="1:43" s="584" customFormat="1" ht="19.5" customHeight="1">
      <c r="A412" s="597"/>
      <c r="D412" s="2129" t="s">
        <v>100</v>
      </c>
      <c r="E412" s="2129"/>
      <c r="F412" s="2129"/>
      <c r="G412" s="2129"/>
      <c r="H412" s="2129"/>
      <c r="I412" s="2129"/>
      <c r="J412" s="2129"/>
      <c r="K412" s="2129"/>
      <c r="L412" s="2129"/>
      <c r="M412" s="2129"/>
      <c r="N412" s="2129"/>
      <c r="O412" s="2129"/>
      <c r="P412" s="2129"/>
      <c r="Q412" s="2129"/>
      <c r="R412" s="2129"/>
      <c r="S412" s="2129"/>
      <c r="T412" s="1934" t="s">
        <v>1339</v>
      </c>
      <c r="U412" s="1935"/>
      <c r="V412" s="1935"/>
      <c r="W412" s="1935"/>
      <c r="X412" s="1935"/>
      <c r="Y412" s="1935"/>
      <c r="Z412" s="1936"/>
      <c r="AA412" s="1934" t="s">
        <v>1339</v>
      </c>
      <c r="AB412" s="1853"/>
      <c r="AC412" s="1853"/>
      <c r="AD412" s="1853"/>
      <c r="AE412" s="1853"/>
      <c r="AF412" s="1853"/>
      <c r="AG412" s="1854"/>
      <c r="AI412" s="18"/>
      <c r="AJ412" s="18"/>
      <c r="AK412" s="18"/>
      <c r="AL412" s="18"/>
      <c r="AM412" s="18"/>
      <c r="AN412" s="18"/>
      <c r="AO412" s="18"/>
      <c r="AP412" s="18"/>
      <c r="AQ412" s="18"/>
    </row>
    <row r="413" spans="1:43" s="584" customFormat="1" ht="19.5" customHeight="1" thickBot="1">
      <c r="A413" s="597"/>
      <c r="D413" s="1996" t="s">
        <v>101</v>
      </c>
      <c r="E413" s="1996"/>
      <c r="F413" s="1996"/>
      <c r="G413" s="1996"/>
      <c r="H413" s="1996"/>
      <c r="I413" s="1996"/>
      <c r="J413" s="1996"/>
      <c r="K413" s="1996"/>
      <c r="L413" s="1996"/>
      <c r="M413" s="1996"/>
      <c r="N413" s="1996"/>
      <c r="O413" s="1996"/>
      <c r="P413" s="1996"/>
      <c r="Q413" s="1996"/>
      <c r="R413" s="1996"/>
      <c r="S413" s="1996"/>
      <c r="T413" s="2324" t="s">
        <v>1339</v>
      </c>
      <c r="U413" s="2325"/>
      <c r="V413" s="2325"/>
      <c r="W413" s="2325"/>
      <c r="X413" s="2325"/>
      <c r="Y413" s="2325"/>
      <c r="Z413" s="2326"/>
      <c r="AA413" s="2058" t="s">
        <v>1339</v>
      </c>
      <c r="AB413" s="2059"/>
      <c r="AC413" s="2059"/>
      <c r="AD413" s="2059"/>
      <c r="AE413" s="2059"/>
      <c r="AF413" s="2059"/>
      <c r="AG413" s="2060"/>
      <c r="AI413" s="18"/>
      <c r="AJ413" s="18"/>
      <c r="AK413" s="18"/>
      <c r="AL413" s="18"/>
      <c r="AM413" s="18"/>
      <c r="AN413" s="18"/>
      <c r="AO413" s="18"/>
      <c r="AP413" s="18"/>
      <c r="AQ413" s="18"/>
    </row>
    <row r="414" spans="1:43" s="773" customFormat="1" ht="14">
      <c r="A414" s="784"/>
      <c r="AI414" s="786"/>
      <c r="AJ414" s="786"/>
      <c r="AK414" s="786"/>
      <c r="AL414" s="786"/>
      <c r="AM414" s="786"/>
      <c r="AN414" s="786"/>
      <c r="AO414" s="786"/>
      <c r="AP414" s="786"/>
      <c r="AQ414" s="786"/>
    </row>
    <row r="415" spans="1:43" s="584" customFormat="1" ht="14">
      <c r="A415" s="597"/>
      <c r="D415" s="2126"/>
      <c r="E415" s="2126"/>
      <c r="F415" s="2126"/>
      <c r="G415" s="2126"/>
      <c r="H415" s="2126"/>
      <c r="I415" s="2126"/>
      <c r="J415" s="2126"/>
      <c r="K415" s="2126"/>
      <c r="L415" s="2126"/>
      <c r="M415" s="2126"/>
      <c r="N415" s="2126"/>
      <c r="O415" s="2126"/>
      <c r="P415" s="2126"/>
      <c r="Q415" s="2126"/>
      <c r="R415" s="2126"/>
      <c r="S415" s="2126"/>
      <c r="T415" s="2126"/>
      <c r="U415" s="2126"/>
      <c r="V415" s="2126"/>
      <c r="W415" s="2126"/>
      <c r="X415" s="2126"/>
      <c r="Y415" s="2126"/>
      <c r="Z415" s="2126"/>
      <c r="AA415" s="2126"/>
      <c r="AB415" s="2126"/>
      <c r="AC415" s="2126"/>
      <c r="AD415" s="2126"/>
      <c r="AE415" s="2126"/>
      <c r="AF415" s="2126"/>
      <c r="AG415" s="2126"/>
      <c r="AI415" s="18"/>
      <c r="AJ415" s="18"/>
      <c r="AK415" s="18"/>
      <c r="AL415" s="18"/>
      <c r="AM415" s="18"/>
      <c r="AN415" s="18"/>
      <c r="AO415" s="18"/>
      <c r="AP415" s="18"/>
      <c r="AQ415" s="18"/>
    </row>
    <row r="416" spans="1:43" s="584" customFormat="1" ht="14">
      <c r="A416" s="597"/>
      <c r="D416" s="908"/>
      <c r="AI416" s="18"/>
      <c r="AJ416" s="18"/>
      <c r="AK416" s="18"/>
      <c r="AL416" s="18"/>
      <c r="AM416" s="18"/>
      <c r="AN416" s="18"/>
      <c r="AO416" s="18"/>
      <c r="AP416" s="18"/>
      <c r="AQ416" s="18"/>
    </row>
    <row r="417" spans="1:43" s="584" customFormat="1" ht="14">
      <c r="A417" s="597"/>
      <c r="D417" s="582" t="s">
        <v>2929</v>
      </c>
      <c r="AI417" s="18"/>
      <c r="AJ417" s="18"/>
      <c r="AK417" s="18"/>
      <c r="AL417" s="18"/>
      <c r="AM417" s="18"/>
      <c r="AN417" s="18"/>
      <c r="AO417" s="18"/>
      <c r="AP417" s="18"/>
      <c r="AQ417" s="18"/>
    </row>
    <row r="418" spans="1:43" s="584" customFormat="1" ht="14">
      <c r="A418" s="597"/>
      <c r="AI418" s="18"/>
      <c r="AJ418" s="18"/>
      <c r="AK418" s="18"/>
      <c r="AL418" s="18"/>
      <c r="AM418" s="18"/>
      <c r="AN418" s="18"/>
      <c r="AO418" s="18"/>
      <c r="AP418" s="18"/>
      <c r="AQ418" s="18"/>
    </row>
    <row r="419" spans="1:43" s="584" customFormat="1" ht="14">
      <c r="A419" s="597"/>
      <c r="D419" s="2323" t="s">
        <v>1367</v>
      </c>
      <c r="E419" s="2323"/>
      <c r="F419" s="2323"/>
      <c r="G419" s="2323"/>
      <c r="H419" s="2323"/>
      <c r="I419" s="2323"/>
      <c r="J419" s="2323"/>
      <c r="K419" s="2323"/>
      <c r="L419" s="2323"/>
      <c r="M419" s="2323"/>
      <c r="N419" s="2323"/>
      <c r="O419" s="2323"/>
      <c r="P419" s="2323"/>
      <c r="Q419" s="2323"/>
      <c r="R419" s="2323"/>
      <c r="S419" s="2323"/>
      <c r="T419" s="2323"/>
      <c r="U419" s="2323"/>
      <c r="V419" s="2323"/>
      <c r="W419" s="2323"/>
      <c r="X419" s="2323"/>
      <c r="Y419" s="2323"/>
      <c r="Z419" s="2323"/>
      <c r="AA419" s="2323"/>
      <c r="AB419" s="2323"/>
      <c r="AC419" s="2323"/>
      <c r="AD419" s="2323"/>
      <c r="AE419" s="2323"/>
      <c r="AF419" s="2323"/>
      <c r="AG419" s="2323"/>
      <c r="AI419" s="18"/>
      <c r="AJ419" s="18"/>
      <c r="AK419" s="18"/>
      <c r="AL419" s="18"/>
      <c r="AM419" s="18"/>
      <c r="AN419" s="18"/>
      <c r="AO419" s="18"/>
      <c r="AP419" s="18"/>
      <c r="AQ419" s="18"/>
    </row>
    <row r="420" spans="1:43" s="584" customFormat="1" ht="14.5" thickBot="1">
      <c r="A420" s="597"/>
      <c r="AI420" s="18"/>
      <c r="AJ420" s="18"/>
      <c r="AK420" s="18"/>
      <c r="AL420" s="18"/>
      <c r="AM420" s="18"/>
      <c r="AN420" s="18"/>
      <c r="AO420" s="18"/>
      <c r="AP420" s="18"/>
      <c r="AQ420" s="18"/>
    </row>
    <row r="421" spans="1:43" s="584" customFormat="1" ht="14.5" thickBot="1">
      <c r="A421" s="597"/>
      <c r="D421" s="1921" t="s">
        <v>122</v>
      </c>
      <c r="E421" s="1921"/>
      <c r="F421" s="1921"/>
      <c r="G421" s="1921"/>
      <c r="H421" s="1921"/>
      <c r="I421" s="1921" t="s">
        <v>2</v>
      </c>
      <c r="J421" s="1921"/>
      <c r="K421" s="1921"/>
      <c r="L421" s="1921"/>
      <c r="M421" s="1921"/>
      <c r="N421" s="1921"/>
      <c r="O421" s="1921"/>
      <c r="P421" s="1921"/>
      <c r="Q421" s="1921"/>
      <c r="R421" s="1921"/>
      <c r="S421" s="1921"/>
      <c r="T421" s="1921"/>
      <c r="U421" s="1921"/>
      <c r="V421" s="1921"/>
      <c r="W421" s="1921"/>
      <c r="X421" s="1921"/>
      <c r="Y421" s="1921"/>
      <c r="Z421" s="1921"/>
      <c r="AA421" s="1921"/>
      <c r="AB421" s="1921"/>
      <c r="AC421" s="1921"/>
      <c r="AD421" s="1921"/>
      <c r="AE421" s="1921"/>
      <c r="AF421" s="1921"/>
      <c r="AG421" s="1921"/>
      <c r="AI421" s="18"/>
      <c r="AJ421" s="18"/>
      <c r="AK421" s="18"/>
      <c r="AL421" s="18"/>
      <c r="AM421" s="18"/>
      <c r="AN421" s="18"/>
      <c r="AO421" s="18"/>
      <c r="AP421" s="18"/>
      <c r="AQ421" s="18"/>
    </row>
    <row r="422" spans="1:43" s="584" customFormat="1" ht="48" customHeight="1" thickTop="1" thickBot="1">
      <c r="A422" s="597"/>
      <c r="D422" s="1921"/>
      <c r="E422" s="1921"/>
      <c r="F422" s="1921"/>
      <c r="G422" s="1921"/>
      <c r="H422" s="1921"/>
      <c r="I422" s="1851" t="s">
        <v>87</v>
      </c>
      <c r="J422" s="1851"/>
      <c r="K422" s="1851"/>
      <c r="L422" s="1851"/>
      <c r="M422" s="1851"/>
      <c r="N422" s="1851" t="s">
        <v>455</v>
      </c>
      <c r="O422" s="1851"/>
      <c r="P422" s="1851"/>
      <c r="Q422" s="1851"/>
      <c r="R422" s="1851"/>
      <c r="S422" s="1851" t="s">
        <v>459</v>
      </c>
      <c r="T422" s="1851"/>
      <c r="U422" s="1851"/>
      <c r="V422" s="1851"/>
      <c r="W422" s="1851"/>
      <c r="X422" s="1851" t="s">
        <v>457</v>
      </c>
      <c r="Y422" s="1851"/>
      <c r="Z422" s="1851"/>
      <c r="AA422" s="1851"/>
      <c r="AB422" s="1851"/>
      <c r="AC422" s="1851" t="s">
        <v>89</v>
      </c>
      <c r="AD422" s="1851"/>
      <c r="AE422" s="1851"/>
      <c r="AF422" s="1851"/>
      <c r="AG422" s="1851"/>
      <c r="AI422" s="591" t="s">
        <v>123</v>
      </c>
      <c r="AJ422" s="594" t="s">
        <v>455</v>
      </c>
      <c r="AK422" s="591" t="s">
        <v>459</v>
      </c>
      <c r="AL422" s="594" t="s">
        <v>457</v>
      </c>
      <c r="AM422" s="591" t="s">
        <v>89</v>
      </c>
      <c r="AN422" s="18"/>
      <c r="AO422" s="591" t="s">
        <v>89</v>
      </c>
      <c r="AP422" s="18"/>
      <c r="AQ422" s="18"/>
    </row>
    <row r="423" spans="1:43" s="584" customFormat="1" ht="37.5" customHeight="1">
      <c r="A423" s="597"/>
      <c r="D423" s="1809" t="s">
        <v>125</v>
      </c>
      <c r="E423" s="1810"/>
      <c r="F423" s="1810"/>
      <c r="G423" s="1810"/>
      <c r="H423" s="1811"/>
      <c r="I423" s="2074">
        <v>0</v>
      </c>
      <c r="J423" s="2075"/>
      <c r="K423" s="2075"/>
      <c r="L423" s="2075"/>
      <c r="M423" s="2075"/>
      <c r="N423" s="2075">
        <v>0</v>
      </c>
      <c r="O423" s="2075"/>
      <c r="P423" s="2075"/>
      <c r="Q423" s="2075"/>
      <c r="R423" s="2075"/>
      <c r="S423" s="2075">
        <v>0</v>
      </c>
      <c r="T423" s="2075"/>
      <c r="U423" s="2075"/>
      <c r="V423" s="2075"/>
      <c r="W423" s="2075"/>
      <c r="X423" s="2075">
        <v>0</v>
      </c>
      <c r="Y423" s="2075"/>
      <c r="Z423" s="2075"/>
      <c r="AA423" s="2075"/>
      <c r="AB423" s="2075"/>
      <c r="AC423" s="2077">
        <f>SUM(I423:AB423)</f>
        <v>0</v>
      </c>
      <c r="AD423" s="2077"/>
      <c r="AE423" s="2077"/>
      <c r="AF423" s="2077"/>
      <c r="AG423" s="2078"/>
      <c r="AI423" s="612"/>
      <c r="AJ423" s="613"/>
      <c r="AK423" s="613"/>
      <c r="AL423" s="613"/>
      <c r="AM423" s="614">
        <f t="shared" ref="AM423:AM428" si="135">SUM(I423:AB423)-AC423</f>
        <v>0</v>
      </c>
      <c r="AN423" s="18"/>
      <c r="AO423" s="620">
        <f>AC423-BS!$E$63-BS!$E$51</f>
        <v>0</v>
      </c>
      <c r="AP423" s="18"/>
      <c r="AQ423" s="18"/>
    </row>
    <row r="424" spans="1:43" s="584" customFormat="1" ht="45.75" customHeight="1">
      <c r="A424" s="597"/>
      <c r="D424" s="1825" t="s">
        <v>1722</v>
      </c>
      <c r="E424" s="1826"/>
      <c r="F424" s="1826"/>
      <c r="G424" s="1826"/>
      <c r="H424" s="1827"/>
      <c r="I424" s="2140">
        <v>0</v>
      </c>
      <c r="J424" s="1816"/>
      <c r="K424" s="1816"/>
      <c r="L424" s="1816"/>
      <c r="M424" s="1816"/>
      <c r="N424" s="1805">
        <v>0</v>
      </c>
      <c r="O424" s="1805"/>
      <c r="P424" s="1805"/>
      <c r="Q424" s="1805"/>
      <c r="R424" s="1805"/>
      <c r="S424" s="1805">
        <v>0</v>
      </c>
      <c r="T424" s="1805"/>
      <c r="U424" s="1805"/>
      <c r="V424" s="1805"/>
      <c r="W424" s="1805"/>
      <c r="X424" s="1805">
        <v>0</v>
      </c>
      <c r="Y424" s="1805"/>
      <c r="Z424" s="1805"/>
      <c r="AA424" s="1805"/>
      <c r="AB424" s="1805"/>
      <c r="AC424" s="1807">
        <f t="shared" ref="AC424:AC427" si="136">SUM(I424:AB424)</f>
        <v>0</v>
      </c>
      <c r="AD424" s="1807"/>
      <c r="AE424" s="1807"/>
      <c r="AF424" s="1807"/>
      <c r="AG424" s="1808"/>
      <c r="AI424" s="606"/>
      <c r="AJ424" s="607"/>
      <c r="AK424" s="607"/>
      <c r="AL424" s="607"/>
      <c r="AM424" s="608">
        <f t="shared" si="135"/>
        <v>0</v>
      </c>
      <c r="AN424" s="18"/>
      <c r="AO424" s="615">
        <f>AC424-BS!$E$64-BS!$E$65-BS!$E$52-BS!$E$53</f>
        <v>0</v>
      </c>
      <c r="AP424" s="18"/>
      <c r="AQ424" s="18"/>
    </row>
    <row r="425" spans="1:43" s="584" customFormat="1" ht="37.5" customHeight="1">
      <c r="A425" s="597"/>
      <c r="D425" s="1825" t="s">
        <v>1723</v>
      </c>
      <c r="E425" s="1826"/>
      <c r="F425" s="1826"/>
      <c r="G425" s="1826"/>
      <c r="H425" s="1827"/>
      <c r="I425" s="2140">
        <v>0</v>
      </c>
      <c r="J425" s="1816"/>
      <c r="K425" s="1816"/>
      <c r="L425" s="1816"/>
      <c r="M425" s="1816"/>
      <c r="N425" s="1805">
        <v>0</v>
      </c>
      <c r="O425" s="1805"/>
      <c r="P425" s="1805"/>
      <c r="Q425" s="1805"/>
      <c r="R425" s="1805"/>
      <c r="S425" s="1805">
        <v>0</v>
      </c>
      <c r="T425" s="1805"/>
      <c r="U425" s="1805"/>
      <c r="V425" s="1805"/>
      <c r="W425" s="1805"/>
      <c r="X425" s="1805">
        <v>0</v>
      </c>
      <c r="Y425" s="1805"/>
      <c r="Z425" s="1805"/>
      <c r="AA425" s="1805"/>
      <c r="AB425" s="1805"/>
      <c r="AC425" s="1807">
        <f t="shared" si="136"/>
        <v>0</v>
      </c>
      <c r="AD425" s="1807"/>
      <c r="AE425" s="1807"/>
      <c r="AF425" s="1807"/>
      <c r="AG425" s="1808"/>
      <c r="AI425" s="606"/>
      <c r="AJ425" s="607"/>
      <c r="AK425" s="607"/>
      <c r="AL425" s="607"/>
      <c r="AM425" s="608">
        <f t="shared" si="135"/>
        <v>0</v>
      </c>
      <c r="AN425" s="18"/>
      <c r="AO425" s="615">
        <f>AC425-BS!$E$68-BS!$E$69-BS!$E$57-BS!$E$56</f>
        <v>0</v>
      </c>
      <c r="AP425" s="18"/>
      <c r="AQ425" s="18"/>
    </row>
    <row r="426" spans="1:43" s="584" customFormat="1" ht="37.5" customHeight="1">
      <c r="A426" s="597"/>
      <c r="D426" s="1825" t="s">
        <v>127</v>
      </c>
      <c r="E426" s="1826"/>
      <c r="F426" s="1826"/>
      <c r="G426" s="1826"/>
      <c r="H426" s="1827"/>
      <c r="I426" s="2140">
        <v>0</v>
      </c>
      <c r="J426" s="1816"/>
      <c r="K426" s="1816"/>
      <c r="L426" s="1816"/>
      <c r="M426" s="1816"/>
      <c r="N426" s="1805">
        <v>0</v>
      </c>
      <c r="O426" s="1805"/>
      <c r="P426" s="1805"/>
      <c r="Q426" s="1805"/>
      <c r="R426" s="1805"/>
      <c r="S426" s="1805">
        <v>0</v>
      </c>
      <c r="T426" s="1805"/>
      <c r="U426" s="1805"/>
      <c r="V426" s="1805"/>
      <c r="W426" s="1805"/>
      <c r="X426" s="1805">
        <v>0</v>
      </c>
      <c r="Y426" s="1805"/>
      <c r="Z426" s="1805"/>
      <c r="AA426" s="1805"/>
      <c r="AB426" s="1805"/>
      <c r="AC426" s="1807">
        <f t="shared" si="136"/>
        <v>0</v>
      </c>
      <c r="AD426" s="1807"/>
      <c r="AE426" s="1807"/>
      <c r="AF426" s="1807"/>
      <c r="AG426" s="1808"/>
      <c r="AI426" s="606"/>
      <c r="AJ426" s="607"/>
      <c r="AK426" s="607"/>
      <c r="AL426" s="607"/>
      <c r="AM426" s="608">
        <f t="shared" si="135"/>
        <v>0</v>
      </c>
      <c r="AN426" s="18"/>
      <c r="AO426" s="615">
        <f>AC426-BS!$E$70-BS!$E$58</f>
        <v>0</v>
      </c>
      <c r="AP426" s="18"/>
      <c r="AQ426" s="18"/>
    </row>
    <row r="427" spans="1:43" s="584" customFormat="1" ht="37.5" customHeight="1">
      <c r="A427" s="597"/>
      <c r="D427" s="1825" t="s">
        <v>128</v>
      </c>
      <c r="E427" s="1826"/>
      <c r="F427" s="1826"/>
      <c r="G427" s="1826"/>
      <c r="H427" s="1827"/>
      <c r="I427" s="2140">
        <v>9730</v>
      </c>
      <c r="J427" s="1816"/>
      <c r="K427" s="1816"/>
      <c r="L427" s="1816"/>
      <c r="M427" s="1816"/>
      <c r="N427" s="1805">
        <v>0</v>
      </c>
      <c r="O427" s="1805"/>
      <c r="P427" s="1805"/>
      <c r="Q427" s="1805"/>
      <c r="R427" s="1805"/>
      <c r="S427" s="1805">
        <v>-535</v>
      </c>
      <c r="T427" s="1805"/>
      <c r="U427" s="1805"/>
      <c r="V427" s="1805"/>
      <c r="W427" s="1805"/>
      <c r="X427" s="1805">
        <v>0</v>
      </c>
      <c r="Y427" s="1805"/>
      <c r="Z427" s="1805"/>
      <c r="AA427" s="1805"/>
      <c r="AB427" s="1805"/>
      <c r="AC427" s="1807">
        <f t="shared" si="136"/>
        <v>9195</v>
      </c>
      <c r="AD427" s="1807"/>
      <c r="AE427" s="1807"/>
      <c r="AF427" s="1807"/>
      <c r="AG427" s="1808"/>
      <c r="AI427" s="606"/>
      <c r="AJ427" s="607"/>
      <c r="AK427" s="607"/>
      <c r="AL427" s="607"/>
      <c r="AM427" s="608">
        <f t="shared" si="135"/>
        <v>0</v>
      </c>
      <c r="AN427" s="18"/>
      <c r="AO427" s="615">
        <f>AC427-BS!E54-BS!E55-BS!E58-BS!E59-BS!E61-BS!E67-BS!E71-BS!E72-BS!E73-BS!E74</f>
        <v>0</v>
      </c>
      <c r="AP427" s="18"/>
      <c r="AQ427" s="18"/>
    </row>
    <row r="428" spans="1:43" s="584" customFormat="1" ht="27.75" customHeight="1" thickBot="1">
      <c r="A428" s="597"/>
      <c r="D428" s="1894" t="s">
        <v>129</v>
      </c>
      <c r="E428" s="1894"/>
      <c r="F428" s="1894"/>
      <c r="G428" s="1894"/>
      <c r="H428" s="1894"/>
      <c r="I428" s="2137">
        <f>SUM(I423:M427)</f>
        <v>9730</v>
      </c>
      <c r="J428" s="2138"/>
      <c r="K428" s="2138"/>
      <c r="L428" s="2138"/>
      <c r="M428" s="2138"/>
      <c r="N428" s="2138">
        <f>SUM(N423:R427)</f>
        <v>0</v>
      </c>
      <c r="O428" s="2138"/>
      <c r="P428" s="2138"/>
      <c r="Q428" s="2138"/>
      <c r="R428" s="2138"/>
      <c r="S428" s="2138">
        <f>SUM(S423:W427)</f>
        <v>-535</v>
      </c>
      <c r="T428" s="2138"/>
      <c r="U428" s="2138"/>
      <c r="V428" s="2138"/>
      <c r="W428" s="2138"/>
      <c r="X428" s="2138">
        <f>SUM(X423:AB427)</f>
        <v>0</v>
      </c>
      <c r="Y428" s="2138"/>
      <c r="Z428" s="2138"/>
      <c r="AA428" s="2138"/>
      <c r="AB428" s="2138"/>
      <c r="AC428" s="2138">
        <f>SUM(AC423:AG427)</f>
        <v>9195</v>
      </c>
      <c r="AD428" s="2138"/>
      <c r="AE428" s="2138"/>
      <c r="AF428" s="2138"/>
      <c r="AG428" s="2139"/>
      <c r="AI428" s="609">
        <f>SUM(I421:M427)-I428</f>
        <v>0</v>
      </c>
      <c r="AJ428" s="610">
        <f>SUM(N423:R427)-N428</f>
        <v>0</v>
      </c>
      <c r="AK428" s="610">
        <f>SUM(S423:W427)-S428</f>
        <v>0</v>
      </c>
      <c r="AL428" s="610">
        <f>SUM(X423:AB427)-X428</f>
        <v>0</v>
      </c>
      <c r="AM428" s="611">
        <f t="shared" si="135"/>
        <v>0</v>
      </c>
      <c r="AN428" s="18"/>
      <c r="AO428" s="617">
        <f>AC428-BS!$E$50-BS!$E$62</f>
        <v>0</v>
      </c>
      <c r="AP428" s="18"/>
      <c r="AQ428" s="18"/>
    </row>
    <row r="429" spans="1:43" s="773" customFormat="1" ht="14.5" thickBot="1">
      <c r="A429" s="784"/>
      <c r="AI429" s="786"/>
      <c r="AJ429" s="786"/>
      <c r="AK429" s="786"/>
      <c r="AL429" s="786"/>
      <c r="AM429" s="786"/>
      <c r="AN429" s="786"/>
      <c r="AO429" s="786"/>
      <c r="AP429" s="786"/>
      <c r="AQ429" s="786"/>
    </row>
    <row r="430" spans="1:43" s="584" customFormat="1" ht="14.5" thickBot="1">
      <c r="A430" s="597"/>
      <c r="D430" s="1921" t="s">
        <v>122</v>
      </c>
      <c r="E430" s="1921"/>
      <c r="F430" s="1921"/>
      <c r="G430" s="1921"/>
      <c r="H430" s="1921"/>
      <c r="I430" s="1921" t="s">
        <v>3</v>
      </c>
      <c r="J430" s="1921"/>
      <c r="K430" s="1921"/>
      <c r="L430" s="1921"/>
      <c r="M430" s="1921"/>
      <c r="N430" s="1921"/>
      <c r="O430" s="1921"/>
      <c r="P430" s="1921"/>
      <c r="Q430" s="1921"/>
      <c r="R430" s="1921"/>
      <c r="S430" s="1921"/>
      <c r="T430" s="1921"/>
      <c r="U430" s="1921"/>
      <c r="V430" s="1921"/>
      <c r="W430" s="1921"/>
      <c r="X430" s="1921"/>
      <c r="Y430" s="1921"/>
      <c r="Z430" s="1921"/>
      <c r="AA430" s="1921"/>
      <c r="AB430" s="1921"/>
      <c r="AC430" s="1921"/>
      <c r="AD430" s="1921"/>
      <c r="AE430" s="1921"/>
      <c r="AF430" s="1921"/>
      <c r="AG430" s="1921"/>
      <c r="AI430" s="18"/>
      <c r="AJ430" s="18"/>
      <c r="AK430" s="18"/>
      <c r="AL430" s="18"/>
      <c r="AM430" s="18"/>
      <c r="AN430" s="18"/>
      <c r="AO430" s="18"/>
      <c r="AP430" s="18"/>
      <c r="AQ430" s="18"/>
    </row>
    <row r="431" spans="1:43" s="584" customFormat="1" ht="47.25" customHeight="1" thickBot="1">
      <c r="A431" s="597"/>
      <c r="D431" s="1921"/>
      <c r="E431" s="1921"/>
      <c r="F431" s="1921"/>
      <c r="G431" s="1921"/>
      <c r="H431" s="1921"/>
      <c r="I431" s="1851" t="s">
        <v>87</v>
      </c>
      <c r="J431" s="1851"/>
      <c r="K431" s="1851"/>
      <c r="L431" s="1851"/>
      <c r="M431" s="1851"/>
      <c r="N431" s="1851" t="s">
        <v>455</v>
      </c>
      <c r="O431" s="1851"/>
      <c r="P431" s="1851"/>
      <c r="Q431" s="1851"/>
      <c r="R431" s="1851"/>
      <c r="S431" s="1851" t="s">
        <v>459</v>
      </c>
      <c r="T431" s="1851"/>
      <c r="U431" s="1851"/>
      <c r="V431" s="1851"/>
      <c r="W431" s="1851"/>
      <c r="X431" s="1851" t="s">
        <v>457</v>
      </c>
      <c r="Y431" s="1851"/>
      <c r="Z431" s="1851"/>
      <c r="AA431" s="1851"/>
      <c r="AB431" s="1851"/>
      <c r="AC431" s="1851" t="s">
        <v>89</v>
      </c>
      <c r="AD431" s="1851"/>
      <c r="AE431" s="1851"/>
      <c r="AF431" s="1851"/>
      <c r="AG431" s="1851"/>
      <c r="AI431" s="18"/>
      <c r="AJ431" s="18"/>
      <c r="AK431" s="18"/>
      <c r="AL431" s="18"/>
      <c r="AM431" s="18"/>
      <c r="AN431" s="18"/>
      <c r="AO431" s="18"/>
      <c r="AP431" s="18"/>
      <c r="AQ431" s="18"/>
    </row>
    <row r="432" spans="1:43" s="584" customFormat="1" ht="34.75" customHeight="1">
      <c r="A432" s="597"/>
      <c r="D432" s="1809" t="s">
        <v>125</v>
      </c>
      <c r="E432" s="1810"/>
      <c r="F432" s="1810"/>
      <c r="G432" s="1810"/>
      <c r="H432" s="1811"/>
      <c r="I432" s="2074">
        <v>0</v>
      </c>
      <c r="J432" s="2075"/>
      <c r="K432" s="2075"/>
      <c r="L432" s="2075"/>
      <c r="M432" s="2075"/>
      <c r="N432" s="2075">
        <v>0</v>
      </c>
      <c r="O432" s="2075"/>
      <c r="P432" s="2075"/>
      <c r="Q432" s="2075"/>
      <c r="R432" s="2075"/>
      <c r="S432" s="2075">
        <v>0</v>
      </c>
      <c r="T432" s="2075"/>
      <c r="U432" s="2075"/>
      <c r="V432" s="2075"/>
      <c r="W432" s="2075"/>
      <c r="X432" s="2075">
        <v>0</v>
      </c>
      <c r="Y432" s="2075"/>
      <c r="Z432" s="2075"/>
      <c r="AA432" s="2075"/>
      <c r="AB432" s="2075"/>
      <c r="AC432" s="2077">
        <f>SUM(I432:AB432)</f>
        <v>0</v>
      </c>
      <c r="AD432" s="2077"/>
      <c r="AE432" s="2077"/>
      <c r="AF432" s="2077"/>
      <c r="AG432" s="2078"/>
      <c r="AI432" s="18"/>
      <c r="AJ432" s="18"/>
      <c r="AK432" s="18"/>
      <c r="AL432" s="18"/>
      <c r="AM432" s="18"/>
      <c r="AN432" s="18"/>
      <c r="AO432" s="18"/>
      <c r="AP432" s="18"/>
      <c r="AQ432" s="18"/>
    </row>
    <row r="433" spans="1:43" s="584" customFormat="1" ht="34.75" customHeight="1">
      <c r="A433" s="597"/>
      <c r="D433" s="1825" t="s">
        <v>1722</v>
      </c>
      <c r="E433" s="1826"/>
      <c r="F433" s="1826"/>
      <c r="G433" s="1826"/>
      <c r="H433" s="1827"/>
      <c r="I433" s="2140">
        <v>0</v>
      </c>
      <c r="J433" s="1816"/>
      <c r="K433" s="1816"/>
      <c r="L433" s="1816"/>
      <c r="M433" s="1816"/>
      <c r="N433" s="1805">
        <v>0</v>
      </c>
      <c r="O433" s="1805"/>
      <c r="P433" s="1805"/>
      <c r="Q433" s="1805"/>
      <c r="R433" s="1805"/>
      <c r="S433" s="1805">
        <v>0</v>
      </c>
      <c r="T433" s="1805"/>
      <c r="U433" s="1805"/>
      <c r="V433" s="1805"/>
      <c r="W433" s="1805"/>
      <c r="X433" s="1805">
        <v>0</v>
      </c>
      <c r="Y433" s="1805"/>
      <c r="Z433" s="1805"/>
      <c r="AA433" s="1805"/>
      <c r="AB433" s="1805"/>
      <c r="AC433" s="1807">
        <f t="shared" ref="AC433:AC436" si="137">SUM(I433:AB433)</f>
        <v>0</v>
      </c>
      <c r="AD433" s="1807"/>
      <c r="AE433" s="1807"/>
      <c r="AF433" s="1807"/>
      <c r="AG433" s="1808"/>
      <c r="AI433" s="18"/>
      <c r="AJ433" s="18"/>
      <c r="AK433" s="18"/>
      <c r="AL433" s="18"/>
      <c r="AM433" s="18"/>
      <c r="AN433" s="18"/>
      <c r="AO433" s="18"/>
      <c r="AP433" s="18"/>
      <c r="AQ433" s="18"/>
    </row>
    <row r="434" spans="1:43" s="584" customFormat="1" ht="34.75" customHeight="1">
      <c r="A434" s="597"/>
      <c r="D434" s="1825" t="s">
        <v>1723</v>
      </c>
      <c r="E434" s="1826"/>
      <c r="F434" s="1826"/>
      <c r="G434" s="1826"/>
      <c r="H434" s="1827"/>
      <c r="I434" s="2140">
        <v>0</v>
      </c>
      <c r="J434" s="1816"/>
      <c r="K434" s="1816"/>
      <c r="L434" s="1816"/>
      <c r="M434" s="1816"/>
      <c r="N434" s="1805">
        <v>0</v>
      </c>
      <c r="O434" s="1805"/>
      <c r="P434" s="1805"/>
      <c r="Q434" s="1805"/>
      <c r="R434" s="1805"/>
      <c r="S434" s="1805">
        <v>0</v>
      </c>
      <c r="T434" s="1805"/>
      <c r="U434" s="1805"/>
      <c r="V434" s="1805"/>
      <c r="W434" s="1805"/>
      <c r="X434" s="1805">
        <v>0</v>
      </c>
      <c r="Y434" s="1805"/>
      <c r="Z434" s="1805"/>
      <c r="AA434" s="1805"/>
      <c r="AB434" s="1805"/>
      <c r="AC434" s="1807">
        <f t="shared" si="137"/>
        <v>0</v>
      </c>
      <c r="AD434" s="1807"/>
      <c r="AE434" s="1807"/>
      <c r="AF434" s="1807"/>
      <c r="AG434" s="1808"/>
      <c r="AI434" s="18"/>
      <c r="AJ434" s="18"/>
      <c r="AK434" s="18"/>
      <c r="AL434" s="18"/>
      <c r="AM434" s="18"/>
      <c r="AN434" s="18"/>
      <c r="AO434" s="18"/>
      <c r="AP434" s="18"/>
      <c r="AQ434" s="18"/>
    </row>
    <row r="435" spans="1:43" s="584" customFormat="1" ht="34.75" customHeight="1">
      <c r="A435" s="597"/>
      <c r="D435" s="1825" t="s">
        <v>127</v>
      </c>
      <c r="E435" s="1826"/>
      <c r="F435" s="1826"/>
      <c r="G435" s="1826"/>
      <c r="H435" s="1827"/>
      <c r="I435" s="2140">
        <v>0</v>
      </c>
      <c r="J435" s="1816"/>
      <c r="K435" s="1816"/>
      <c r="L435" s="1816"/>
      <c r="M435" s="1816"/>
      <c r="N435" s="1805">
        <v>0</v>
      </c>
      <c r="O435" s="1805"/>
      <c r="P435" s="1805"/>
      <c r="Q435" s="1805"/>
      <c r="R435" s="1805"/>
      <c r="S435" s="1805">
        <v>0</v>
      </c>
      <c r="T435" s="1805"/>
      <c r="U435" s="1805"/>
      <c r="V435" s="1805"/>
      <c r="W435" s="1805"/>
      <c r="X435" s="1805">
        <v>0</v>
      </c>
      <c r="Y435" s="1805"/>
      <c r="Z435" s="1805"/>
      <c r="AA435" s="1805"/>
      <c r="AB435" s="1805"/>
      <c r="AC435" s="1807">
        <f t="shared" si="137"/>
        <v>0</v>
      </c>
      <c r="AD435" s="1807"/>
      <c r="AE435" s="1807"/>
      <c r="AF435" s="1807"/>
      <c r="AG435" s="1808"/>
      <c r="AI435" s="18"/>
      <c r="AJ435" s="18"/>
      <c r="AK435" s="18"/>
      <c r="AL435" s="18"/>
      <c r="AM435" s="18"/>
      <c r="AN435" s="18"/>
      <c r="AO435" s="18"/>
      <c r="AP435" s="18"/>
      <c r="AQ435" s="18"/>
    </row>
    <row r="436" spans="1:43" s="584" customFormat="1" ht="34.75" customHeight="1">
      <c r="A436" s="597"/>
      <c r="D436" s="1825" t="s">
        <v>128</v>
      </c>
      <c r="E436" s="1826"/>
      <c r="F436" s="1826"/>
      <c r="G436" s="1826"/>
      <c r="H436" s="1827"/>
      <c r="I436" s="2140">
        <v>0</v>
      </c>
      <c r="J436" s="1816"/>
      <c r="K436" s="1816"/>
      <c r="L436" s="1816"/>
      <c r="M436" s="1816"/>
      <c r="N436" s="1805">
        <v>9730</v>
      </c>
      <c r="O436" s="1805"/>
      <c r="P436" s="1805"/>
      <c r="Q436" s="1805"/>
      <c r="R436" s="1805"/>
      <c r="S436" s="1805">
        <v>0</v>
      </c>
      <c r="T436" s="1805"/>
      <c r="U436" s="1805"/>
      <c r="V436" s="1805"/>
      <c r="W436" s="1805"/>
      <c r="X436" s="1805">
        <v>0</v>
      </c>
      <c r="Y436" s="1805"/>
      <c r="Z436" s="1805"/>
      <c r="AA436" s="1805"/>
      <c r="AB436" s="1805"/>
      <c r="AC436" s="1807">
        <f t="shared" si="137"/>
        <v>9730</v>
      </c>
      <c r="AD436" s="1807"/>
      <c r="AE436" s="1807"/>
      <c r="AF436" s="1807"/>
      <c r="AG436" s="1808"/>
      <c r="AI436" s="18"/>
      <c r="AJ436" s="18"/>
      <c r="AK436" s="18"/>
      <c r="AL436" s="18"/>
      <c r="AM436" s="18"/>
      <c r="AN436" s="18"/>
      <c r="AO436" s="18"/>
      <c r="AP436" s="18"/>
      <c r="AQ436" s="18"/>
    </row>
    <row r="437" spans="1:43" s="584" customFormat="1" ht="14.5" thickBot="1">
      <c r="A437" s="597"/>
      <c r="D437" s="1894" t="s">
        <v>129</v>
      </c>
      <c r="E437" s="1894"/>
      <c r="F437" s="1894"/>
      <c r="G437" s="1894"/>
      <c r="H437" s="1894"/>
      <c r="I437" s="2137">
        <f>SUM(I432:M436)</f>
        <v>0</v>
      </c>
      <c r="J437" s="2138"/>
      <c r="K437" s="2138"/>
      <c r="L437" s="2138"/>
      <c r="M437" s="2138"/>
      <c r="N437" s="2138">
        <f>SUM(N432:R436)</f>
        <v>9730</v>
      </c>
      <c r="O437" s="2138"/>
      <c r="P437" s="2138"/>
      <c r="Q437" s="2138"/>
      <c r="R437" s="2138"/>
      <c r="S437" s="2138">
        <f>SUM(S432:W436)</f>
        <v>0</v>
      </c>
      <c r="T437" s="2138"/>
      <c r="U437" s="2138"/>
      <c r="V437" s="2138"/>
      <c r="W437" s="2138"/>
      <c r="X437" s="2138">
        <f>SUM(X432:AB436)</f>
        <v>0</v>
      </c>
      <c r="Y437" s="2138"/>
      <c r="Z437" s="2138"/>
      <c r="AA437" s="2138"/>
      <c r="AB437" s="2138"/>
      <c r="AC437" s="2138">
        <f>SUM(AC432:AG436)</f>
        <v>9730</v>
      </c>
      <c r="AD437" s="2138"/>
      <c r="AE437" s="2138"/>
      <c r="AF437" s="2138"/>
      <c r="AG437" s="2139"/>
      <c r="AI437" s="18"/>
      <c r="AJ437" s="18"/>
      <c r="AK437" s="18"/>
      <c r="AL437" s="18"/>
      <c r="AM437" s="18"/>
      <c r="AN437" s="18"/>
      <c r="AO437" s="18"/>
      <c r="AP437" s="18"/>
      <c r="AQ437" s="18"/>
    </row>
    <row r="438" spans="1:43" s="773" customFormat="1" ht="14">
      <c r="A438" s="784"/>
      <c r="AI438" s="786"/>
      <c r="AJ438" s="786"/>
      <c r="AK438" s="786"/>
      <c r="AL438" s="786"/>
      <c r="AM438" s="786"/>
      <c r="AN438" s="786"/>
      <c r="AO438" s="786"/>
      <c r="AP438" s="786"/>
      <c r="AQ438" s="786"/>
    </row>
    <row r="439" spans="1:43" s="584" customFormat="1" ht="25.9" customHeight="1">
      <c r="A439" s="597"/>
      <c r="D439" s="2135" t="s">
        <v>2998</v>
      </c>
      <c r="E439" s="2136"/>
      <c r="F439" s="2136"/>
      <c r="G439" s="2136"/>
      <c r="H439" s="2136"/>
      <c r="I439" s="2136"/>
      <c r="J439" s="2136"/>
      <c r="K439" s="2136"/>
      <c r="L439" s="2136"/>
      <c r="M439" s="2136"/>
      <c r="N439" s="2136"/>
      <c r="O439" s="2136"/>
      <c r="P439" s="2136"/>
      <c r="Q439" s="2136"/>
      <c r="R439" s="2136"/>
      <c r="S439" s="2136"/>
      <c r="T439" s="2136"/>
      <c r="U439" s="2136"/>
      <c r="V439" s="2136"/>
      <c r="W439" s="2136"/>
      <c r="X439" s="2136"/>
      <c r="Y439" s="2136"/>
      <c r="Z439" s="2136"/>
      <c r="AA439" s="2136"/>
      <c r="AB439" s="2136"/>
      <c r="AC439" s="2136"/>
      <c r="AD439" s="2136"/>
      <c r="AE439" s="2136"/>
      <c r="AF439" s="2136"/>
      <c r="AG439" s="2136"/>
      <c r="AI439" s="18"/>
      <c r="AJ439" s="18"/>
      <c r="AK439" s="18"/>
      <c r="AL439" s="18"/>
      <c r="AM439" s="18"/>
      <c r="AN439" s="18"/>
      <c r="AO439" s="18"/>
      <c r="AP439" s="18"/>
      <c r="AQ439" s="18"/>
    </row>
    <row r="440" spans="1:43" s="584" customFormat="1" ht="14">
      <c r="A440" s="597"/>
      <c r="AI440" s="18"/>
      <c r="AJ440" s="18"/>
      <c r="AK440" s="18"/>
      <c r="AL440" s="18"/>
      <c r="AM440" s="18"/>
      <c r="AN440" s="18"/>
      <c r="AO440" s="18"/>
      <c r="AP440" s="18"/>
      <c r="AQ440" s="18"/>
    </row>
    <row r="441" spans="1:43" s="584" customFormat="1" ht="14">
      <c r="A441" s="597"/>
      <c r="D441" s="2135" t="s">
        <v>2999</v>
      </c>
      <c r="E441" s="2136"/>
      <c r="F441" s="2136"/>
      <c r="G441" s="2136"/>
      <c r="H441" s="2136"/>
      <c r="I441" s="2136"/>
      <c r="J441" s="2136"/>
      <c r="K441" s="2136"/>
      <c r="L441" s="2136"/>
      <c r="M441" s="2136"/>
      <c r="N441" s="2136"/>
      <c r="O441" s="2136"/>
      <c r="P441" s="2136"/>
      <c r="Q441" s="2136"/>
      <c r="R441" s="2136"/>
      <c r="S441" s="2136"/>
      <c r="T441" s="2136"/>
      <c r="U441" s="2136"/>
      <c r="V441" s="2136"/>
      <c r="W441" s="2136"/>
      <c r="X441" s="2136"/>
      <c r="Y441" s="2136"/>
      <c r="Z441" s="2136"/>
      <c r="AA441" s="2136"/>
      <c r="AB441" s="2136"/>
      <c r="AC441" s="2136"/>
      <c r="AD441" s="2136"/>
      <c r="AE441" s="2136"/>
      <c r="AF441" s="2136"/>
      <c r="AG441" s="2136"/>
      <c r="AI441" s="18"/>
      <c r="AJ441" s="18"/>
      <c r="AK441" s="18"/>
      <c r="AL441" s="18"/>
      <c r="AM441" s="18"/>
      <c r="AN441" s="18"/>
      <c r="AO441" s="18"/>
      <c r="AP441" s="18"/>
      <c r="AQ441" s="18"/>
    </row>
    <row r="442" spans="1:43" s="584" customFormat="1" ht="14">
      <c r="A442" s="597"/>
      <c r="AI442" s="18"/>
      <c r="AJ442" s="18"/>
      <c r="AK442" s="18"/>
      <c r="AL442" s="18"/>
      <c r="AM442" s="18"/>
      <c r="AN442" s="18"/>
      <c r="AO442" s="18"/>
      <c r="AP442" s="18"/>
      <c r="AQ442" s="18"/>
    </row>
    <row r="443" spans="1:43" s="584" customFormat="1" ht="14">
      <c r="A443" s="597"/>
      <c r="D443" s="2133" t="s">
        <v>3000</v>
      </c>
      <c r="E443" s="2134"/>
      <c r="F443" s="2134"/>
      <c r="G443" s="2134"/>
      <c r="H443" s="2134"/>
      <c r="I443" s="2134"/>
      <c r="J443" s="2134"/>
      <c r="K443" s="2134"/>
      <c r="L443" s="2134"/>
      <c r="M443" s="2134"/>
      <c r="N443" s="2134"/>
      <c r="O443" s="2134"/>
      <c r="P443" s="2134"/>
      <c r="Q443" s="2134"/>
      <c r="R443" s="2134"/>
      <c r="S443" s="2134"/>
      <c r="T443" s="2134"/>
      <c r="U443" s="2134"/>
      <c r="V443" s="2134"/>
      <c r="W443" s="2134"/>
      <c r="X443" s="2134"/>
      <c r="Y443" s="2134"/>
      <c r="Z443" s="2134"/>
      <c r="AA443" s="2134"/>
      <c r="AB443" s="2134"/>
      <c r="AC443" s="2134"/>
      <c r="AD443" s="2134"/>
      <c r="AE443" s="2134"/>
      <c r="AF443" s="2134"/>
      <c r="AG443" s="2134"/>
      <c r="AI443" s="18"/>
      <c r="AJ443" s="18"/>
      <c r="AK443" s="18"/>
      <c r="AL443" s="18"/>
      <c r="AM443" s="18"/>
      <c r="AN443" s="18"/>
      <c r="AO443" s="18"/>
      <c r="AP443" s="18"/>
      <c r="AQ443" s="18"/>
    </row>
    <row r="444" spans="1:43" s="584" customFormat="1" ht="14.5" thickBot="1">
      <c r="A444" s="597"/>
      <c r="AI444" s="18"/>
      <c r="AJ444" s="18"/>
      <c r="AK444" s="18"/>
      <c r="AL444" s="18"/>
      <c r="AM444" s="18"/>
      <c r="AN444" s="18"/>
      <c r="AO444" s="18"/>
      <c r="AP444" s="18"/>
      <c r="AQ444" s="18"/>
    </row>
    <row r="445" spans="1:43" s="584" customFormat="1" ht="27.75" customHeight="1" thickTop="1" thickBot="1">
      <c r="A445" s="597"/>
      <c r="D445" s="1921" t="s">
        <v>131</v>
      </c>
      <c r="E445" s="1921"/>
      <c r="F445" s="1921"/>
      <c r="G445" s="1921"/>
      <c r="H445" s="1921"/>
      <c r="I445" s="1921"/>
      <c r="J445" s="1921"/>
      <c r="K445" s="1921"/>
      <c r="L445" s="1921"/>
      <c r="M445" s="1921" t="s">
        <v>132</v>
      </c>
      <c r="N445" s="1921"/>
      <c r="O445" s="1921"/>
      <c r="P445" s="1921"/>
      <c r="Q445" s="1921"/>
      <c r="R445" s="1921"/>
      <c r="S445" s="1921"/>
      <c r="T445" s="1921" t="s">
        <v>133</v>
      </c>
      <c r="U445" s="1921"/>
      <c r="V445" s="1921"/>
      <c r="W445" s="1921"/>
      <c r="X445" s="1921"/>
      <c r="Y445" s="1921"/>
      <c r="Z445" s="1921"/>
      <c r="AA445" s="1921" t="s">
        <v>129</v>
      </c>
      <c r="AB445" s="1921"/>
      <c r="AC445" s="1921"/>
      <c r="AD445" s="1921"/>
      <c r="AE445" s="1921"/>
      <c r="AF445" s="1921"/>
      <c r="AG445" s="1921"/>
      <c r="AI445" s="18"/>
      <c r="AJ445" s="18"/>
      <c r="AK445" s="591" t="s">
        <v>132</v>
      </c>
      <c r="AL445" s="594" t="s">
        <v>133</v>
      </c>
      <c r="AM445" s="594" t="s">
        <v>129</v>
      </c>
      <c r="AN445" s="18"/>
      <c r="AO445" s="591" t="s">
        <v>129</v>
      </c>
      <c r="AP445" s="18"/>
      <c r="AQ445" s="18"/>
    </row>
    <row r="446" spans="1:43" s="584" customFormat="1" ht="27.75" customHeight="1" thickBot="1">
      <c r="A446" s="597"/>
      <c r="D446" s="2015" t="s">
        <v>134</v>
      </c>
      <c r="E446" s="2015"/>
      <c r="F446" s="2015"/>
      <c r="G446" s="2015"/>
      <c r="H446" s="2015"/>
      <c r="I446" s="2015"/>
      <c r="J446" s="2015"/>
      <c r="K446" s="2015"/>
      <c r="L446" s="2015"/>
      <c r="M446" s="2015"/>
      <c r="N446" s="2015"/>
      <c r="O446" s="2015"/>
      <c r="P446" s="2015"/>
      <c r="Q446" s="2015"/>
      <c r="R446" s="2015"/>
      <c r="S446" s="2015"/>
      <c r="T446" s="2015"/>
      <c r="U446" s="2015"/>
      <c r="V446" s="2015"/>
      <c r="W446" s="2015"/>
      <c r="X446" s="2015"/>
      <c r="Y446" s="2015"/>
      <c r="Z446" s="2015"/>
      <c r="AA446" s="2015"/>
      <c r="AB446" s="2015"/>
      <c r="AC446" s="2015"/>
      <c r="AD446" s="2015"/>
      <c r="AE446" s="2015"/>
      <c r="AF446" s="2015"/>
      <c r="AG446" s="2015"/>
      <c r="AI446" s="18"/>
      <c r="AJ446" s="18"/>
      <c r="AK446" s="612"/>
      <c r="AL446" s="613"/>
      <c r="AM446" s="618"/>
      <c r="AN446" s="18"/>
      <c r="AO446" s="620"/>
      <c r="AP446" s="18"/>
      <c r="AQ446" s="18"/>
    </row>
    <row r="447" spans="1:43" s="584" customFormat="1" ht="22.5" customHeight="1">
      <c r="A447" s="597"/>
      <c r="D447" s="1870" t="s">
        <v>135</v>
      </c>
      <c r="E447" s="1870"/>
      <c r="F447" s="1870"/>
      <c r="G447" s="1870"/>
      <c r="H447" s="1870"/>
      <c r="I447" s="1870"/>
      <c r="J447" s="1870"/>
      <c r="K447" s="1870"/>
      <c r="L447" s="1870"/>
      <c r="M447" s="1818">
        <v>0</v>
      </c>
      <c r="N447" s="1818"/>
      <c r="O447" s="1818"/>
      <c r="P447" s="1818"/>
      <c r="Q447" s="1818"/>
      <c r="R447" s="1818"/>
      <c r="S447" s="1818"/>
      <c r="T447" s="1839">
        <v>0</v>
      </c>
      <c r="U447" s="1840"/>
      <c r="V447" s="1840"/>
      <c r="W447" s="1840"/>
      <c r="X447" s="1840"/>
      <c r="Y447" s="1840"/>
      <c r="Z447" s="1977"/>
      <c r="AA447" s="1899">
        <f>M447+T447</f>
        <v>0</v>
      </c>
      <c r="AB447" s="1899"/>
      <c r="AC447" s="1899"/>
      <c r="AD447" s="1899"/>
      <c r="AE447" s="1899"/>
      <c r="AF447" s="1899"/>
      <c r="AG447" s="1899"/>
      <c r="AI447" s="18"/>
      <c r="AJ447" s="18"/>
      <c r="AK447" s="606"/>
      <c r="AL447" s="607"/>
      <c r="AM447" s="608">
        <f>SUM(M447:Z447)-AA447</f>
        <v>0</v>
      </c>
      <c r="AN447" s="18"/>
      <c r="AO447" s="615">
        <f>AA447-BS!$D$54</f>
        <v>0</v>
      </c>
      <c r="AP447" s="18"/>
      <c r="AQ447" s="18"/>
    </row>
    <row r="448" spans="1:43" s="584" customFormat="1" ht="22.5" customHeight="1">
      <c r="A448" s="597"/>
      <c r="D448" s="1822" t="s">
        <v>1724</v>
      </c>
      <c r="E448" s="1822"/>
      <c r="F448" s="1822"/>
      <c r="G448" s="1822"/>
      <c r="H448" s="1822"/>
      <c r="I448" s="1822"/>
      <c r="J448" s="1822"/>
      <c r="K448" s="1822"/>
      <c r="L448" s="1822"/>
      <c r="M448" s="1967">
        <v>0</v>
      </c>
      <c r="N448" s="1967"/>
      <c r="O448" s="1967"/>
      <c r="P448" s="1967"/>
      <c r="Q448" s="1967"/>
      <c r="R448" s="1967"/>
      <c r="S448" s="1967"/>
      <c r="T448" s="1967">
        <v>0</v>
      </c>
      <c r="U448" s="1967"/>
      <c r="V448" s="1967"/>
      <c r="W448" s="1967"/>
      <c r="X448" s="1967"/>
      <c r="Y448" s="1967"/>
      <c r="Z448" s="1967"/>
      <c r="AA448" s="1794">
        <f t="shared" ref="AA448:AA450" si="138">M448+T448</f>
        <v>0</v>
      </c>
      <c r="AB448" s="1794"/>
      <c r="AC448" s="1794"/>
      <c r="AD448" s="1794"/>
      <c r="AE448" s="1794"/>
      <c r="AF448" s="1794"/>
      <c r="AG448" s="1794"/>
      <c r="AI448" s="18"/>
      <c r="AJ448" s="18"/>
      <c r="AK448" s="606"/>
      <c r="AL448" s="607"/>
      <c r="AM448" s="608">
        <f t="shared" ref="AM448:AM451" si="139">SUM(M448:Z448)-AA448</f>
        <v>0</v>
      </c>
      <c r="AN448" s="18"/>
      <c r="AO448" s="615">
        <f>AA448-BS!$D$52-BS!$D$53</f>
        <v>0</v>
      </c>
      <c r="AP448" s="18"/>
      <c r="AQ448" s="18"/>
    </row>
    <row r="449" spans="1:43" s="584" customFormat="1" ht="22.5" customHeight="1">
      <c r="A449" s="597"/>
      <c r="D449" s="1822" t="s">
        <v>136</v>
      </c>
      <c r="E449" s="1822"/>
      <c r="F449" s="1822"/>
      <c r="G449" s="1822"/>
      <c r="H449" s="1822"/>
      <c r="I449" s="1822"/>
      <c r="J449" s="1822"/>
      <c r="K449" s="1822"/>
      <c r="L449" s="1822"/>
      <c r="M449" s="1967">
        <v>0</v>
      </c>
      <c r="N449" s="1967"/>
      <c r="O449" s="1967"/>
      <c r="P449" s="1967"/>
      <c r="Q449" s="1967"/>
      <c r="R449" s="1967"/>
      <c r="S449" s="1967"/>
      <c r="T449" s="1967">
        <v>0</v>
      </c>
      <c r="U449" s="1967"/>
      <c r="V449" s="1967"/>
      <c r="W449" s="1967"/>
      <c r="X449" s="1967"/>
      <c r="Y449" s="1967"/>
      <c r="Z449" s="1967"/>
      <c r="AA449" s="1794">
        <f t="shared" si="138"/>
        <v>0</v>
      </c>
      <c r="AB449" s="1794"/>
      <c r="AC449" s="1794"/>
      <c r="AD449" s="1794"/>
      <c r="AE449" s="1794"/>
      <c r="AF449" s="1794"/>
      <c r="AG449" s="1794"/>
      <c r="AI449" s="18"/>
      <c r="AJ449" s="18"/>
      <c r="AK449" s="606"/>
      <c r="AL449" s="607"/>
      <c r="AM449" s="608">
        <f t="shared" si="139"/>
        <v>0</v>
      </c>
      <c r="AN449" s="18"/>
      <c r="AO449" s="615">
        <f>AA449-BS!$D$56-BS!$D$57</f>
        <v>0</v>
      </c>
      <c r="AP449" s="18"/>
      <c r="AQ449" s="18"/>
    </row>
    <row r="450" spans="1:43" s="584" customFormat="1" ht="22.5" customHeight="1">
      <c r="A450" s="597"/>
      <c r="D450" s="1822" t="s">
        <v>127</v>
      </c>
      <c r="E450" s="1822"/>
      <c r="F450" s="1822"/>
      <c r="G450" s="1822"/>
      <c r="H450" s="1822"/>
      <c r="I450" s="1822"/>
      <c r="J450" s="1822"/>
      <c r="K450" s="1822"/>
      <c r="L450" s="1822"/>
      <c r="M450" s="1967">
        <v>0</v>
      </c>
      <c r="N450" s="1967"/>
      <c r="O450" s="1967"/>
      <c r="P450" s="1967"/>
      <c r="Q450" s="1967"/>
      <c r="R450" s="1967"/>
      <c r="S450" s="1967"/>
      <c r="T450" s="1967">
        <v>0</v>
      </c>
      <c r="U450" s="1967"/>
      <c r="V450" s="1967"/>
      <c r="W450" s="1967"/>
      <c r="X450" s="1967"/>
      <c r="Y450" s="1967"/>
      <c r="Z450" s="1967"/>
      <c r="AA450" s="1794">
        <f t="shared" si="138"/>
        <v>0</v>
      </c>
      <c r="AB450" s="1794"/>
      <c r="AC450" s="1794"/>
      <c r="AD450" s="1794"/>
      <c r="AE450" s="1794"/>
      <c r="AF450" s="1794"/>
      <c r="AG450" s="1794"/>
      <c r="AI450" s="18"/>
      <c r="AJ450" s="18"/>
      <c r="AK450" s="606"/>
      <c r="AL450" s="607"/>
      <c r="AM450" s="608">
        <f t="shared" si="139"/>
        <v>0</v>
      </c>
      <c r="AN450" s="18"/>
      <c r="AO450" s="615">
        <f>AA450-BS!$D$58</f>
        <v>0</v>
      </c>
      <c r="AP450" s="18"/>
      <c r="AQ450" s="18"/>
    </row>
    <row r="451" spans="1:43" s="584" customFormat="1" ht="22.5" customHeight="1" thickBot="1">
      <c r="A451" s="597"/>
      <c r="D451" s="1996" t="s">
        <v>128</v>
      </c>
      <c r="E451" s="1996"/>
      <c r="F451" s="1996"/>
      <c r="G451" s="1996"/>
      <c r="H451" s="1996"/>
      <c r="I451" s="1996"/>
      <c r="J451" s="1996"/>
      <c r="K451" s="1996"/>
      <c r="L451" s="1996"/>
      <c r="M451" s="1968">
        <v>0</v>
      </c>
      <c r="N451" s="1969"/>
      <c r="O451" s="1969"/>
      <c r="P451" s="1969"/>
      <c r="Q451" s="1969"/>
      <c r="R451" s="1969"/>
      <c r="S451" s="1970"/>
      <c r="T451" s="1967">
        <v>0</v>
      </c>
      <c r="U451" s="1967"/>
      <c r="V451" s="1967"/>
      <c r="W451" s="1967"/>
      <c r="X451" s="1967"/>
      <c r="Y451" s="1967"/>
      <c r="Z451" s="1967"/>
      <c r="AA451" s="1794">
        <f>M451+T451</f>
        <v>0</v>
      </c>
      <c r="AB451" s="1794"/>
      <c r="AC451" s="1794"/>
      <c r="AD451" s="1794"/>
      <c r="AE451" s="1794"/>
      <c r="AF451" s="1794"/>
      <c r="AG451" s="1794"/>
      <c r="AI451" s="18"/>
      <c r="AJ451" s="18"/>
      <c r="AK451" s="606"/>
      <c r="AL451" s="607"/>
      <c r="AM451" s="608">
        <f t="shared" si="139"/>
        <v>0</v>
      </c>
      <c r="AN451" s="18"/>
      <c r="AO451" s="615">
        <f>AA451-BS!D61</f>
        <v>0</v>
      </c>
      <c r="AP451" s="18"/>
      <c r="AQ451" s="18"/>
    </row>
    <row r="452" spans="1:43" s="584" customFormat="1" ht="27.75" customHeight="1" thickBot="1">
      <c r="A452" s="597"/>
      <c r="D452" s="2015" t="s">
        <v>137</v>
      </c>
      <c r="E452" s="2015"/>
      <c r="F452" s="2015"/>
      <c r="G452" s="2015"/>
      <c r="H452" s="2015"/>
      <c r="I452" s="2015"/>
      <c r="J452" s="2015"/>
      <c r="K452" s="2015"/>
      <c r="L452" s="2015"/>
      <c r="M452" s="2014">
        <f t="shared" ref="M452" si="140">SUM(M447:S451)</f>
        <v>0</v>
      </c>
      <c r="N452" s="2014"/>
      <c r="O452" s="2014"/>
      <c r="P452" s="2014"/>
      <c r="Q452" s="2014"/>
      <c r="R452" s="2014"/>
      <c r="S452" s="2014"/>
      <c r="T452" s="2014">
        <f>SUM(T447:Z451)</f>
        <v>0</v>
      </c>
      <c r="U452" s="2014"/>
      <c r="V452" s="2014"/>
      <c r="W452" s="2014"/>
      <c r="X452" s="2014"/>
      <c r="Y452" s="2014"/>
      <c r="Z452" s="2014"/>
      <c r="AA452" s="2014">
        <f>SUM(AA447:AG451)</f>
        <v>0</v>
      </c>
      <c r="AB452" s="2014"/>
      <c r="AC452" s="2014"/>
      <c r="AD452" s="2014"/>
      <c r="AE452" s="2014"/>
      <c r="AF452" s="2014"/>
      <c r="AG452" s="2014"/>
      <c r="AI452" s="18"/>
      <c r="AJ452" s="607"/>
      <c r="AK452" s="609">
        <f>SUM(M447:S451)-M452</f>
        <v>0</v>
      </c>
      <c r="AL452" s="610">
        <f>SUM(T447:Z451)-T452</f>
        <v>0</v>
      </c>
      <c r="AM452" s="611">
        <f>SUM(AA447:AG451)-AA452</f>
        <v>0</v>
      </c>
      <c r="AN452" s="18"/>
      <c r="AO452" s="617">
        <f>AA452-BS!$D$50</f>
        <v>0</v>
      </c>
      <c r="AP452" s="18"/>
      <c r="AQ452" s="18"/>
    </row>
    <row r="453" spans="1:43" s="584" customFormat="1" ht="27.75" customHeight="1" thickBot="1">
      <c r="A453" s="597"/>
      <c r="D453" s="2015" t="s">
        <v>138</v>
      </c>
      <c r="E453" s="2015"/>
      <c r="F453" s="2015"/>
      <c r="G453" s="2015"/>
      <c r="H453" s="2015"/>
      <c r="I453" s="2015"/>
      <c r="J453" s="2015"/>
      <c r="K453" s="2015"/>
      <c r="L453" s="2015"/>
      <c r="M453" s="2015"/>
      <c r="N453" s="2015"/>
      <c r="O453" s="2015"/>
      <c r="P453" s="2015"/>
      <c r="Q453" s="2015"/>
      <c r="R453" s="2015"/>
      <c r="S453" s="2015"/>
      <c r="T453" s="2015"/>
      <c r="U453" s="2015"/>
      <c r="V453" s="2015"/>
      <c r="W453" s="2015"/>
      <c r="X453" s="2015"/>
      <c r="Y453" s="2015"/>
      <c r="Z453" s="2015"/>
      <c r="AA453" s="2015"/>
      <c r="AB453" s="2015"/>
      <c r="AC453" s="2015"/>
      <c r="AD453" s="2015"/>
      <c r="AE453" s="2015"/>
      <c r="AF453" s="2015"/>
      <c r="AG453" s="2015"/>
      <c r="AI453" s="18"/>
      <c r="AJ453" s="18"/>
      <c r="AK453" s="18"/>
      <c r="AL453" s="18"/>
      <c r="AM453" s="18"/>
      <c r="AN453" s="18"/>
      <c r="AO453" s="18"/>
      <c r="AP453" s="18"/>
      <c r="AQ453" s="18"/>
    </row>
    <row r="454" spans="1:43" s="584" customFormat="1" ht="20.25" customHeight="1">
      <c r="A454" s="597"/>
      <c r="D454" s="1870" t="s">
        <v>139</v>
      </c>
      <c r="E454" s="1870"/>
      <c r="F454" s="1870"/>
      <c r="G454" s="1870"/>
      <c r="H454" s="1870"/>
      <c r="I454" s="1870"/>
      <c r="J454" s="1870"/>
      <c r="K454" s="1870"/>
      <c r="L454" s="1870"/>
      <c r="M454" s="1830">
        <f>BS!D66-32802</f>
        <v>592501</v>
      </c>
      <c r="N454" s="1830"/>
      <c r="O454" s="1830"/>
      <c r="P454" s="1830"/>
      <c r="Q454" s="1830"/>
      <c r="R454" s="1830"/>
      <c r="S454" s="1830"/>
      <c r="T454" s="1830">
        <v>32802</v>
      </c>
      <c r="U454" s="1830"/>
      <c r="V454" s="1830"/>
      <c r="W454" s="1830"/>
      <c r="X454" s="1830"/>
      <c r="Y454" s="1830"/>
      <c r="Z454" s="1830"/>
      <c r="AA454" s="1899">
        <f>M454+T454</f>
        <v>625303</v>
      </c>
      <c r="AB454" s="1899"/>
      <c r="AC454" s="1899"/>
      <c r="AD454" s="1899"/>
      <c r="AE454" s="1899"/>
      <c r="AF454" s="1899"/>
      <c r="AG454" s="1899"/>
      <c r="AI454" s="18"/>
      <c r="AJ454" s="18"/>
      <c r="AK454" s="612"/>
      <c r="AL454" s="613"/>
      <c r="AM454" s="614">
        <f t="shared" ref="AM454:AM455" si="141">SUM(M454:Z454)-AA454</f>
        <v>0</v>
      </c>
      <c r="AN454" s="18"/>
      <c r="AO454" s="620">
        <f>AA454-BS!$D$66</f>
        <v>0</v>
      </c>
      <c r="AP454" s="18"/>
      <c r="AQ454" s="18"/>
    </row>
    <row r="455" spans="1:43" s="584" customFormat="1" ht="20.25" customHeight="1">
      <c r="A455" s="597"/>
      <c r="D455" s="1822" t="s">
        <v>1725</v>
      </c>
      <c r="E455" s="1822"/>
      <c r="F455" s="1822"/>
      <c r="G455" s="1822"/>
      <c r="H455" s="1822"/>
      <c r="I455" s="1822"/>
      <c r="J455" s="1822"/>
      <c r="K455" s="1822"/>
      <c r="L455" s="1822"/>
      <c r="M455" s="2327">
        <f>BS!F64</f>
        <v>0</v>
      </c>
      <c r="N455" s="2327"/>
      <c r="O455" s="2327"/>
      <c r="P455" s="2327"/>
      <c r="Q455" s="2327"/>
      <c r="R455" s="2327"/>
      <c r="S455" s="2327"/>
      <c r="T455" s="2327">
        <v>0</v>
      </c>
      <c r="U455" s="2327"/>
      <c r="V455" s="2327"/>
      <c r="W455" s="2327"/>
      <c r="X455" s="2327"/>
      <c r="Y455" s="2327"/>
      <c r="Z455" s="2327"/>
      <c r="AA455" s="1794">
        <f t="shared" ref="AA455:AA457" si="142">M455+T455</f>
        <v>0</v>
      </c>
      <c r="AB455" s="1794"/>
      <c r="AC455" s="1794"/>
      <c r="AD455" s="1794"/>
      <c r="AE455" s="1794"/>
      <c r="AF455" s="1794"/>
      <c r="AG455" s="1794"/>
      <c r="AI455" s="18"/>
      <c r="AJ455" s="18"/>
      <c r="AK455" s="606"/>
      <c r="AL455" s="607"/>
      <c r="AM455" s="608">
        <f t="shared" si="141"/>
        <v>0</v>
      </c>
      <c r="AN455" s="18"/>
      <c r="AO455" s="615">
        <f>AA455-BS!$D$64-BS!$D$65</f>
        <v>0</v>
      </c>
      <c r="AP455" s="18"/>
      <c r="AQ455" s="18"/>
    </row>
    <row r="456" spans="1:43" s="584" customFormat="1" ht="20.25" customHeight="1">
      <c r="A456" s="597"/>
      <c r="D456" s="1822" t="s">
        <v>136</v>
      </c>
      <c r="E456" s="1822"/>
      <c r="F456" s="1822"/>
      <c r="G456" s="1822"/>
      <c r="H456" s="1822"/>
      <c r="I456" s="1822"/>
      <c r="J456" s="1822"/>
      <c r="K456" s="1822"/>
      <c r="L456" s="1822"/>
      <c r="M456" s="1967">
        <v>0</v>
      </c>
      <c r="N456" s="1967"/>
      <c r="O456" s="1967"/>
      <c r="P456" s="1967"/>
      <c r="Q456" s="1967"/>
      <c r="R456" s="1967"/>
      <c r="S456" s="1967"/>
      <c r="T456" s="1967">
        <v>0</v>
      </c>
      <c r="U456" s="1967"/>
      <c r="V456" s="1967"/>
      <c r="W456" s="1967"/>
      <c r="X456" s="1967"/>
      <c r="Y456" s="1967"/>
      <c r="Z456" s="1967"/>
      <c r="AA456" s="1794">
        <f t="shared" si="142"/>
        <v>0</v>
      </c>
      <c r="AB456" s="1794"/>
      <c r="AC456" s="1794"/>
      <c r="AD456" s="1794"/>
      <c r="AE456" s="1794"/>
      <c r="AF456" s="1794"/>
      <c r="AG456" s="1794"/>
      <c r="AI456" s="18"/>
      <c r="AJ456" s="18"/>
      <c r="AK456" s="606"/>
      <c r="AL456" s="607"/>
      <c r="AM456" s="608">
        <f>SUM(M456:Z456)-AA456</f>
        <v>0</v>
      </c>
      <c r="AN456" s="18"/>
      <c r="AO456" s="615">
        <f>AA456-BS!$D$68-BS!$D$69</f>
        <v>0</v>
      </c>
      <c r="AP456" s="18"/>
      <c r="AQ456" s="18"/>
    </row>
    <row r="457" spans="1:43" s="584" customFormat="1" ht="20.25" customHeight="1">
      <c r="A457" s="597"/>
      <c r="D457" s="1822" t="s">
        <v>127</v>
      </c>
      <c r="E457" s="1822"/>
      <c r="F457" s="1822"/>
      <c r="G457" s="1822"/>
      <c r="H457" s="1822"/>
      <c r="I457" s="1822"/>
      <c r="J457" s="1822"/>
      <c r="K457" s="1822"/>
      <c r="L457" s="1822"/>
      <c r="M457" s="1967">
        <v>0</v>
      </c>
      <c r="N457" s="1967"/>
      <c r="O457" s="1967"/>
      <c r="P457" s="1967"/>
      <c r="Q457" s="1967"/>
      <c r="R457" s="1967"/>
      <c r="S457" s="1967"/>
      <c r="T457" s="1967">
        <v>0</v>
      </c>
      <c r="U457" s="1967"/>
      <c r="V457" s="1967"/>
      <c r="W457" s="1967"/>
      <c r="X457" s="1967"/>
      <c r="Y457" s="1967"/>
      <c r="Z457" s="1967"/>
      <c r="AA457" s="1794">
        <f t="shared" si="142"/>
        <v>0</v>
      </c>
      <c r="AB457" s="1794"/>
      <c r="AC457" s="1794"/>
      <c r="AD457" s="1794"/>
      <c r="AE457" s="1794"/>
      <c r="AF457" s="1794"/>
      <c r="AG457" s="1794"/>
      <c r="AI457" s="18"/>
      <c r="AJ457" s="18"/>
      <c r="AK457" s="606"/>
      <c r="AL457" s="607"/>
      <c r="AM457" s="608">
        <f t="shared" ref="AM457:AM459" si="143">SUM(M457:Z457)-AA457</f>
        <v>0</v>
      </c>
      <c r="AN457" s="18"/>
      <c r="AO457" s="615">
        <f>AA457-BS!$D$70</f>
        <v>0</v>
      </c>
      <c r="AP457" s="18"/>
      <c r="AQ457" s="18"/>
    </row>
    <row r="458" spans="1:43" s="584" customFormat="1" ht="20.25" customHeight="1">
      <c r="A458" s="597"/>
      <c r="D458" s="1822" t="s">
        <v>140</v>
      </c>
      <c r="E458" s="1822"/>
      <c r="F458" s="1822"/>
      <c r="G458" s="1822"/>
      <c r="H458" s="1822"/>
      <c r="I458" s="1822"/>
      <c r="J458" s="1822"/>
      <c r="K458" s="1822"/>
      <c r="L458" s="1822"/>
      <c r="M458" s="1791">
        <v>0</v>
      </c>
      <c r="N458" s="1791"/>
      <c r="O458" s="1791"/>
      <c r="P458" s="1791"/>
      <c r="Q458" s="1791"/>
      <c r="R458" s="1791"/>
      <c r="S458" s="1791"/>
      <c r="T458" s="1967">
        <v>0</v>
      </c>
      <c r="U458" s="1967"/>
      <c r="V458" s="1967"/>
      <c r="W458" s="1967"/>
      <c r="X458" s="1967"/>
      <c r="Y458" s="1967"/>
      <c r="Z458" s="1967"/>
      <c r="AA458" s="1794">
        <f>M458+T458</f>
        <v>0</v>
      </c>
      <c r="AB458" s="1794"/>
      <c r="AC458" s="1794"/>
      <c r="AD458" s="1794"/>
      <c r="AE458" s="1794"/>
      <c r="AF458" s="1794"/>
      <c r="AG458" s="1794"/>
      <c r="AI458" s="18"/>
      <c r="AJ458" s="18"/>
      <c r="AK458" s="606"/>
      <c r="AL458" s="607"/>
      <c r="AM458" s="608">
        <f t="shared" si="143"/>
        <v>0</v>
      </c>
      <c r="AN458" s="18"/>
      <c r="AO458" s="616">
        <f>AA457-BS!$D$71</f>
        <v>0</v>
      </c>
      <c r="AP458" s="18"/>
      <c r="AQ458" s="18"/>
    </row>
    <row r="459" spans="1:43" s="584" customFormat="1" ht="20.25" customHeight="1">
      <c r="A459" s="597"/>
      <c r="D459" s="1822" t="s">
        <v>141</v>
      </c>
      <c r="E459" s="1822"/>
      <c r="F459" s="1822"/>
      <c r="G459" s="1822"/>
      <c r="H459" s="1822"/>
      <c r="I459" s="1822"/>
      <c r="J459" s="1822"/>
      <c r="K459" s="1822"/>
      <c r="L459" s="1822"/>
      <c r="M459" s="1791">
        <v>0</v>
      </c>
      <c r="N459" s="1791"/>
      <c r="O459" s="1791"/>
      <c r="P459" s="1791"/>
      <c r="Q459" s="1791"/>
      <c r="R459" s="1791"/>
      <c r="S459" s="1791"/>
      <c r="T459" s="1967">
        <v>0</v>
      </c>
      <c r="U459" s="1967"/>
      <c r="V459" s="1967"/>
      <c r="W459" s="1967"/>
      <c r="X459" s="1967"/>
      <c r="Y459" s="1967"/>
      <c r="Z459" s="1967"/>
      <c r="AA459" s="1794">
        <f t="shared" ref="AA459:AA460" si="144">M459+T459</f>
        <v>0</v>
      </c>
      <c r="AB459" s="1794"/>
      <c r="AC459" s="1794"/>
      <c r="AD459" s="1794"/>
      <c r="AE459" s="1794"/>
      <c r="AF459" s="1794"/>
      <c r="AG459" s="1794"/>
      <c r="AI459" s="18"/>
      <c r="AJ459" s="18"/>
      <c r="AK459" s="606"/>
      <c r="AL459" s="607"/>
      <c r="AM459" s="608">
        <f t="shared" si="143"/>
        <v>0</v>
      </c>
      <c r="AN459" s="18"/>
      <c r="AO459" s="615">
        <f>AA459-BS!$D$72</f>
        <v>0</v>
      </c>
      <c r="AP459" s="18"/>
      <c r="AQ459" s="18"/>
    </row>
    <row r="460" spans="1:43" s="584" customFormat="1" ht="20.25" customHeight="1" thickBot="1">
      <c r="A460" s="597"/>
      <c r="D460" s="1996" t="s">
        <v>128</v>
      </c>
      <c r="E460" s="1996"/>
      <c r="F460" s="1996"/>
      <c r="G460" s="1996"/>
      <c r="H460" s="1996"/>
      <c r="I460" s="1996"/>
      <c r="J460" s="1996"/>
      <c r="K460" s="1996"/>
      <c r="L460" s="1996"/>
      <c r="M460" s="1855">
        <v>19446</v>
      </c>
      <c r="N460" s="1856"/>
      <c r="O460" s="1856"/>
      <c r="P460" s="1856"/>
      <c r="Q460" s="1856"/>
      <c r="R460" s="1856"/>
      <c r="S460" s="1857"/>
      <c r="T460" s="1967">
        <v>0</v>
      </c>
      <c r="U460" s="1967"/>
      <c r="V460" s="1967"/>
      <c r="W460" s="1967"/>
      <c r="X460" s="1967"/>
      <c r="Y460" s="1967"/>
      <c r="Z460" s="1967"/>
      <c r="AA460" s="1794">
        <f t="shared" si="144"/>
        <v>19446</v>
      </c>
      <c r="AB460" s="1794"/>
      <c r="AC460" s="1794"/>
      <c r="AD460" s="1794"/>
      <c r="AE460" s="1794"/>
      <c r="AF460" s="1794"/>
      <c r="AG460" s="1794"/>
      <c r="AI460" s="18"/>
      <c r="AJ460" s="18"/>
      <c r="AK460" s="606"/>
      <c r="AL460" s="607"/>
      <c r="AM460" s="608">
        <f>SUM(M460:Z460)-AA460</f>
        <v>0</v>
      </c>
      <c r="AN460" s="18"/>
      <c r="AO460" s="615">
        <f>AA460-BS!$D$67-BS!$D$71-BS!$D$73-BS!$D$74</f>
        <v>0</v>
      </c>
      <c r="AP460" s="18"/>
      <c r="AQ460" s="18"/>
    </row>
    <row r="461" spans="1:43" s="584" customFormat="1" ht="27.75" customHeight="1" thickBot="1">
      <c r="A461" s="597"/>
      <c r="D461" s="1995" t="s">
        <v>142</v>
      </c>
      <c r="E461" s="1995"/>
      <c r="F461" s="1995"/>
      <c r="G461" s="1995"/>
      <c r="H461" s="1995"/>
      <c r="I461" s="1995"/>
      <c r="J461" s="1995"/>
      <c r="K461" s="1995"/>
      <c r="L461" s="1995"/>
      <c r="M461" s="2014">
        <f>SUM(M454:S460)</f>
        <v>611947</v>
      </c>
      <c r="N461" s="2014"/>
      <c r="O461" s="2014"/>
      <c r="P461" s="2014"/>
      <c r="Q461" s="2014"/>
      <c r="R461" s="2014"/>
      <c r="S461" s="2014"/>
      <c r="T461" s="2014">
        <f t="shared" ref="T461" si="145">SUM(T454:Z460)</f>
        <v>32802</v>
      </c>
      <c r="U461" s="2014"/>
      <c r="V461" s="2014"/>
      <c r="W461" s="2014"/>
      <c r="X461" s="2014"/>
      <c r="Y461" s="2014"/>
      <c r="Z461" s="2014"/>
      <c r="AA461" s="2014">
        <f>SUM(AA454:AG460)</f>
        <v>644749</v>
      </c>
      <c r="AB461" s="2014"/>
      <c r="AC461" s="2014"/>
      <c r="AD461" s="2014"/>
      <c r="AE461" s="2014"/>
      <c r="AF461" s="2014"/>
      <c r="AG461" s="2014"/>
      <c r="AI461" s="18"/>
      <c r="AJ461" s="18"/>
      <c r="AK461" s="609">
        <f>SUM(M454:S460)-M461</f>
        <v>0</v>
      </c>
      <c r="AL461" s="610">
        <f>SUM(T454:Z460)-T461</f>
        <v>0</v>
      </c>
      <c r="AM461" s="611">
        <f>SUM(AA454:AG460)-AA461</f>
        <v>0</v>
      </c>
      <c r="AN461" s="18"/>
      <c r="AO461" s="617">
        <f>AA461-BS!$D$62</f>
        <v>0</v>
      </c>
      <c r="AP461" s="18"/>
      <c r="AQ461" s="18"/>
    </row>
    <row r="462" spans="1:43" s="584" customFormat="1" ht="14">
      <c r="A462" s="597"/>
      <c r="D462" s="773"/>
      <c r="E462" s="773"/>
      <c r="F462" s="773"/>
      <c r="G462" s="773"/>
      <c r="H462" s="773"/>
      <c r="I462" s="773"/>
      <c r="J462" s="773"/>
      <c r="K462" s="773"/>
      <c r="L462" s="773"/>
      <c r="M462" s="773"/>
      <c r="N462" s="773"/>
      <c r="O462" s="773"/>
      <c r="P462" s="773"/>
      <c r="Q462" s="773"/>
      <c r="R462" s="773"/>
      <c r="S462" s="773"/>
      <c r="T462" s="773"/>
      <c r="U462" s="773"/>
      <c r="V462" s="773"/>
      <c r="W462" s="773"/>
      <c r="X462" s="773"/>
      <c r="Y462" s="773"/>
      <c r="Z462" s="773"/>
      <c r="AA462" s="773"/>
      <c r="AB462" s="773"/>
      <c r="AC462" s="773"/>
      <c r="AD462" s="773"/>
      <c r="AE462" s="773"/>
      <c r="AF462" s="773"/>
      <c r="AG462" s="773"/>
      <c r="AH462" s="773"/>
      <c r="AI462" s="18"/>
      <c r="AJ462" s="18"/>
      <c r="AK462" s="18"/>
      <c r="AL462" s="18"/>
      <c r="AM462" s="18"/>
      <c r="AN462" s="18"/>
      <c r="AO462" s="18"/>
      <c r="AP462" s="18"/>
      <c r="AQ462" s="18"/>
    </row>
    <row r="463" spans="1:43" s="584" customFormat="1" ht="14">
      <c r="A463" s="597"/>
      <c r="D463" s="2133" t="s">
        <v>2875</v>
      </c>
      <c r="E463" s="2134"/>
      <c r="F463" s="2134"/>
      <c r="G463" s="2134"/>
      <c r="H463" s="2134"/>
      <c r="I463" s="2134"/>
      <c r="J463" s="2134"/>
      <c r="K463" s="2134"/>
      <c r="L463" s="2134"/>
      <c r="M463" s="2134"/>
      <c r="N463" s="2134"/>
      <c r="O463" s="2134"/>
      <c r="P463" s="2134"/>
      <c r="Q463" s="2134"/>
      <c r="R463" s="2134"/>
      <c r="S463" s="2134"/>
      <c r="T463" s="2134"/>
      <c r="U463" s="2134"/>
      <c r="V463" s="2134"/>
      <c r="W463" s="2134"/>
      <c r="X463" s="2134"/>
      <c r="Y463" s="2134"/>
      <c r="Z463" s="2134"/>
      <c r="AA463" s="2134"/>
      <c r="AB463" s="2134"/>
      <c r="AC463" s="2134"/>
      <c r="AD463" s="2134"/>
      <c r="AE463" s="2134"/>
      <c r="AF463" s="2134"/>
      <c r="AG463" s="2134"/>
      <c r="AI463" s="18"/>
      <c r="AJ463" s="18"/>
      <c r="AK463" s="18"/>
      <c r="AL463" s="18"/>
      <c r="AM463" s="18"/>
      <c r="AN463" s="18"/>
      <c r="AO463" s="18"/>
      <c r="AP463" s="18"/>
      <c r="AQ463" s="18"/>
    </row>
    <row r="464" spans="1:43" s="773" customFormat="1" ht="14.5" thickBot="1">
      <c r="A464" s="784"/>
      <c r="AI464" s="786"/>
      <c r="AJ464" s="786"/>
      <c r="AK464" s="786"/>
      <c r="AL464" s="786"/>
      <c r="AM464" s="786"/>
      <c r="AN464" s="786"/>
      <c r="AO464" s="786"/>
      <c r="AP464" s="786"/>
      <c r="AQ464" s="786"/>
    </row>
    <row r="465" spans="1:43" s="584" customFormat="1" ht="14.5" thickBot="1">
      <c r="A465" s="597"/>
      <c r="D465" s="1921" t="s">
        <v>131</v>
      </c>
      <c r="E465" s="1921"/>
      <c r="F465" s="1921"/>
      <c r="G465" s="1921"/>
      <c r="H465" s="1921"/>
      <c r="I465" s="1921"/>
      <c r="J465" s="1921"/>
      <c r="K465" s="1921"/>
      <c r="L465" s="1921"/>
      <c r="M465" s="1921" t="s">
        <v>132</v>
      </c>
      <c r="N465" s="1921"/>
      <c r="O465" s="1921"/>
      <c r="P465" s="1921"/>
      <c r="Q465" s="1921"/>
      <c r="R465" s="1921"/>
      <c r="S465" s="1921"/>
      <c r="T465" s="1921" t="s">
        <v>133</v>
      </c>
      <c r="U465" s="1921"/>
      <c r="V465" s="1921"/>
      <c r="W465" s="1921"/>
      <c r="X465" s="1921"/>
      <c r="Y465" s="1921"/>
      <c r="Z465" s="1921"/>
      <c r="AA465" s="1921" t="s">
        <v>129</v>
      </c>
      <c r="AB465" s="1921"/>
      <c r="AC465" s="1921"/>
      <c r="AD465" s="1921"/>
      <c r="AE465" s="1921"/>
      <c r="AF465" s="1921"/>
      <c r="AG465" s="1921"/>
      <c r="AI465" s="18"/>
      <c r="AJ465" s="18"/>
      <c r="AK465" s="18"/>
      <c r="AL465" s="18"/>
      <c r="AM465" s="18"/>
      <c r="AN465" s="18"/>
      <c r="AO465" s="18"/>
      <c r="AP465" s="18"/>
      <c r="AQ465" s="18"/>
    </row>
    <row r="466" spans="1:43" s="584" customFormat="1" ht="14.5" thickBot="1">
      <c r="A466" s="597"/>
      <c r="D466" s="2015" t="s">
        <v>134</v>
      </c>
      <c r="E466" s="2015"/>
      <c r="F466" s="2015"/>
      <c r="G466" s="2015"/>
      <c r="H466" s="2015"/>
      <c r="I466" s="2015"/>
      <c r="J466" s="2015"/>
      <c r="K466" s="2015"/>
      <c r="L466" s="2015"/>
      <c r="M466" s="2015"/>
      <c r="N466" s="2015"/>
      <c r="O466" s="2015"/>
      <c r="P466" s="2015"/>
      <c r="Q466" s="2015"/>
      <c r="R466" s="2015"/>
      <c r="S466" s="2015"/>
      <c r="T466" s="2015"/>
      <c r="U466" s="2015"/>
      <c r="V466" s="2015"/>
      <c r="W466" s="2015"/>
      <c r="X466" s="2015"/>
      <c r="Y466" s="2015"/>
      <c r="Z466" s="2015"/>
      <c r="AA466" s="2015"/>
      <c r="AB466" s="2015"/>
      <c r="AC466" s="2015"/>
      <c r="AD466" s="2015"/>
      <c r="AE466" s="2015"/>
      <c r="AF466" s="2015"/>
      <c r="AG466" s="2015"/>
      <c r="AI466" s="18"/>
      <c r="AJ466" s="18"/>
      <c r="AK466" s="18"/>
      <c r="AL466" s="18"/>
      <c r="AM466" s="18"/>
      <c r="AN466" s="18"/>
      <c r="AO466" s="18"/>
      <c r="AP466" s="18"/>
      <c r="AQ466" s="18"/>
    </row>
    <row r="467" spans="1:43" s="584" customFormat="1" ht="14">
      <c r="A467" s="597"/>
      <c r="D467" s="1870" t="s">
        <v>135</v>
      </c>
      <c r="E467" s="1870"/>
      <c r="F467" s="1870"/>
      <c r="G467" s="1870"/>
      <c r="H467" s="1870"/>
      <c r="I467" s="1870"/>
      <c r="J467" s="1870"/>
      <c r="K467" s="1870"/>
      <c r="L467" s="1870"/>
      <c r="M467" s="1818">
        <v>0</v>
      </c>
      <c r="N467" s="1818"/>
      <c r="O467" s="1818"/>
      <c r="P467" s="1818"/>
      <c r="Q467" s="1818"/>
      <c r="R467" s="1818"/>
      <c r="S467" s="1818"/>
      <c r="T467" s="1839">
        <v>0</v>
      </c>
      <c r="U467" s="1840"/>
      <c r="V467" s="1840"/>
      <c r="W467" s="1840"/>
      <c r="X467" s="1840"/>
      <c r="Y467" s="1840"/>
      <c r="Z467" s="1977"/>
      <c r="AA467" s="1899">
        <v>0</v>
      </c>
      <c r="AB467" s="1899"/>
      <c r="AC467" s="1899"/>
      <c r="AD467" s="1899"/>
      <c r="AE467" s="1899"/>
      <c r="AF467" s="1899"/>
      <c r="AG467" s="1899"/>
      <c r="AI467" s="18"/>
      <c r="AJ467" s="18"/>
      <c r="AK467" s="18"/>
      <c r="AL467" s="18"/>
      <c r="AM467" s="18"/>
      <c r="AN467" s="18"/>
      <c r="AO467" s="18"/>
      <c r="AP467" s="18"/>
      <c r="AQ467" s="18"/>
    </row>
    <row r="468" spans="1:43" s="584" customFormat="1" ht="14">
      <c r="A468" s="597"/>
      <c r="D468" s="1822" t="s">
        <v>1724</v>
      </c>
      <c r="E468" s="1822"/>
      <c r="F468" s="1822"/>
      <c r="G468" s="1822"/>
      <c r="H468" s="1822"/>
      <c r="I468" s="1822"/>
      <c r="J468" s="1822"/>
      <c r="K468" s="1822"/>
      <c r="L468" s="1822"/>
      <c r="M468" s="1967">
        <v>0</v>
      </c>
      <c r="N468" s="1967"/>
      <c r="O468" s="1967"/>
      <c r="P468" s="1967"/>
      <c r="Q468" s="1967"/>
      <c r="R468" s="1967"/>
      <c r="S468" s="1967"/>
      <c r="T468" s="1967">
        <v>0</v>
      </c>
      <c r="U468" s="1967"/>
      <c r="V468" s="1967"/>
      <c r="W468" s="1967"/>
      <c r="X468" s="1967"/>
      <c r="Y468" s="1967"/>
      <c r="Z468" s="1967"/>
      <c r="AA468" s="1794">
        <v>0</v>
      </c>
      <c r="AB468" s="1794"/>
      <c r="AC468" s="1794"/>
      <c r="AD468" s="1794"/>
      <c r="AE468" s="1794"/>
      <c r="AF468" s="1794"/>
      <c r="AG468" s="1794"/>
      <c r="AI468" s="18"/>
      <c r="AJ468" s="18"/>
      <c r="AK468" s="18"/>
      <c r="AL468" s="18"/>
      <c r="AM468" s="18"/>
      <c r="AN468" s="18"/>
      <c r="AO468" s="18"/>
      <c r="AP468" s="18"/>
      <c r="AQ468" s="18"/>
    </row>
    <row r="469" spans="1:43" s="584" customFormat="1" ht="24.75" customHeight="1">
      <c r="A469" s="597"/>
      <c r="D469" s="1822" t="s">
        <v>136</v>
      </c>
      <c r="E469" s="1822"/>
      <c r="F469" s="1822"/>
      <c r="G469" s="1822"/>
      <c r="H469" s="1822"/>
      <c r="I469" s="1822"/>
      <c r="J469" s="1822"/>
      <c r="K469" s="1822"/>
      <c r="L469" s="1822"/>
      <c r="M469" s="1967">
        <v>0</v>
      </c>
      <c r="N469" s="1967"/>
      <c r="O469" s="1967"/>
      <c r="P469" s="1967"/>
      <c r="Q469" s="1967"/>
      <c r="R469" s="1967"/>
      <c r="S469" s="1967"/>
      <c r="T469" s="1967">
        <v>0</v>
      </c>
      <c r="U469" s="1967"/>
      <c r="V469" s="1967"/>
      <c r="W469" s="1967"/>
      <c r="X469" s="1967"/>
      <c r="Y469" s="1967"/>
      <c r="Z469" s="1967"/>
      <c r="AA469" s="1794">
        <v>0</v>
      </c>
      <c r="AB469" s="1794"/>
      <c r="AC469" s="1794"/>
      <c r="AD469" s="1794"/>
      <c r="AE469" s="1794"/>
      <c r="AF469" s="1794"/>
      <c r="AG469" s="1794"/>
      <c r="AI469" s="18"/>
      <c r="AJ469" s="18"/>
      <c r="AK469" s="18"/>
      <c r="AL469" s="18"/>
      <c r="AM469" s="18"/>
      <c r="AN469" s="18"/>
      <c r="AO469" s="18"/>
      <c r="AP469" s="18"/>
      <c r="AQ469" s="18"/>
    </row>
    <row r="470" spans="1:43" s="584" customFormat="1" ht="24.75" customHeight="1">
      <c r="A470" s="597"/>
      <c r="D470" s="1822" t="s">
        <v>127</v>
      </c>
      <c r="E470" s="1822"/>
      <c r="F470" s="1822"/>
      <c r="G470" s="1822"/>
      <c r="H470" s="1822"/>
      <c r="I470" s="1822"/>
      <c r="J470" s="1822"/>
      <c r="K470" s="1822"/>
      <c r="L470" s="1822"/>
      <c r="M470" s="1967">
        <v>0</v>
      </c>
      <c r="N470" s="1967"/>
      <c r="O470" s="1967"/>
      <c r="P470" s="1967"/>
      <c r="Q470" s="1967"/>
      <c r="R470" s="1967"/>
      <c r="S470" s="1967"/>
      <c r="T470" s="1967">
        <v>0</v>
      </c>
      <c r="U470" s="1967"/>
      <c r="V470" s="1967"/>
      <c r="W470" s="1967"/>
      <c r="X470" s="1967"/>
      <c r="Y470" s="1967"/>
      <c r="Z470" s="1967"/>
      <c r="AA470" s="1794">
        <v>0</v>
      </c>
      <c r="AB470" s="1794"/>
      <c r="AC470" s="1794"/>
      <c r="AD470" s="1794"/>
      <c r="AE470" s="1794"/>
      <c r="AF470" s="1794"/>
      <c r="AG470" s="1794"/>
      <c r="AI470" s="18"/>
      <c r="AJ470" s="18"/>
      <c r="AK470" s="18"/>
      <c r="AL470" s="18"/>
      <c r="AM470" s="18"/>
      <c r="AN470" s="18"/>
      <c r="AO470" s="18"/>
      <c r="AP470" s="18"/>
      <c r="AQ470" s="18"/>
    </row>
    <row r="471" spans="1:43" s="584" customFormat="1" ht="14.5" thickBot="1">
      <c r="A471" s="597"/>
      <c r="D471" s="1996" t="s">
        <v>128</v>
      </c>
      <c r="E471" s="1996"/>
      <c r="F471" s="1996"/>
      <c r="G471" s="1996"/>
      <c r="H471" s="1996"/>
      <c r="I471" s="1996"/>
      <c r="J471" s="1996"/>
      <c r="K471" s="1996"/>
      <c r="L471" s="1996"/>
      <c r="M471" s="1968">
        <v>0</v>
      </c>
      <c r="N471" s="1969"/>
      <c r="O471" s="1969"/>
      <c r="P471" s="1969"/>
      <c r="Q471" s="1969"/>
      <c r="R471" s="1969"/>
      <c r="S471" s="1970"/>
      <c r="T471" s="1967">
        <v>0</v>
      </c>
      <c r="U471" s="1967"/>
      <c r="V471" s="1967"/>
      <c r="W471" s="1967"/>
      <c r="X471" s="1967"/>
      <c r="Y471" s="1967"/>
      <c r="Z471" s="1967"/>
      <c r="AA471" s="1794">
        <v>0</v>
      </c>
      <c r="AB471" s="1794"/>
      <c r="AC471" s="1794"/>
      <c r="AD471" s="1794"/>
      <c r="AE471" s="1794"/>
      <c r="AF471" s="1794"/>
      <c r="AG471" s="1794"/>
      <c r="AI471" s="18"/>
      <c r="AJ471" s="18"/>
      <c r="AK471" s="18"/>
      <c r="AL471" s="18"/>
      <c r="AM471" s="18"/>
      <c r="AN471" s="18"/>
      <c r="AO471" s="18"/>
      <c r="AP471" s="18"/>
      <c r="AQ471" s="18"/>
    </row>
    <row r="472" spans="1:43" s="584" customFormat="1" ht="14.5" thickBot="1">
      <c r="A472" s="597"/>
      <c r="D472" s="2015" t="s">
        <v>137</v>
      </c>
      <c r="E472" s="2015"/>
      <c r="F472" s="2015"/>
      <c r="G472" s="2015"/>
      <c r="H472" s="2015"/>
      <c r="I472" s="2015"/>
      <c r="J472" s="2015"/>
      <c r="K472" s="2015"/>
      <c r="L472" s="2015"/>
      <c r="M472" s="2014">
        <v>0</v>
      </c>
      <c r="N472" s="2014"/>
      <c r="O472" s="2014"/>
      <c r="P472" s="2014"/>
      <c r="Q472" s="2014"/>
      <c r="R472" s="2014"/>
      <c r="S472" s="2014"/>
      <c r="T472" s="2014">
        <v>0</v>
      </c>
      <c r="U472" s="2014"/>
      <c r="V472" s="2014"/>
      <c r="W472" s="2014"/>
      <c r="X472" s="2014"/>
      <c r="Y472" s="2014"/>
      <c r="Z472" s="2014"/>
      <c r="AA472" s="2014">
        <v>0</v>
      </c>
      <c r="AB472" s="2014"/>
      <c r="AC472" s="2014"/>
      <c r="AD472" s="2014"/>
      <c r="AE472" s="2014"/>
      <c r="AF472" s="2014"/>
      <c r="AG472" s="2014"/>
      <c r="AI472" s="18"/>
      <c r="AJ472" s="18"/>
      <c r="AK472" s="18"/>
      <c r="AL472" s="18"/>
      <c r="AM472" s="18"/>
      <c r="AN472" s="18"/>
      <c r="AO472" s="18"/>
      <c r="AP472" s="18"/>
      <c r="AQ472" s="18"/>
    </row>
    <row r="473" spans="1:43" s="584" customFormat="1" ht="14.5" thickBot="1">
      <c r="A473" s="597"/>
      <c r="D473" s="2015" t="s">
        <v>138</v>
      </c>
      <c r="E473" s="2015"/>
      <c r="F473" s="2015"/>
      <c r="G473" s="2015"/>
      <c r="H473" s="2015"/>
      <c r="I473" s="2015"/>
      <c r="J473" s="2015"/>
      <c r="K473" s="2015"/>
      <c r="L473" s="2015"/>
      <c r="M473" s="2015"/>
      <c r="N473" s="2015"/>
      <c r="O473" s="2015"/>
      <c r="P473" s="2015"/>
      <c r="Q473" s="2015"/>
      <c r="R473" s="2015"/>
      <c r="S473" s="2015"/>
      <c r="T473" s="2015"/>
      <c r="U473" s="2015"/>
      <c r="V473" s="2015"/>
      <c r="W473" s="2015"/>
      <c r="X473" s="2015"/>
      <c r="Y473" s="2015"/>
      <c r="Z473" s="2015"/>
      <c r="AA473" s="2015"/>
      <c r="AB473" s="2015"/>
      <c r="AC473" s="2015"/>
      <c r="AD473" s="2015"/>
      <c r="AE473" s="2015"/>
      <c r="AF473" s="2015"/>
      <c r="AG473" s="2015"/>
      <c r="AI473" s="18"/>
      <c r="AJ473" s="18"/>
      <c r="AK473" s="18"/>
      <c r="AL473" s="18"/>
      <c r="AM473" s="18"/>
      <c r="AN473" s="18"/>
      <c r="AO473" s="18"/>
      <c r="AP473" s="18"/>
      <c r="AQ473" s="18"/>
    </row>
    <row r="474" spans="1:43" s="584" customFormat="1" ht="14">
      <c r="A474" s="597"/>
      <c r="D474" s="1870" t="s">
        <v>139</v>
      </c>
      <c r="E474" s="1870"/>
      <c r="F474" s="1870"/>
      <c r="G474" s="1870"/>
      <c r="H474" s="1870"/>
      <c r="I474" s="1870"/>
      <c r="J474" s="1870"/>
      <c r="K474" s="1870"/>
      <c r="L474" s="1870"/>
      <c r="M474" s="1830">
        <v>1002788</v>
      </c>
      <c r="N474" s="1830"/>
      <c r="O474" s="1830"/>
      <c r="P474" s="1830"/>
      <c r="Q474" s="1830"/>
      <c r="R474" s="1830"/>
      <c r="S474" s="1830"/>
      <c r="T474" s="1830">
        <v>258368</v>
      </c>
      <c r="U474" s="1830"/>
      <c r="V474" s="1830"/>
      <c r="W474" s="1830"/>
      <c r="X474" s="1830"/>
      <c r="Y474" s="1830"/>
      <c r="Z474" s="1830"/>
      <c r="AA474" s="1899">
        <f>M474+T474</f>
        <v>1261156</v>
      </c>
      <c r="AB474" s="1899"/>
      <c r="AC474" s="1899"/>
      <c r="AD474" s="1899"/>
      <c r="AE474" s="1899"/>
      <c r="AF474" s="1899"/>
      <c r="AG474" s="1899"/>
      <c r="AI474" s="18"/>
      <c r="AJ474" s="18"/>
      <c r="AK474" s="18"/>
      <c r="AL474" s="18"/>
      <c r="AM474" s="18"/>
      <c r="AN474" s="18"/>
      <c r="AO474" s="18"/>
      <c r="AP474" s="18"/>
      <c r="AQ474" s="18"/>
    </row>
    <row r="475" spans="1:43" s="584" customFormat="1" ht="14">
      <c r="A475" s="597"/>
      <c r="D475" s="1822" t="s">
        <v>1725</v>
      </c>
      <c r="E475" s="1822"/>
      <c r="F475" s="1822"/>
      <c r="G475" s="1822"/>
      <c r="H475" s="1822"/>
      <c r="I475" s="1822"/>
      <c r="J475" s="1822"/>
      <c r="K475" s="1822"/>
      <c r="L475" s="1822"/>
      <c r="M475" s="2327">
        <v>95180</v>
      </c>
      <c r="N475" s="2327"/>
      <c r="O475" s="2327"/>
      <c r="P475" s="2327"/>
      <c r="Q475" s="2327"/>
      <c r="R475" s="2327"/>
      <c r="S475" s="2327"/>
      <c r="T475" s="2327">
        <v>39162</v>
      </c>
      <c r="U475" s="2327"/>
      <c r="V475" s="2327"/>
      <c r="W475" s="2327"/>
      <c r="X475" s="2327"/>
      <c r="Y475" s="2327"/>
      <c r="Z475" s="2327"/>
      <c r="AA475" s="1794">
        <f t="shared" ref="AA475:AA477" si="146">M475+T475</f>
        <v>134342</v>
      </c>
      <c r="AB475" s="1794"/>
      <c r="AC475" s="1794"/>
      <c r="AD475" s="1794"/>
      <c r="AE475" s="1794"/>
      <c r="AF475" s="1794"/>
      <c r="AG475" s="1794"/>
      <c r="AI475" s="18"/>
      <c r="AJ475" s="18"/>
      <c r="AK475" s="18"/>
      <c r="AL475" s="18"/>
      <c r="AM475" s="18"/>
      <c r="AN475" s="18"/>
      <c r="AO475" s="18"/>
      <c r="AP475" s="18"/>
      <c r="AQ475" s="18"/>
    </row>
    <row r="476" spans="1:43" s="584" customFormat="1" ht="31.5" customHeight="1">
      <c r="A476" s="597"/>
      <c r="D476" s="1822" t="s">
        <v>136</v>
      </c>
      <c r="E476" s="1822"/>
      <c r="F476" s="1822"/>
      <c r="G476" s="1822"/>
      <c r="H476" s="1822"/>
      <c r="I476" s="1822"/>
      <c r="J476" s="1822"/>
      <c r="K476" s="1822"/>
      <c r="L476" s="1822"/>
      <c r="M476" s="1967">
        <v>0</v>
      </c>
      <c r="N476" s="1967"/>
      <c r="O476" s="1967"/>
      <c r="P476" s="1967"/>
      <c r="Q476" s="1967"/>
      <c r="R476" s="1967"/>
      <c r="S476" s="1967"/>
      <c r="T476" s="1967">
        <v>0</v>
      </c>
      <c r="U476" s="1967"/>
      <c r="V476" s="1967"/>
      <c r="W476" s="1967"/>
      <c r="X476" s="1967"/>
      <c r="Y476" s="1967"/>
      <c r="Z476" s="1967"/>
      <c r="AA476" s="1794">
        <f t="shared" si="146"/>
        <v>0</v>
      </c>
      <c r="AB476" s="1794"/>
      <c r="AC476" s="1794"/>
      <c r="AD476" s="1794"/>
      <c r="AE476" s="1794"/>
      <c r="AF476" s="1794"/>
      <c r="AG476" s="1794"/>
      <c r="AI476" s="18"/>
      <c r="AJ476" s="18"/>
      <c r="AK476" s="18"/>
      <c r="AL476" s="18"/>
      <c r="AM476" s="18"/>
      <c r="AN476" s="18"/>
      <c r="AO476" s="18"/>
      <c r="AP476" s="18"/>
      <c r="AQ476" s="18"/>
    </row>
    <row r="477" spans="1:43" s="584" customFormat="1" ht="32.25" customHeight="1">
      <c r="A477" s="597"/>
      <c r="D477" s="1822" t="s">
        <v>127</v>
      </c>
      <c r="E477" s="1822"/>
      <c r="F477" s="1822"/>
      <c r="G477" s="1822"/>
      <c r="H477" s="1822"/>
      <c r="I477" s="1822"/>
      <c r="J477" s="1822"/>
      <c r="K477" s="1822"/>
      <c r="L477" s="1822"/>
      <c r="M477" s="1967">
        <v>0</v>
      </c>
      <c r="N477" s="1967"/>
      <c r="O477" s="1967"/>
      <c r="P477" s="1967"/>
      <c r="Q477" s="1967"/>
      <c r="R477" s="1967"/>
      <c r="S477" s="1967"/>
      <c r="T477" s="1967">
        <v>0</v>
      </c>
      <c r="U477" s="1967"/>
      <c r="V477" s="1967"/>
      <c r="W477" s="1967"/>
      <c r="X477" s="1967"/>
      <c r="Y477" s="1967"/>
      <c r="Z477" s="1967"/>
      <c r="AA477" s="1794">
        <f t="shared" si="146"/>
        <v>0</v>
      </c>
      <c r="AB477" s="1794"/>
      <c r="AC477" s="1794"/>
      <c r="AD477" s="1794"/>
      <c r="AE477" s="1794"/>
      <c r="AF477" s="1794"/>
      <c r="AG477" s="1794"/>
      <c r="AI477" s="18"/>
      <c r="AJ477" s="18"/>
      <c r="AK477" s="18"/>
      <c r="AL477" s="18"/>
      <c r="AM477" s="18"/>
      <c r="AN477" s="18"/>
      <c r="AO477" s="18"/>
      <c r="AP477" s="18"/>
      <c r="AQ477" s="18"/>
    </row>
    <row r="478" spans="1:43" s="584" customFormat="1" ht="14">
      <c r="A478" s="597"/>
      <c r="D478" s="1822" t="s">
        <v>140</v>
      </c>
      <c r="E478" s="1822"/>
      <c r="F478" s="1822"/>
      <c r="G478" s="1822"/>
      <c r="H478" s="1822"/>
      <c r="I478" s="1822"/>
      <c r="J478" s="1822"/>
      <c r="K478" s="1822"/>
      <c r="L478" s="1822"/>
      <c r="M478" s="1791">
        <v>0</v>
      </c>
      <c r="N478" s="1791"/>
      <c r="O478" s="1791"/>
      <c r="P478" s="1791"/>
      <c r="Q478" s="1791"/>
      <c r="R478" s="1791"/>
      <c r="S478" s="1791"/>
      <c r="T478" s="1967">
        <v>0</v>
      </c>
      <c r="U478" s="1967"/>
      <c r="V478" s="1967"/>
      <c r="W478" s="1967"/>
      <c r="X478" s="1967"/>
      <c r="Y478" s="1967"/>
      <c r="Z478" s="1967"/>
      <c r="AA478" s="1794">
        <f>M478+T478</f>
        <v>0</v>
      </c>
      <c r="AB478" s="1794"/>
      <c r="AC478" s="1794"/>
      <c r="AD478" s="1794"/>
      <c r="AE478" s="1794"/>
      <c r="AF478" s="1794"/>
      <c r="AG478" s="1794"/>
      <c r="AI478" s="18"/>
      <c r="AJ478" s="18"/>
      <c r="AK478" s="18"/>
      <c r="AL478" s="18"/>
      <c r="AM478" s="18"/>
      <c r="AN478" s="18"/>
      <c r="AO478" s="18"/>
      <c r="AP478" s="18"/>
      <c r="AQ478" s="18"/>
    </row>
    <row r="479" spans="1:43" s="584" customFormat="1" ht="14">
      <c r="A479" s="597"/>
      <c r="D479" s="1822" t="s">
        <v>141</v>
      </c>
      <c r="E479" s="1822"/>
      <c r="F479" s="1822"/>
      <c r="G479" s="1822"/>
      <c r="H479" s="1822"/>
      <c r="I479" s="1822"/>
      <c r="J479" s="1822"/>
      <c r="K479" s="1822"/>
      <c r="L479" s="1822"/>
      <c r="M479" s="1791">
        <v>41600</v>
      </c>
      <c r="N479" s="1791"/>
      <c r="O479" s="1791"/>
      <c r="P479" s="1791"/>
      <c r="Q479" s="1791"/>
      <c r="R479" s="1791"/>
      <c r="S479" s="1791"/>
      <c r="T479" s="1967">
        <v>0</v>
      </c>
      <c r="U479" s="1967"/>
      <c r="V479" s="1967"/>
      <c r="W479" s="1967"/>
      <c r="X479" s="1967"/>
      <c r="Y479" s="1967"/>
      <c r="Z479" s="1967"/>
      <c r="AA479" s="1794">
        <f t="shared" ref="AA479:AA480" si="147">M479+T479</f>
        <v>41600</v>
      </c>
      <c r="AB479" s="1794"/>
      <c r="AC479" s="1794"/>
      <c r="AD479" s="1794"/>
      <c r="AE479" s="1794"/>
      <c r="AF479" s="1794"/>
      <c r="AG479" s="1794"/>
      <c r="AI479" s="18"/>
      <c r="AJ479" s="18"/>
      <c r="AK479" s="18"/>
      <c r="AL479" s="18"/>
      <c r="AM479" s="18"/>
      <c r="AN479" s="18"/>
      <c r="AO479" s="18"/>
      <c r="AP479" s="18"/>
      <c r="AQ479" s="18"/>
    </row>
    <row r="480" spans="1:43" s="584" customFormat="1" ht="14.5" thickBot="1">
      <c r="A480" s="597"/>
      <c r="D480" s="1996" t="s">
        <v>128</v>
      </c>
      <c r="E480" s="1996"/>
      <c r="F480" s="1996"/>
      <c r="G480" s="1996"/>
      <c r="H480" s="1996"/>
      <c r="I480" s="1996"/>
      <c r="J480" s="1996"/>
      <c r="K480" s="1996"/>
      <c r="L480" s="1996"/>
      <c r="M480" s="1855">
        <v>13355</v>
      </c>
      <c r="N480" s="1856"/>
      <c r="O480" s="1856"/>
      <c r="P480" s="1856"/>
      <c r="Q480" s="1856"/>
      <c r="R480" s="1856"/>
      <c r="S480" s="1857"/>
      <c r="T480" s="1967">
        <v>0</v>
      </c>
      <c r="U480" s="1967"/>
      <c r="V480" s="1967"/>
      <c r="W480" s="1967"/>
      <c r="X480" s="1967"/>
      <c r="Y480" s="1967"/>
      <c r="Z480" s="1967"/>
      <c r="AA480" s="1794">
        <f t="shared" si="147"/>
        <v>13355</v>
      </c>
      <c r="AB480" s="1794"/>
      <c r="AC480" s="1794"/>
      <c r="AD480" s="1794"/>
      <c r="AE480" s="1794"/>
      <c r="AF480" s="1794"/>
      <c r="AG480" s="1794"/>
      <c r="AI480" s="18"/>
      <c r="AJ480" s="18"/>
      <c r="AK480" s="18"/>
      <c r="AL480" s="18"/>
      <c r="AM480" s="18"/>
      <c r="AN480" s="18"/>
      <c r="AO480" s="18"/>
      <c r="AP480" s="18"/>
      <c r="AQ480" s="18"/>
    </row>
    <row r="481" spans="1:43" s="584" customFormat="1" ht="14.5" thickBot="1">
      <c r="A481" s="597"/>
      <c r="D481" s="1995" t="s">
        <v>142</v>
      </c>
      <c r="E481" s="1995"/>
      <c r="F481" s="1995"/>
      <c r="G481" s="1995"/>
      <c r="H481" s="1995"/>
      <c r="I481" s="1995"/>
      <c r="J481" s="1995"/>
      <c r="K481" s="1995"/>
      <c r="L481" s="1995"/>
      <c r="M481" s="2014">
        <f>SUM(M474:S480)</f>
        <v>1152923</v>
      </c>
      <c r="N481" s="2014"/>
      <c r="O481" s="2014"/>
      <c r="P481" s="2014"/>
      <c r="Q481" s="2014"/>
      <c r="R481" s="2014"/>
      <c r="S481" s="2014"/>
      <c r="T481" s="2014">
        <f t="shared" ref="T481" si="148">SUM(T474:Z480)</f>
        <v>297530</v>
      </c>
      <c r="U481" s="2014"/>
      <c r="V481" s="2014"/>
      <c r="W481" s="2014"/>
      <c r="X481" s="2014"/>
      <c r="Y481" s="2014"/>
      <c r="Z481" s="2014"/>
      <c r="AA481" s="2014">
        <f>SUM(AA474:AG480)</f>
        <v>1450453</v>
      </c>
      <c r="AB481" s="2014"/>
      <c r="AC481" s="2014"/>
      <c r="AD481" s="2014"/>
      <c r="AE481" s="2014"/>
      <c r="AF481" s="2014"/>
      <c r="AG481" s="2014"/>
      <c r="AI481" s="18"/>
      <c r="AJ481" s="18"/>
      <c r="AK481" s="18"/>
      <c r="AL481" s="18"/>
      <c r="AM481" s="18"/>
      <c r="AN481" s="18"/>
      <c r="AO481" s="18"/>
      <c r="AP481" s="18"/>
      <c r="AQ481" s="18"/>
    </row>
    <row r="482" spans="1:43" s="773" customFormat="1" ht="14">
      <c r="A482" s="784"/>
      <c r="AI482" s="786"/>
      <c r="AJ482" s="786"/>
      <c r="AK482" s="786"/>
      <c r="AL482" s="786"/>
      <c r="AM482" s="786"/>
      <c r="AN482" s="786"/>
      <c r="AO482" s="786"/>
      <c r="AP482" s="786"/>
      <c r="AQ482" s="786"/>
    </row>
    <row r="483" spans="1:43" s="584" customFormat="1" ht="14">
      <c r="A483" s="597"/>
      <c r="D483" s="2005" t="s">
        <v>2854</v>
      </c>
      <c r="E483" s="2006"/>
      <c r="F483" s="2006"/>
      <c r="G483" s="2006"/>
      <c r="H483" s="2006"/>
      <c r="I483" s="2006"/>
      <c r="J483" s="2006"/>
      <c r="K483" s="2006"/>
      <c r="L483" s="2006"/>
      <c r="M483" s="2006"/>
      <c r="N483" s="2006"/>
      <c r="O483" s="2006"/>
      <c r="P483" s="2006"/>
      <c r="Q483" s="2006"/>
      <c r="R483" s="2006"/>
      <c r="S483" s="2006"/>
      <c r="T483" s="2006"/>
      <c r="U483" s="2006"/>
      <c r="V483" s="2006"/>
      <c r="W483" s="2006"/>
      <c r="X483" s="2006"/>
      <c r="Y483" s="2006"/>
      <c r="Z483" s="2006"/>
      <c r="AA483" s="2006"/>
      <c r="AB483" s="2006"/>
      <c r="AC483" s="2006"/>
      <c r="AD483" s="2006"/>
      <c r="AE483" s="2006"/>
      <c r="AF483" s="2006"/>
      <c r="AG483" s="2006"/>
      <c r="AI483" s="18"/>
      <c r="AJ483" s="18"/>
      <c r="AK483" s="18"/>
      <c r="AL483" s="18"/>
      <c r="AM483" s="18"/>
      <c r="AN483" s="18"/>
      <c r="AO483" s="18"/>
      <c r="AP483" s="18"/>
      <c r="AQ483" s="18"/>
    </row>
    <row r="484" spans="1:43" s="584" customFormat="1" ht="14.5" thickBot="1">
      <c r="A484" s="597"/>
      <c r="D484" s="628"/>
      <c r="E484" s="628"/>
      <c r="F484" s="628"/>
      <c r="G484" s="628"/>
      <c r="H484" s="628"/>
      <c r="I484" s="628"/>
      <c r="J484" s="628"/>
      <c r="K484" s="628"/>
      <c r="L484" s="628"/>
      <c r="M484" s="628"/>
      <c r="N484" s="628"/>
      <c r="O484" s="628"/>
      <c r="P484" s="628"/>
      <c r="Q484" s="628"/>
      <c r="R484" s="628"/>
      <c r="S484" s="628"/>
      <c r="T484" s="628"/>
      <c r="U484" s="628"/>
      <c r="V484" s="628"/>
      <c r="W484" s="628"/>
      <c r="X484" s="628"/>
      <c r="Y484" s="628"/>
      <c r="Z484" s="628"/>
      <c r="AA484" s="628"/>
      <c r="AB484" s="628"/>
      <c r="AC484" s="628"/>
      <c r="AD484" s="628"/>
      <c r="AE484" s="628"/>
      <c r="AF484" s="628"/>
      <c r="AG484" s="628"/>
      <c r="AI484" s="18"/>
      <c r="AJ484" s="18"/>
      <c r="AK484" s="18"/>
      <c r="AL484" s="18"/>
      <c r="AM484" s="18"/>
      <c r="AN484" s="18"/>
      <c r="AO484" s="18"/>
      <c r="AP484" s="18"/>
      <c r="AQ484" s="18"/>
    </row>
    <row r="485" spans="1:43" s="584" customFormat="1" ht="15.75" customHeight="1" thickBot="1">
      <c r="A485" s="597"/>
      <c r="D485" s="1877" t="s">
        <v>122</v>
      </c>
      <c r="E485" s="1878"/>
      <c r="F485" s="1878"/>
      <c r="G485" s="1878"/>
      <c r="H485" s="1878"/>
      <c r="I485" s="1878"/>
      <c r="J485" s="1878"/>
      <c r="K485" s="1878"/>
      <c r="L485" s="1878"/>
      <c r="M485" s="1878"/>
      <c r="N485" s="2042" t="s">
        <v>2</v>
      </c>
      <c r="O485" s="2043"/>
      <c r="P485" s="2043"/>
      <c r="Q485" s="2043"/>
      <c r="R485" s="2043"/>
      <c r="S485" s="2043"/>
      <c r="T485" s="2043"/>
      <c r="U485" s="2043"/>
      <c r="V485" s="2043"/>
      <c r="W485" s="2043"/>
      <c r="X485" s="2042" t="s">
        <v>3</v>
      </c>
      <c r="Y485" s="2043"/>
      <c r="Z485" s="2043"/>
      <c r="AA485" s="2043"/>
      <c r="AB485" s="2043"/>
      <c r="AC485" s="2043"/>
      <c r="AD485" s="2043"/>
      <c r="AE485" s="2043"/>
      <c r="AF485" s="2043"/>
      <c r="AG485" s="2044"/>
      <c r="AI485" s="18"/>
      <c r="AJ485" s="18"/>
      <c r="AK485" s="18"/>
      <c r="AL485" s="18"/>
      <c r="AM485" s="18"/>
      <c r="AN485" s="18"/>
      <c r="AO485" s="18"/>
      <c r="AP485" s="18"/>
      <c r="AQ485" s="18"/>
    </row>
    <row r="486" spans="1:43" s="584" customFormat="1" ht="27.25" customHeight="1">
      <c r="A486" s="597"/>
      <c r="D486" s="2129" t="s">
        <v>150</v>
      </c>
      <c r="E486" s="2129"/>
      <c r="F486" s="2129"/>
      <c r="G486" s="2129"/>
      <c r="H486" s="2129"/>
      <c r="I486" s="2129"/>
      <c r="J486" s="2129"/>
      <c r="K486" s="2129"/>
      <c r="L486" s="2129"/>
      <c r="M486" s="2129"/>
      <c r="N486" s="2130" t="s">
        <v>1339</v>
      </c>
      <c r="O486" s="2131"/>
      <c r="P486" s="2131"/>
      <c r="Q486" s="2131"/>
      <c r="R486" s="2131"/>
      <c r="S486" s="2131"/>
      <c r="T486" s="2131"/>
      <c r="U486" s="2131"/>
      <c r="V486" s="2131"/>
      <c r="W486" s="2131"/>
      <c r="X486" s="2132" t="s">
        <v>1339</v>
      </c>
      <c r="Y486" s="2131"/>
      <c r="Z486" s="2131"/>
      <c r="AA486" s="2131"/>
      <c r="AB486" s="2131"/>
      <c r="AC486" s="2131"/>
      <c r="AD486" s="2131"/>
      <c r="AE486" s="2131"/>
      <c r="AF486" s="2131"/>
      <c r="AG486" s="2131"/>
      <c r="AI486" s="18"/>
      <c r="AJ486" s="18"/>
      <c r="AK486" s="18"/>
      <c r="AL486" s="18"/>
      <c r="AM486" s="18"/>
      <c r="AN486" s="18"/>
      <c r="AO486" s="18"/>
      <c r="AP486" s="18"/>
      <c r="AQ486" s="18"/>
    </row>
    <row r="487" spans="1:43" s="584" customFormat="1" ht="27.25" customHeight="1">
      <c r="A487" s="597"/>
      <c r="D487" s="1825" t="s">
        <v>151</v>
      </c>
      <c r="E487" s="1826"/>
      <c r="F487" s="1826"/>
      <c r="G487" s="1826"/>
      <c r="H487" s="1826"/>
      <c r="I487" s="1826"/>
      <c r="J487" s="1826"/>
      <c r="K487" s="1826"/>
      <c r="L487" s="1826"/>
      <c r="M487" s="1827"/>
      <c r="N487" s="1951" t="s">
        <v>1339</v>
      </c>
      <c r="O487" s="1967"/>
      <c r="P487" s="1967"/>
      <c r="Q487" s="1967"/>
      <c r="R487" s="1967"/>
      <c r="S487" s="1967"/>
      <c r="T487" s="1967"/>
      <c r="U487" s="1967"/>
      <c r="V487" s="1967"/>
      <c r="W487" s="1967"/>
      <c r="X487" s="1793" t="s">
        <v>1339</v>
      </c>
      <c r="Y487" s="1791"/>
      <c r="Z487" s="1791"/>
      <c r="AA487" s="1791"/>
      <c r="AB487" s="1791"/>
      <c r="AC487" s="1791"/>
      <c r="AD487" s="1791"/>
      <c r="AE487" s="1791"/>
      <c r="AF487" s="1791"/>
      <c r="AG487" s="1791"/>
      <c r="AI487" s="18"/>
      <c r="AJ487" s="18"/>
      <c r="AK487" s="18"/>
      <c r="AL487" s="18"/>
      <c r="AM487" s="18"/>
      <c r="AN487" s="18"/>
      <c r="AO487" s="18"/>
      <c r="AP487" s="18"/>
      <c r="AQ487" s="18"/>
    </row>
    <row r="488" spans="1:43" s="584" customFormat="1" ht="27.25" customHeight="1" thickBot="1">
      <c r="A488" s="597"/>
      <c r="D488" s="2115" t="s">
        <v>152</v>
      </c>
      <c r="E488" s="2054"/>
      <c r="F488" s="2054"/>
      <c r="G488" s="2054"/>
      <c r="H488" s="2054"/>
      <c r="I488" s="2054"/>
      <c r="J488" s="2054"/>
      <c r="K488" s="2054"/>
      <c r="L488" s="2054"/>
      <c r="M488" s="2055"/>
      <c r="N488" s="2127" t="s">
        <v>1339</v>
      </c>
      <c r="O488" s="1859"/>
      <c r="P488" s="1859"/>
      <c r="Q488" s="1859"/>
      <c r="R488" s="1859"/>
      <c r="S488" s="1859"/>
      <c r="T488" s="1859"/>
      <c r="U488" s="1859"/>
      <c r="V488" s="1859"/>
      <c r="W488" s="1859"/>
      <c r="X488" s="2128" t="s">
        <v>1339</v>
      </c>
      <c r="Y488" s="1859"/>
      <c r="Z488" s="1859"/>
      <c r="AA488" s="1859"/>
      <c r="AB488" s="1859"/>
      <c r="AC488" s="1859"/>
      <c r="AD488" s="1859"/>
      <c r="AE488" s="1859"/>
      <c r="AF488" s="1859"/>
      <c r="AG488" s="1859"/>
      <c r="AI488" s="18"/>
      <c r="AJ488" s="18"/>
      <c r="AK488" s="18"/>
      <c r="AL488" s="18"/>
      <c r="AM488" s="18"/>
      <c r="AN488" s="18"/>
      <c r="AO488" s="18"/>
      <c r="AP488" s="18"/>
      <c r="AQ488" s="18"/>
    </row>
    <row r="489" spans="1:43" s="773" customFormat="1" ht="14">
      <c r="A489" s="784"/>
      <c r="AI489" s="786"/>
      <c r="AJ489" s="786"/>
      <c r="AK489" s="786"/>
      <c r="AL489" s="786"/>
      <c r="AM489" s="786"/>
      <c r="AN489" s="786"/>
      <c r="AO489" s="786"/>
      <c r="AP489" s="786"/>
      <c r="AQ489" s="786"/>
    </row>
    <row r="490" spans="1:43" s="584" customFormat="1" ht="14">
      <c r="A490" s="597"/>
      <c r="D490" s="2126"/>
      <c r="E490" s="2126"/>
      <c r="F490" s="2126"/>
      <c r="G490" s="2126"/>
      <c r="H490" s="2126"/>
      <c r="I490" s="2126"/>
      <c r="J490" s="2126"/>
      <c r="K490" s="2126"/>
      <c r="L490" s="2126"/>
      <c r="M490" s="2126"/>
      <c r="N490" s="2126"/>
      <c r="O490" s="2126"/>
      <c r="P490" s="2126"/>
      <c r="Q490" s="2126"/>
      <c r="R490" s="2126"/>
      <c r="S490" s="2126"/>
      <c r="T490" s="2126"/>
      <c r="U490" s="2126"/>
      <c r="V490" s="2126"/>
      <c r="W490" s="2126"/>
      <c r="X490" s="2126"/>
      <c r="Y490" s="2126"/>
      <c r="Z490" s="2126"/>
      <c r="AA490" s="2126"/>
      <c r="AB490" s="2126"/>
      <c r="AC490" s="2126"/>
      <c r="AD490" s="2126"/>
      <c r="AE490" s="2126"/>
      <c r="AF490" s="2126"/>
      <c r="AG490" s="2126"/>
      <c r="AI490" s="18"/>
      <c r="AJ490" s="18"/>
      <c r="AK490" s="18"/>
      <c r="AL490" s="18"/>
      <c r="AM490" s="18"/>
      <c r="AN490" s="18"/>
      <c r="AO490" s="18"/>
      <c r="AP490" s="18"/>
      <c r="AQ490" s="18"/>
    </row>
    <row r="491" spans="1:43" s="584" customFormat="1" ht="14">
      <c r="A491" s="597"/>
      <c r="AI491" s="18"/>
      <c r="AJ491" s="18"/>
      <c r="AK491" s="18"/>
      <c r="AL491" s="18"/>
      <c r="AM491" s="18"/>
      <c r="AN491" s="18"/>
      <c r="AO491" s="18"/>
      <c r="AP491" s="18"/>
      <c r="AQ491" s="18"/>
    </row>
    <row r="492" spans="1:43" s="584" customFormat="1" ht="14">
      <c r="A492" s="597"/>
      <c r="D492" s="582" t="s">
        <v>2930</v>
      </c>
      <c r="AI492" s="18"/>
      <c r="AJ492" s="18"/>
      <c r="AK492" s="18"/>
      <c r="AL492" s="18"/>
      <c r="AM492" s="18"/>
      <c r="AN492" s="18"/>
      <c r="AO492" s="18"/>
      <c r="AP492" s="18"/>
      <c r="AQ492" s="18"/>
    </row>
    <row r="493" spans="1:43" s="584" customFormat="1" ht="14">
      <c r="A493" s="597"/>
      <c r="AI493" s="18"/>
      <c r="AJ493" s="18"/>
      <c r="AK493" s="18"/>
      <c r="AL493" s="18"/>
      <c r="AM493" s="18"/>
      <c r="AN493" s="18"/>
      <c r="AO493" s="18"/>
      <c r="AP493" s="18"/>
      <c r="AQ493" s="18"/>
    </row>
    <row r="494" spans="1:43" s="584" customFormat="1" ht="14">
      <c r="A494" s="18"/>
      <c r="D494" s="2006" t="s">
        <v>1368</v>
      </c>
      <c r="E494" s="2006"/>
      <c r="F494" s="2006"/>
      <c r="G494" s="2006"/>
      <c r="H494" s="2006"/>
      <c r="I494" s="2006"/>
      <c r="J494" s="2006"/>
      <c r="K494" s="2006"/>
      <c r="L494" s="2006"/>
      <c r="M494" s="2006"/>
      <c r="N494" s="2006"/>
      <c r="O494" s="2006"/>
      <c r="P494" s="2006"/>
      <c r="Q494" s="2006"/>
      <c r="R494" s="2006"/>
      <c r="S494" s="2006"/>
      <c r="T494" s="2006"/>
      <c r="U494" s="2006"/>
      <c r="V494" s="2006"/>
      <c r="W494" s="2006"/>
      <c r="X494" s="2006"/>
      <c r="Y494" s="2006"/>
      <c r="Z494" s="2006"/>
      <c r="AA494" s="2006"/>
      <c r="AB494" s="2006"/>
      <c r="AC494" s="2006"/>
      <c r="AD494" s="2006"/>
      <c r="AE494" s="2006"/>
      <c r="AF494" s="2006"/>
      <c r="AG494" s="2006"/>
      <c r="AI494" s="18"/>
      <c r="AJ494" s="18"/>
      <c r="AK494" s="18"/>
      <c r="AL494" s="18"/>
      <c r="AM494" s="18"/>
      <c r="AN494" s="18"/>
      <c r="AO494" s="18"/>
      <c r="AP494" s="18"/>
      <c r="AQ494" s="18"/>
    </row>
    <row r="495" spans="1:43" s="584" customFormat="1" ht="14.5" thickBot="1">
      <c r="A495" s="597"/>
      <c r="AI495" s="18"/>
      <c r="AJ495" s="18"/>
      <c r="AK495" s="18"/>
      <c r="AL495" s="18"/>
      <c r="AM495" s="18"/>
      <c r="AN495" s="18"/>
      <c r="AO495" s="18"/>
      <c r="AP495" s="18"/>
      <c r="AQ495" s="18"/>
    </row>
    <row r="496" spans="1:43" s="584" customFormat="1" ht="31.5" customHeight="1" thickTop="1" thickBot="1">
      <c r="A496" s="597"/>
      <c r="D496" s="2042" t="s">
        <v>131</v>
      </c>
      <c r="E496" s="2043"/>
      <c r="F496" s="2043"/>
      <c r="G496" s="2043"/>
      <c r="H496" s="2043"/>
      <c r="I496" s="2043"/>
      <c r="J496" s="2043"/>
      <c r="K496" s="2043"/>
      <c r="L496" s="2043"/>
      <c r="M496" s="2044"/>
      <c r="N496" s="2042" t="s">
        <v>2</v>
      </c>
      <c r="O496" s="2043"/>
      <c r="P496" s="2043"/>
      <c r="Q496" s="2043"/>
      <c r="R496" s="2043"/>
      <c r="S496" s="2043"/>
      <c r="T496" s="2043"/>
      <c r="U496" s="2043"/>
      <c r="V496" s="2043"/>
      <c r="W496" s="2044"/>
      <c r="X496" s="2042" t="s">
        <v>3</v>
      </c>
      <c r="Y496" s="2043"/>
      <c r="Z496" s="2043"/>
      <c r="AA496" s="2043"/>
      <c r="AB496" s="2043"/>
      <c r="AC496" s="2043"/>
      <c r="AD496" s="2043"/>
      <c r="AE496" s="2043"/>
      <c r="AF496" s="2043"/>
      <c r="AG496" s="2044"/>
      <c r="AI496" s="18"/>
      <c r="AJ496" s="18"/>
      <c r="AK496" s="18"/>
      <c r="AL496" s="591" t="s">
        <v>2</v>
      </c>
      <c r="AM496" s="591" t="s">
        <v>3</v>
      </c>
      <c r="AN496" s="18"/>
      <c r="AO496" s="591" t="s">
        <v>2</v>
      </c>
      <c r="AP496" s="591" t="s">
        <v>3</v>
      </c>
      <c r="AQ496" s="18"/>
    </row>
    <row r="497" spans="1:43" s="584" customFormat="1" ht="23.25" customHeight="1">
      <c r="A497" s="597"/>
      <c r="D497" s="1836" t="s">
        <v>155</v>
      </c>
      <c r="E497" s="1837"/>
      <c r="F497" s="1837"/>
      <c r="G497" s="1837"/>
      <c r="H497" s="1837"/>
      <c r="I497" s="1837"/>
      <c r="J497" s="1837"/>
      <c r="K497" s="1837"/>
      <c r="L497" s="1837"/>
      <c r="M497" s="1838"/>
      <c r="N497" s="2051">
        <v>354</v>
      </c>
      <c r="O497" s="2052"/>
      <c r="P497" s="2052"/>
      <c r="Q497" s="2052"/>
      <c r="R497" s="2052"/>
      <c r="S497" s="2052"/>
      <c r="T497" s="2052"/>
      <c r="U497" s="2052"/>
      <c r="V497" s="2052"/>
      <c r="W497" s="2052"/>
      <c r="X497" s="2051">
        <v>1088</v>
      </c>
      <c r="Y497" s="2052"/>
      <c r="Z497" s="2052"/>
      <c r="AA497" s="2052"/>
      <c r="AB497" s="2052"/>
      <c r="AC497" s="2052"/>
      <c r="AD497" s="2052"/>
      <c r="AE497" s="2052"/>
      <c r="AF497" s="2052"/>
      <c r="AG497" s="2052"/>
      <c r="AI497" s="18"/>
      <c r="AJ497" s="18"/>
      <c r="AK497" s="18"/>
      <c r="AL497" s="612"/>
      <c r="AM497" s="618"/>
      <c r="AN497" s="18"/>
      <c r="AO497" s="630">
        <f>N497+N500-BS!$D$81</f>
        <v>0</v>
      </c>
      <c r="AP497" s="614">
        <f>X497+X500-BS!$G$81</f>
        <v>0</v>
      </c>
      <c r="AQ497" s="18"/>
    </row>
    <row r="498" spans="1:43" s="584" customFormat="1" ht="23.25" customHeight="1">
      <c r="A498" s="597"/>
      <c r="D498" s="1825" t="s">
        <v>1726</v>
      </c>
      <c r="E498" s="1826"/>
      <c r="F498" s="1826"/>
      <c r="G498" s="1826"/>
      <c r="H498" s="1826"/>
      <c r="I498" s="1826"/>
      <c r="J498" s="1826"/>
      <c r="K498" s="1826"/>
      <c r="L498" s="1826"/>
      <c r="M498" s="1827"/>
      <c r="N498" s="1970">
        <v>1097630</v>
      </c>
      <c r="O498" s="1967"/>
      <c r="P498" s="1967"/>
      <c r="Q498" s="1967"/>
      <c r="R498" s="1967"/>
      <c r="S498" s="1967"/>
      <c r="T498" s="1967"/>
      <c r="U498" s="1967"/>
      <c r="V498" s="1967"/>
      <c r="W498" s="1967"/>
      <c r="X498" s="1970">
        <v>298825</v>
      </c>
      <c r="Y498" s="1967"/>
      <c r="Z498" s="1967"/>
      <c r="AA498" s="1967"/>
      <c r="AB498" s="1967"/>
      <c r="AC498" s="1967"/>
      <c r="AD498" s="1967"/>
      <c r="AE498" s="1967"/>
      <c r="AF498" s="1967"/>
      <c r="AG498" s="1967"/>
      <c r="AI498" s="18"/>
      <c r="AJ498" s="18"/>
      <c r="AK498" s="18"/>
      <c r="AL498" s="606"/>
      <c r="AM498" s="619"/>
      <c r="AN498" s="18"/>
      <c r="AO498" s="621">
        <f>N498-BS!$D$82</f>
        <v>0</v>
      </c>
      <c r="AP498" s="608">
        <f>X498-BS!$G$82</f>
        <v>0</v>
      </c>
      <c r="AQ498" s="18"/>
    </row>
    <row r="499" spans="1:43" s="584" customFormat="1" ht="23.25" customHeight="1">
      <c r="A499" s="597"/>
      <c r="D499" s="2125" t="s">
        <v>1727</v>
      </c>
      <c r="E499" s="1826"/>
      <c r="F499" s="1826"/>
      <c r="G499" s="1826"/>
      <c r="H499" s="1826"/>
      <c r="I499" s="1826"/>
      <c r="J499" s="1826"/>
      <c r="K499" s="1826"/>
      <c r="L499" s="1826"/>
      <c r="M499" s="1827"/>
      <c r="N499" s="1970">
        <v>0</v>
      </c>
      <c r="O499" s="1967"/>
      <c r="P499" s="1967"/>
      <c r="Q499" s="1967"/>
      <c r="R499" s="1967"/>
      <c r="S499" s="1967"/>
      <c r="T499" s="1967"/>
      <c r="U499" s="1967"/>
      <c r="V499" s="1967"/>
      <c r="W499" s="1967"/>
      <c r="X499" s="1970">
        <v>0</v>
      </c>
      <c r="Y499" s="1967"/>
      <c r="Z499" s="1967"/>
      <c r="AA499" s="1967"/>
      <c r="AB499" s="1967"/>
      <c r="AC499" s="1967"/>
      <c r="AD499" s="1967"/>
      <c r="AE499" s="1967"/>
      <c r="AF499" s="1967"/>
      <c r="AG499" s="1967"/>
      <c r="AI499" s="18"/>
      <c r="AJ499" s="18"/>
      <c r="AK499" s="18"/>
      <c r="AL499" s="621"/>
      <c r="AM499" s="608"/>
      <c r="AN499" s="18"/>
      <c r="AO499" s="621">
        <f>N499-BS!$D$67</f>
        <v>0</v>
      </c>
      <c r="AP499" s="608">
        <f>X499-BS!$G$67</f>
        <v>0</v>
      </c>
      <c r="AQ499" s="18"/>
    </row>
    <row r="500" spans="1:43" s="584" customFormat="1" ht="23.25" customHeight="1">
      <c r="A500" s="597"/>
      <c r="D500" s="1825" t="s">
        <v>158</v>
      </c>
      <c r="E500" s="1826"/>
      <c r="F500" s="1826"/>
      <c r="G500" s="1826"/>
      <c r="H500" s="1826"/>
      <c r="I500" s="1826"/>
      <c r="J500" s="1826"/>
      <c r="K500" s="1826"/>
      <c r="L500" s="1826"/>
      <c r="M500" s="1827"/>
      <c r="N500" s="1970">
        <v>0</v>
      </c>
      <c r="O500" s="1967"/>
      <c r="P500" s="1967"/>
      <c r="Q500" s="1967"/>
      <c r="R500" s="1967"/>
      <c r="S500" s="1967"/>
      <c r="T500" s="1967"/>
      <c r="U500" s="1967"/>
      <c r="V500" s="1967"/>
      <c r="W500" s="1967"/>
      <c r="X500" s="1970">
        <v>0</v>
      </c>
      <c r="Y500" s="1967"/>
      <c r="Z500" s="1967"/>
      <c r="AA500" s="1967"/>
      <c r="AB500" s="1967"/>
      <c r="AC500" s="1967"/>
      <c r="AD500" s="1967"/>
      <c r="AE500" s="1967"/>
      <c r="AF500" s="1967"/>
      <c r="AG500" s="1967"/>
      <c r="AI500" s="18"/>
      <c r="AJ500" s="18"/>
      <c r="AK500" s="18"/>
      <c r="AL500" s="606"/>
      <c r="AM500" s="619"/>
      <c r="AN500" s="18"/>
      <c r="AO500" s="621">
        <f>AO497</f>
        <v>0</v>
      </c>
      <c r="AP500" s="608">
        <f>AP497</f>
        <v>0</v>
      </c>
      <c r="AQ500" s="18"/>
    </row>
    <row r="501" spans="1:43" s="584" customFormat="1" ht="23.25" customHeight="1" thickBot="1">
      <c r="A501" s="597"/>
      <c r="D501" s="1955" t="s">
        <v>14</v>
      </c>
      <c r="E501" s="1956"/>
      <c r="F501" s="1956"/>
      <c r="G501" s="1956"/>
      <c r="H501" s="1956"/>
      <c r="I501" s="1956"/>
      <c r="J501" s="1956"/>
      <c r="K501" s="1956"/>
      <c r="L501" s="1956"/>
      <c r="M501" s="1957"/>
      <c r="N501" s="2013">
        <f>SUM(N497:W500)</f>
        <v>1097984</v>
      </c>
      <c r="O501" s="2014"/>
      <c r="P501" s="2014"/>
      <c r="Q501" s="2014"/>
      <c r="R501" s="2014"/>
      <c r="S501" s="2014"/>
      <c r="T501" s="2014"/>
      <c r="U501" s="2014"/>
      <c r="V501" s="2014"/>
      <c r="W501" s="2014"/>
      <c r="X501" s="2013">
        <f>SUM(X497:AG500)</f>
        <v>299913</v>
      </c>
      <c r="Y501" s="2014"/>
      <c r="Z501" s="2014"/>
      <c r="AA501" s="2014"/>
      <c r="AB501" s="2014"/>
      <c r="AC501" s="2014"/>
      <c r="AD501" s="2014"/>
      <c r="AE501" s="2014"/>
      <c r="AF501" s="2014"/>
      <c r="AG501" s="2014"/>
      <c r="AI501" s="18"/>
      <c r="AJ501" s="18"/>
      <c r="AK501" s="18"/>
      <c r="AL501" s="609">
        <f>SUM(N497:W500)-N501</f>
        <v>0</v>
      </c>
      <c r="AM501" s="611">
        <f>SUM(X497:AG500)-X501</f>
        <v>0</v>
      </c>
      <c r="AN501" s="18"/>
      <c r="AO501" s="609">
        <f>N501-SUM(BS!$D$81:$D$82)</f>
        <v>0</v>
      </c>
      <c r="AP501" s="611">
        <f>X501-SUM(BS!$G$81:$G$82)</f>
        <v>0</v>
      </c>
      <c r="AQ501" s="18"/>
    </row>
    <row r="502" spans="1:43" s="584" customFormat="1" ht="23.25" customHeight="1">
      <c r="A502" s="597"/>
      <c r="D502" s="671"/>
      <c r="E502" s="671"/>
      <c r="F502" s="671"/>
      <c r="G502" s="671"/>
      <c r="H502" s="671"/>
      <c r="I502" s="671"/>
      <c r="J502" s="671"/>
      <c r="K502" s="671"/>
      <c r="L502" s="671"/>
      <c r="M502" s="671"/>
      <c r="N502" s="1566"/>
      <c r="O502" s="1566"/>
      <c r="P502" s="1566"/>
      <c r="Q502" s="1566"/>
      <c r="R502" s="1566"/>
      <c r="S502" s="1566"/>
      <c r="T502" s="1566"/>
      <c r="U502" s="1566"/>
      <c r="V502" s="1566"/>
      <c r="W502" s="1566"/>
      <c r="X502" s="1566"/>
      <c r="Y502" s="1566"/>
      <c r="Z502" s="1566"/>
      <c r="AA502" s="1566"/>
      <c r="AB502" s="1566"/>
      <c r="AC502" s="1566"/>
      <c r="AD502" s="1566"/>
      <c r="AE502" s="1566"/>
      <c r="AF502" s="1566"/>
      <c r="AG502" s="1566"/>
      <c r="AI502" s="18"/>
      <c r="AJ502" s="18"/>
      <c r="AK502" s="18"/>
      <c r="AL502" s="661"/>
      <c r="AM502" s="661"/>
      <c r="AN502" s="18"/>
      <c r="AO502" s="661"/>
      <c r="AP502" s="661"/>
      <c r="AQ502" s="18"/>
    </row>
    <row r="503" spans="1:43" s="584" customFormat="1" ht="14">
      <c r="A503" s="597"/>
      <c r="D503" s="1507" t="s">
        <v>3055</v>
      </c>
      <c r="E503" s="1507"/>
      <c r="F503" s="1507"/>
      <c r="G503" s="1507"/>
      <c r="H503" s="1507"/>
      <c r="I503" s="1507"/>
      <c r="J503" s="1507"/>
      <c r="K503" s="1507"/>
      <c r="L503" s="1507"/>
      <c r="M503" s="1507"/>
      <c r="N503" s="1507"/>
      <c r="O503" s="1507"/>
      <c r="P503" s="1507"/>
      <c r="Q503" s="1507"/>
      <c r="R503" s="1507"/>
      <c r="AI503" s="18"/>
      <c r="AJ503" s="18"/>
      <c r="AK503" s="18"/>
      <c r="AL503" s="18"/>
      <c r="AM503" s="18"/>
      <c r="AN503" s="18"/>
      <c r="AO503" s="18"/>
      <c r="AP503" s="18"/>
      <c r="AQ503" s="18"/>
    </row>
    <row r="504" spans="1:43" s="584" customFormat="1" ht="22.5" customHeight="1">
      <c r="A504" s="597"/>
      <c r="D504" s="2126"/>
      <c r="E504" s="2126"/>
      <c r="F504" s="2126"/>
      <c r="G504" s="2126"/>
      <c r="H504" s="2126"/>
      <c r="I504" s="2126"/>
      <c r="J504" s="2126"/>
      <c r="K504" s="2126"/>
      <c r="L504" s="2126"/>
      <c r="M504" s="2126"/>
      <c r="N504" s="2126"/>
      <c r="O504" s="2126"/>
      <c r="P504" s="2126"/>
      <c r="Q504" s="2126"/>
      <c r="R504" s="2126"/>
      <c r="S504" s="2126"/>
      <c r="T504" s="2126"/>
      <c r="U504" s="2126"/>
      <c r="V504" s="2126"/>
      <c r="W504" s="2126"/>
      <c r="X504" s="2126"/>
      <c r="Y504" s="2126"/>
      <c r="Z504" s="2126"/>
      <c r="AA504" s="2126"/>
      <c r="AB504" s="2126"/>
      <c r="AC504" s="2126"/>
      <c r="AD504" s="2126"/>
      <c r="AE504" s="2126"/>
      <c r="AF504" s="2126"/>
      <c r="AG504" s="2126"/>
      <c r="AI504" s="18"/>
      <c r="AJ504" s="18"/>
      <c r="AK504" s="18"/>
      <c r="AL504" s="18"/>
      <c r="AM504" s="18"/>
      <c r="AN504" s="18"/>
      <c r="AO504" s="18"/>
      <c r="AP504" s="18"/>
      <c r="AQ504" s="18"/>
    </row>
    <row r="505" spans="1:43" s="584" customFormat="1" ht="14">
      <c r="A505" s="597"/>
      <c r="AI505" s="18"/>
      <c r="AJ505" s="18"/>
      <c r="AK505" s="18"/>
      <c r="AL505" s="18"/>
      <c r="AM505" s="18"/>
      <c r="AN505" s="18"/>
      <c r="AO505" s="18"/>
      <c r="AP505" s="18"/>
      <c r="AQ505" s="18"/>
    </row>
    <row r="506" spans="1:43" ht="14.25" customHeight="1">
      <c r="D506" s="582" t="s">
        <v>2931</v>
      </c>
    </row>
    <row r="508" spans="1:43" ht="14.25" customHeight="1">
      <c r="D508" s="2006" t="s">
        <v>1369</v>
      </c>
      <c r="E508" s="2006"/>
      <c r="F508" s="2006"/>
      <c r="G508" s="2006"/>
      <c r="H508" s="2006"/>
      <c r="I508" s="2006"/>
      <c r="J508" s="2006"/>
      <c r="K508" s="2006"/>
      <c r="L508" s="2006"/>
      <c r="M508" s="2006"/>
      <c r="N508" s="2006"/>
      <c r="O508" s="2006"/>
      <c r="P508" s="2006"/>
      <c r="Q508" s="2006"/>
      <c r="R508" s="2006"/>
      <c r="S508" s="2006"/>
      <c r="T508" s="2006"/>
      <c r="U508" s="2006"/>
      <c r="V508" s="2006"/>
      <c r="W508" s="2006"/>
      <c r="X508" s="2006"/>
      <c r="Y508" s="2006"/>
      <c r="Z508" s="2006"/>
      <c r="AA508" s="2006"/>
      <c r="AB508" s="2006"/>
      <c r="AC508" s="2006"/>
      <c r="AD508" s="2006"/>
      <c r="AE508" s="2006"/>
      <c r="AF508" s="2006"/>
      <c r="AG508" s="2006"/>
    </row>
    <row r="509" spans="1:43" ht="14.25" customHeight="1" thickBot="1"/>
    <row r="510" spans="1:43" ht="28.5" customHeight="1" thickTop="1" thickBot="1">
      <c r="D510" s="2042" t="s">
        <v>178</v>
      </c>
      <c r="E510" s="2043"/>
      <c r="F510" s="2043"/>
      <c r="G510" s="2043"/>
      <c r="H510" s="2043"/>
      <c r="I510" s="2043"/>
      <c r="J510" s="2043"/>
      <c r="K510" s="2043"/>
      <c r="L510" s="2043"/>
      <c r="M510" s="2043"/>
      <c r="N510" s="2043"/>
      <c r="O510" s="2044"/>
      <c r="P510" s="2042" t="s">
        <v>2</v>
      </c>
      <c r="Q510" s="2043"/>
      <c r="R510" s="2043"/>
      <c r="S510" s="2043"/>
      <c r="T510" s="2043"/>
      <c r="U510" s="2043"/>
      <c r="V510" s="2043"/>
      <c r="W510" s="2043"/>
      <c r="X510" s="2044"/>
      <c r="Y510" s="2042" t="s">
        <v>3</v>
      </c>
      <c r="Z510" s="2043"/>
      <c r="AA510" s="2043"/>
      <c r="AB510" s="2043"/>
      <c r="AC510" s="2043"/>
      <c r="AD510" s="2043"/>
      <c r="AE510" s="2043"/>
      <c r="AF510" s="2043"/>
      <c r="AG510" s="2044"/>
      <c r="AL510" s="591" t="s">
        <v>2</v>
      </c>
      <c r="AM510" s="591" t="s">
        <v>3</v>
      </c>
      <c r="AO510" s="591" t="s">
        <v>2</v>
      </c>
      <c r="AP510" s="591" t="s">
        <v>3</v>
      </c>
    </row>
    <row r="511" spans="1:43" ht="16.75" customHeight="1" thickBot="1">
      <c r="D511" s="2066" t="s">
        <v>179</v>
      </c>
      <c r="E511" s="2067"/>
      <c r="F511" s="2067"/>
      <c r="G511" s="2067"/>
      <c r="H511" s="2067"/>
      <c r="I511" s="2067"/>
      <c r="J511" s="2067"/>
      <c r="K511" s="2067"/>
      <c r="L511" s="2067"/>
      <c r="M511" s="2067"/>
      <c r="N511" s="2067"/>
      <c r="O511" s="2068"/>
      <c r="P511" s="2112">
        <f>SUM(P512:X513)</f>
        <v>0</v>
      </c>
      <c r="Q511" s="2113"/>
      <c r="R511" s="2113"/>
      <c r="S511" s="2113"/>
      <c r="T511" s="2113"/>
      <c r="U511" s="2113"/>
      <c r="V511" s="2113"/>
      <c r="W511" s="2113"/>
      <c r="X511" s="2114"/>
      <c r="Y511" s="2112">
        <f>SUM(Y512:AG513)</f>
        <v>0</v>
      </c>
      <c r="Z511" s="2113"/>
      <c r="AA511" s="2113"/>
      <c r="AB511" s="2113"/>
      <c r="AC511" s="2113"/>
      <c r="AD511" s="2113"/>
      <c r="AE511" s="2113"/>
      <c r="AF511" s="2113"/>
      <c r="AG511" s="2114"/>
      <c r="AL511" s="630">
        <f>SUM(P512:X513)-P511</f>
        <v>0</v>
      </c>
      <c r="AM511" s="614">
        <f>SUM(Y512:AG513)-Y511</f>
        <v>0</v>
      </c>
      <c r="AO511" s="630">
        <f>P511-BS!$D$84</f>
        <v>0</v>
      </c>
      <c r="AP511" s="614">
        <f>Y511-BS!$G$84</f>
        <v>0</v>
      </c>
    </row>
    <row r="512" spans="1:43" ht="16.75" customHeight="1">
      <c r="D512" s="1809"/>
      <c r="E512" s="1810"/>
      <c r="F512" s="1810"/>
      <c r="G512" s="1810"/>
      <c r="H512" s="1810"/>
      <c r="I512" s="1810"/>
      <c r="J512" s="1810"/>
      <c r="K512" s="1810"/>
      <c r="L512" s="1810"/>
      <c r="M512" s="1810"/>
      <c r="N512" s="1810"/>
      <c r="O512" s="1811"/>
      <c r="P512" s="2094"/>
      <c r="Q512" s="2095"/>
      <c r="R512" s="2095"/>
      <c r="S512" s="2095"/>
      <c r="T512" s="2095"/>
      <c r="U512" s="2095"/>
      <c r="V512" s="2095"/>
      <c r="W512" s="2095"/>
      <c r="X512" s="2096"/>
      <c r="Y512" s="2094"/>
      <c r="Z512" s="2095"/>
      <c r="AA512" s="2095"/>
      <c r="AB512" s="2095"/>
      <c r="AC512" s="2095"/>
      <c r="AD512" s="2095"/>
      <c r="AE512" s="2095"/>
      <c r="AF512" s="2095"/>
      <c r="AG512" s="2096"/>
      <c r="AL512" s="606"/>
      <c r="AM512" s="619"/>
      <c r="AO512" s="606"/>
      <c r="AP512" s="619"/>
    </row>
    <row r="513" spans="4:42" ht="16.75" customHeight="1" thickBot="1">
      <c r="D513" s="2115"/>
      <c r="E513" s="2054"/>
      <c r="F513" s="2054"/>
      <c r="G513" s="2054"/>
      <c r="H513" s="2054"/>
      <c r="I513" s="2054"/>
      <c r="J513" s="2054"/>
      <c r="K513" s="2054"/>
      <c r="L513" s="2054"/>
      <c r="M513" s="2054"/>
      <c r="N513" s="2054"/>
      <c r="O513" s="2055"/>
      <c r="P513" s="2116"/>
      <c r="Q513" s="2117"/>
      <c r="R513" s="2117"/>
      <c r="S513" s="2117"/>
      <c r="T513" s="2117"/>
      <c r="U513" s="2117"/>
      <c r="V513" s="2117"/>
      <c r="W513" s="2117"/>
      <c r="X513" s="2118"/>
      <c r="Y513" s="2116"/>
      <c r="Z513" s="2117"/>
      <c r="AA513" s="2117"/>
      <c r="AB513" s="2117"/>
      <c r="AC513" s="2117"/>
      <c r="AD513" s="2117"/>
      <c r="AE513" s="2117"/>
      <c r="AF513" s="2117"/>
      <c r="AG513" s="2118"/>
      <c r="AL513" s="606"/>
      <c r="AM513" s="619"/>
      <c r="AO513" s="606"/>
      <c r="AP513" s="619"/>
    </row>
    <row r="514" spans="4:42" ht="16.75" customHeight="1" thickBot="1">
      <c r="D514" s="2066" t="s">
        <v>180</v>
      </c>
      <c r="E514" s="2067"/>
      <c r="F514" s="2067"/>
      <c r="G514" s="2067"/>
      <c r="H514" s="2067"/>
      <c r="I514" s="2067"/>
      <c r="J514" s="2067"/>
      <c r="K514" s="2067"/>
      <c r="L514" s="2067"/>
      <c r="M514" s="2067"/>
      <c r="N514" s="2067"/>
      <c r="O514" s="2068"/>
      <c r="P514" s="2112">
        <f>SUM(P515:X516)</f>
        <v>8178</v>
      </c>
      <c r="Q514" s="2113"/>
      <c r="R514" s="2113"/>
      <c r="S514" s="2113"/>
      <c r="T514" s="2113"/>
      <c r="U514" s="2113"/>
      <c r="V514" s="2113"/>
      <c r="W514" s="2113"/>
      <c r="X514" s="2114"/>
      <c r="Y514" s="2112">
        <f>SUM(Y515:AG516)</f>
        <v>6058</v>
      </c>
      <c r="Z514" s="2113"/>
      <c r="AA514" s="2113"/>
      <c r="AB514" s="2113"/>
      <c r="AC514" s="2113"/>
      <c r="AD514" s="2113"/>
      <c r="AE514" s="2113"/>
      <c r="AF514" s="2113"/>
      <c r="AG514" s="2114"/>
      <c r="AL514" s="621">
        <f>SUM(P515:X516)-P514</f>
        <v>0</v>
      </c>
      <c r="AM514" s="608">
        <f>SUM(Y515:AG516)-Y514</f>
        <v>0</v>
      </c>
      <c r="AO514" s="621">
        <f>P514-BS!$D$85</f>
        <v>0</v>
      </c>
      <c r="AP514" s="608">
        <f>Y514-BS!$G$85</f>
        <v>0</v>
      </c>
    </row>
    <row r="515" spans="4:42" ht="16.75" customHeight="1">
      <c r="D515" s="2073" t="s">
        <v>2835</v>
      </c>
      <c r="E515" s="1810"/>
      <c r="F515" s="1810"/>
      <c r="G515" s="1810"/>
      <c r="H515" s="1810"/>
      <c r="I515" s="1810"/>
      <c r="J515" s="1810"/>
      <c r="K515" s="1810"/>
      <c r="L515" s="1810"/>
      <c r="M515" s="1810"/>
      <c r="N515" s="1810"/>
      <c r="O515" s="1811"/>
      <c r="P515" s="2119">
        <v>3347</v>
      </c>
      <c r="Q515" s="2120"/>
      <c r="R515" s="2120"/>
      <c r="S515" s="2120"/>
      <c r="T515" s="2120"/>
      <c r="U515" s="2120"/>
      <c r="V515" s="2120"/>
      <c r="W515" s="2120"/>
      <c r="X515" s="2121"/>
      <c r="Y515" s="2119">
        <v>3860</v>
      </c>
      <c r="Z515" s="2120"/>
      <c r="AA515" s="2120"/>
      <c r="AB515" s="2120"/>
      <c r="AC515" s="2120"/>
      <c r="AD515" s="2120"/>
      <c r="AE515" s="2120"/>
      <c r="AF515" s="2120"/>
      <c r="AG515" s="2121"/>
      <c r="AL515" s="606"/>
      <c r="AM515" s="619"/>
      <c r="AO515" s="606"/>
      <c r="AP515" s="619"/>
    </row>
    <row r="516" spans="4:42" ht="16.75" customHeight="1" thickBot="1">
      <c r="D516" s="2053" t="s">
        <v>2855</v>
      </c>
      <c r="E516" s="2054"/>
      <c r="F516" s="2054"/>
      <c r="G516" s="2054"/>
      <c r="H516" s="2054"/>
      <c r="I516" s="2054"/>
      <c r="J516" s="2054"/>
      <c r="K516" s="2054"/>
      <c r="L516" s="2054"/>
      <c r="M516" s="2054"/>
      <c r="N516" s="2054"/>
      <c r="O516" s="2055"/>
      <c r="P516" s="2122">
        <v>4831</v>
      </c>
      <c r="Q516" s="2123"/>
      <c r="R516" s="2123"/>
      <c r="S516" s="2123"/>
      <c r="T516" s="2123"/>
      <c r="U516" s="2123"/>
      <c r="V516" s="2123"/>
      <c r="W516" s="2123"/>
      <c r="X516" s="2124"/>
      <c r="Y516" s="2122">
        <v>2198</v>
      </c>
      <c r="Z516" s="2123"/>
      <c r="AA516" s="2123"/>
      <c r="AB516" s="2123"/>
      <c r="AC516" s="2123"/>
      <c r="AD516" s="2123"/>
      <c r="AE516" s="2123"/>
      <c r="AF516" s="2123"/>
      <c r="AG516" s="2124"/>
      <c r="AL516" s="606"/>
      <c r="AM516" s="619"/>
      <c r="AO516" s="606"/>
      <c r="AP516" s="619"/>
    </row>
    <row r="517" spans="4:42" ht="16.75" customHeight="1" thickBot="1">
      <c r="D517" s="2066" t="s">
        <v>181</v>
      </c>
      <c r="E517" s="2067"/>
      <c r="F517" s="2067"/>
      <c r="G517" s="2067"/>
      <c r="H517" s="2067"/>
      <c r="I517" s="2067"/>
      <c r="J517" s="2067"/>
      <c r="K517" s="2067"/>
      <c r="L517" s="2067"/>
      <c r="M517" s="2067"/>
      <c r="N517" s="2067"/>
      <c r="O517" s="2068"/>
      <c r="P517" s="2112">
        <f>SUM(P518:X519)</f>
        <v>0</v>
      </c>
      <c r="Q517" s="2113"/>
      <c r="R517" s="2113"/>
      <c r="S517" s="2113"/>
      <c r="T517" s="2113"/>
      <c r="U517" s="2113"/>
      <c r="V517" s="2113"/>
      <c r="W517" s="2113"/>
      <c r="X517" s="2114"/>
      <c r="Y517" s="2112">
        <f>SUM(Y518:AG519)</f>
        <v>0</v>
      </c>
      <c r="Z517" s="2113"/>
      <c r="AA517" s="2113"/>
      <c r="AB517" s="2113"/>
      <c r="AC517" s="2113"/>
      <c r="AD517" s="2113"/>
      <c r="AE517" s="2113"/>
      <c r="AF517" s="2113"/>
      <c r="AG517" s="2114"/>
      <c r="AL517" s="621">
        <f>SUM(P518:X519)-P517</f>
        <v>0</v>
      </c>
      <c r="AM517" s="608">
        <f>SUM(Y518:AG519)-Y517</f>
        <v>0</v>
      </c>
      <c r="AO517" s="621">
        <f>P517-BS!$D$86</f>
        <v>0</v>
      </c>
      <c r="AP517" s="608">
        <f>Y517-BS!$G$86</f>
        <v>0</v>
      </c>
    </row>
    <row r="518" spans="4:42" ht="16.75" customHeight="1">
      <c r="D518" s="1809"/>
      <c r="E518" s="1810"/>
      <c r="F518" s="1810"/>
      <c r="G518" s="1810"/>
      <c r="H518" s="1810"/>
      <c r="I518" s="1810"/>
      <c r="J518" s="1810"/>
      <c r="K518" s="1810"/>
      <c r="L518" s="1810"/>
      <c r="M518" s="1810"/>
      <c r="N518" s="1810"/>
      <c r="O518" s="1811"/>
      <c r="P518" s="2094"/>
      <c r="Q518" s="2095"/>
      <c r="R518" s="2095"/>
      <c r="S518" s="2095"/>
      <c r="T518" s="2095"/>
      <c r="U518" s="2095"/>
      <c r="V518" s="2095"/>
      <c r="W518" s="2095"/>
      <c r="X518" s="2096"/>
      <c r="Y518" s="2094"/>
      <c r="Z518" s="2095"/>
      <c r="AA518" s="2095"/>
      <c r="AB518" s="2095"/>
      <c r="AC518" s="2095"/>
      <c r="AD518" s="2095"/>
      <c r="AE518" s="2095"/>
      <c r="AF518" s="2095"/>
      <c r="AG518" s="2096"/>
      <c r="AL518" s="606"/>
      <c r="AM518" s="619"/>
      <c r="AO518" s="606"/>
      <c r="AP518" s="619"/>
    </row>
    <row r="519" spans="4:42" ht="16.75" customHeight="1" thickBot="1">
      <c r="D519" s="2115"/>
      <c r="E519" s="2054"/>
      <c r="F519" s="2054"/>
      <c r="G519" s="2054"/>
      <c r="H519" s="2054"/>
      <c r="I519" s="2054"/>
      <c r="J519" s="2054"/>
      <c r="K519" s="2054"/>
      <c r="L519" s="2054"/>
      <c r="M519" s="2054"/>
      <c r="N519" s="2054"/>
      <c r="O519" s="2055"/>
      <c r="P519" s="2116"/>
      <c r="Q519" s="2117"/>
      <c r="R519" s="2117"/>
      <c r="S519" s="2117"/>
      <c r="T519" s="2117"/>
      <c r="U519" s="2117"/>
      <c r="V519" s="2117"/>
      <c r="W519" s="2117"/>
      <c r="X519" s="2118"/>
      <c r="Y519" s="2116"/>
      <c r="Z519" s="2117"/>
      <c r="AA519" s="2117"/>
      <c r="AB519" s="2117"/>
      <c r="AC519" s="2117"/>
      <c r="AD519" s="2117"/>
      <c r="AE519" s="2117"/>
      <c r="AF519" s="2117"/>
      <c r="AG519" s="2118"/>
      <c r="AL519" s="606"/>
      <c r="AM519" s="619"/>
      <c r="AO519" s="606"/>
      <c r="AP519" s="619"/>
    </row>
    <row r="520" spans="4:42" ht="16.75" customHeight="1" thickBot="1">
      <c r="D520" s="2066" t="s">
        <v>182</v>
      </c>
      <c r="E520" s="2067"/>
      <c r="F520" s="2067"/>
      <c r="G520" s="2067"/>
      <c r="H520" s="2067"/>
      <c r="I520" s="2067"/>
      <c r="J520" s="2067"/>
      <c r="K520" s="2067"/>
      <c r="L520" s="2067"/>
      <c r="M520" s="2067"/>
      <c r="N520" s="2067"/>
      <c r="O520" s="2068"/>
      <c r="P520" s="2112">
        <f>SUM(P521:X522)</f>
        <v>0</v>
      </c>
      <c r="Q520" s="2113"/>
      <c r="R520" s="2113"/>
      <c r="S520" s="2113"/>
      <c r="T520" s="2113"/>
      <c r="U520" s="2113"/>
      <c r="V520" s="2113"/>
      <c r="W520" s="2113"/>
      <c r="X520" s="2114"/>
      <c r="Y520" s="2112">
        <f>SUM(Y521:AG522)</f>
        <v>0</v>
      </c>
      <c r="Z520" s="2113"/>
      <c r="AA520" s="2113"/>
      <c r="AB520" s="2113"/>
      <c r="AC520" s="2113"/>
      <c r="AD520" s="2113"/>
      <c r="AE520" s="2113"/>
      <c r="AF520" s="2113"/>
      <c r="AG520" s="2114"/>
      <c r="AL520" s="621">
        <f>SUM(P521:X522)-P520</f>
        <v>0</v>
      </c>
      <c r="AM520" s="608">
        <f>SUM(Y521:AG522)-Y520</f>
        <v>0</v>
      </c>
      <c r="AO520" s="621">
        <f>P520-BS!$D$87</f>
        <v>0</v>
      </c>
      <c r="AP520" s="608">
        <f>Y520-BS!$G$87</f>
        <v>0</v>
      </c>
    </row>
    <row r="521" spans="4:42" ht="16.75" customHeight="1">
      <c r="D521" s="1809"/>
      <c r="E521" s="1810"/>
      <c r="F521" s="1810"/>
      <c r="G521" s="1810"/>
      <c r="H521" s="1810"/>
      <c r="I521" s="1810"/>
      <c r="J521" s="1810"/>
      <c r="K521" s="1810"/>
      <c r="L521" s="1810"/>
      <c r="M521" s="1810"/>
      <c r="N521" s="1810"/>
      <c r="O521" s="1811"/>
      <c r="P521" s="2094"/>
      <c r="Q521" s="2095"/>
      <c r="R521" s="2095"/>
      <c r="S521" s="2095"/>
      <c r="T521" s="2095"/>
      <c r="U521" s="2095"/>
      <c r="V521" s="2095"/>
      <c r="W521" s="2095"/>
      <c r="X521" s="2096"/>
      <c r="Y521" s="2094"/>
      <c r="Z521" s="2095"/>
      <c r="AA521" s="2095"/>
      <c r="AB521" s="2095"/>
      <c r="AC521" s="2095"/>
      <c r="AD521" s="2095"/>
      <c r="AE521" s="2095"/>
      <c r="AF521" s="2095"/>
      <c r="AG521" s="2096"/>
      <c r="AL521" s="606"/>
      <c r="AM521" s="619"/>
      <c r="AO521" s="606"/>
      <c r="AP521" s="619"/>
    </row>
    <row r="522" spans="4:42" ht="16.75" customHeight="1" thickBot="1">
      <c r="D522" s="2097"/>
      <c r="E522" s="2097"/>
      <c r="F522" s="2097"/>
      <c r="G522" s="2097"/>
      <c r="H522" s="2097"/>
      <c r="I522" s="2097"/>
      <c r="J522" s="2097"/>
      <c r="K522" s="2097"/>
      <c r="L522" s="2097"/>
      <c r="M522" s="2097"/>
      <c r="N522" s="2097"/>
      <c r="O522" s="2097"/>
      <c r="P522" s="2098"/>
      <c r="Q522" s="2098"/>
      <c r="R522" s="2098"/>
      <c r="S522" s="2098"/>
      <c r="T522" s="2098"/>
      <c r="U522" s="2098"/>
      <c r="V522" s="2098"/>
      <c r="W522" s="2098"/>
      <c r="X522" s="2099"/>
      <c r="Y522" s="2098"/>
      <c r="Z522" s="2098"/>
      <c r="AA522" s="2098"/>
      <c r="AB522" s="2098"/>
      <c r="AC522" s="2098"/>
      <c r="AD522" s="2098"/>
      <c r="AE522" s="2098"/>
      <c r="AF522" s="2098"/>
      <c r="AG522" s="2099"/>
      <c r="AL522" s="633"/>
      <c r="AM522" s="634"/>
      <c r="AO522" s="633"/>
      <c r="AP522" s="634"/>
    </row>
    <row r="524" spans="4:42" ht="14.25" customHeight="1">
      <c r="D524" s="582" t="s">
        <v>2932</v>
      </c>
    </row>
    <row r="526" spans="4:42" ht="14.25" customHeight="1">
      <c r="D526" s="2100" t="s">
        <v>2738</v>
      </c>
      <c r="E526" s="2101"/>
      <c r="F526" s="2101"/>
      <c r="G526" s="2101"/>
      <c r="H526" s="2101"/>
      <c r="I526" s="2101"/>
      <c r="J526" s="2101"/>
      <c r="K526" s="2101"/>
      <c r="L526" s="2101"/>
      <c r="M526" s="2101"/>
      <c r="N526" s="2101"/>
      <c r="O526" s="2101"/>
      <c r="P526" s="2101"/>
      <c r="Q526" s="2101"/>
      <c r="R526" s="2101"/>
      <c r="S526" s="2101"/>
      <c r="T526" s="2101"/>
      <c r="U526" s="2101"/>
      <c r="V526" s="2101"/>
      <c r="W526" s="2101"/>
      <c r="X526" s="2101"/>
      <c r="Y526" s="2101"/>
      <c r="Z526" s="2101"/>
      <c r="AA526" s="2101"/>
      <c r="AB526" s="2101"/>
      <c r="AC526" s="2101"/>
      <c r="AD526" s="2101"/>
      <c r="AE526" s="2101"/>
      <c r="AF526" s="2101"/>
      <c r="AG526" s="2101"/>
    </row>
    <row r="527" spans="4:42" ht="14.25" customHeight="1">
      <c r="D527" s="2101"/>
      <c r="E527" s="2101"/>
      <c r="F527" s="2101"/>
      <c r="G527" s="2101"/>
      <c r="H527" s="2101"/>
      <c r="I527" s="2101"/>
      <c r="J527" s="2101"/>
      <c r="K527" s="2101"/>
      <c r="L527" s="2101"/>
      <c r="M527" s="2101"/>
      <c r="N527" s="2101"/>
      <c r="O527" s="2101"/>
      <c r="P527" s="2101"/>
      <c r="Q527" s="2101"/>
      <c r="R527" s="2101"/>
      <c r="S527" s="2101"/>
      <c r="T527" s="2101"/>
      <c r="U527" s="2101"/>
      <c r="V527" s="2101"/>
      <c r="W527" s="2101"/>
      <c r="X527" s="2101"/>
      <c r="Y527" s="2101"/>
      <c r="Z527" s="2101"/>
      <c r="AA527" s="2101"/>
      <c r="AB527" s="2101"/>
      <c r="AC527" s="2101"/>
      <c r="AD527" s="2101"/>
      <c r="AE527" s="2101"/>
      <c r="AF527" s="2101"/>
      <c r="AG527" s="2101"/>
    </row>
    <row r="529" spans="1:39" s="786" customFormat="1" ht="14.25" customHeight="1">
      <c r="A529" s="784"/>
      <c r="D529" s="1823" t="s">
        <v>2876</v>
      </c>
      <c r="E529" s="1824"/>
      <c r="F529" s="1824"/>
      <c r="G529" s="1824"/>
      <c r="H529" s="1824"/>
      <c r="I529" s="1824"/>
      <c r="J529" s="1824"/>
      <c r="K529" s="1824"/>
      <c r="L529" s="1824"/>
      <c r="M529" s="1824"/>
      <c r="N529" s="1824"/>
      <c r="O529" s="1824"/>
      <c r="P529" s="1824"/>
      <c r="Q529" s="1824"/>
      <c r="R529" s="1824"/>
      <c r="S529" s="1824"/>
      <c r="T529" s="1824"/>
      <c r="U529" s="1824"/>
      <c r="V529" s="1824"/>
      <c r="W529" s="1824"/>
      <c r="X529" s="1824"/>
      <c r="Y529" s="1824"/>
      <c r="Z529" s="1824"/>
      <c r="AA529" s="1824"/>
      <c r="AB529" s="1824"/>
      <c r="AC529" s="1824"/>
      <c r="AD529" s="1824"/>
      <c r="AE529" s="1824"/>
      <c r="AF529" s="1824"/>
      <c r="AG529" s="1824"/>
    </row>
    <row r="530" spans="1:39" ht="6" customHeight="1" thickBot="1"/>
    <row r="531" spans="1:39" ht="15.75" customHeight="1" thickTop="1" thickBot="1">
      <c r="D531" s="1921" t="s">
        <v>131</v>
      </c>
      <c r="E531" s="1921"/>
      <c r="F531" s="1921"/>
      <c r="G531" s="1921"/>
      <c r="H531" s="1921"/>
      <c r="I531" s="1921"/>
      <c r="J531" s="1921"/>
      <c r="K531" s="1921"/>
      <c r="L531" s="1921"/>
      <c r="M531" s="1921"/>
      <c r="N531" s="1921"/>
      <c r="O531" s="1921"/>
      <c r="P531" s="1921"/>
      <c r="Q531" s="1921"/>
      <c r="R531" s="1921" t="s">
        <v>3</v>
      </c>
      <c r="S531" s="1921"/>
      <c r="T531" s="1921"/>
      <c r="U531" s="1921"/>
      <c r="V531" s="1921"/>
      <c r="W531" s="1921"/>
      <c r="X531" s="1921"/>
      <c r="Y531" s="1921"/>
      <c r="Z531" s="1921"/>
      <c r="AA531" s="1921"/>
      <c r="AB531" s="1921"/>
      <c r="AC531" s="1921"/>
      <c r="AD531" s="1921"/>
      <c r="AE531" s="1921"/>
      <c r="AF531" s="1921"/>
      <c r="AG531" s="1921"/>
      <c r="AM531" s="595" t="s">
        <v>3</v>
      </c>
    </row>
    <row r="532" spans="1:39" ht="15.75" customHeight="1" thickBot="1">
      <c r="D532" s="2015" t="s">
        <v>191</v>
      </c>
      <c r="E532" s="2015"/>
      <c r="F532" s="2015"/>
      <c r="G532" s="2015"/>
      <c r="H532" s="2015"/>
      <c r="I532" s="2015"/>
      <c r="J532" s="2015"/>
      <c r="K532" s="2015"/>
      <c r="L532" s="2015"/>
      <c r="M532" s="2015"/>
      <c r="N532" s="2015"/>
      <c r="O532" s="2015"/>
      <c r="P532" s="2015"/>
      <c r="Q532" s="2015"/>
      <c r="R532" s="2106">
        <v>159575</v>
      </c>
      <c r="S532" s="2107"/>
      <c r="T532" s="2107"/>
      <c r="U532" s="2107"/>
      <c r="V532" s="2107"/>
      <c r="W532" s="2107"/>
      <c r="X532" s="2107"/>
      <c r="Y532" s="2107"/>
      <c r="Z532" s="2107"/>
      <c r="AA532" s="2107"/>
      <c r="AB532" s="2107"/>
      <c r="AC532" s="2107"/>
      <c r="AD532" s="2107"/>
      <c r="AE532" s="2107"/>
      <c r="AF532" s="2107"/>
      <c r="AG532" s="2108"/>
      <c r="AM532" s="632"/>
    </row>
    <row r="533" spans="1:39" ht="15.75" customHeight="1" thickBot="1">
      <c r="D533" s="2015" t="s">
        <v>192</v>
      </c>
      <c r="E533" s="2015"/>
      <c r="F533" s="2015"/>
      <c r="G533" s="2015"/>
      <c r="H533" s="2015"/>
      <c r="I533" s="2015"/>
      <c r="J533" s="2015"/>
      <c r="K533" s="2015"/>
      <c r="L533" s="2015"/>
      <c r="M533" s="2015"/>
      <c r="N533" s="2015"/>
      <c r="O533" s="2015"/>
      <c r="P533" s="2015"/>
      <c r="Q533" s="2015"/>
      <c r="R533" s="2105" t="s">
        <v>2</v>
      </c>
      <c r="S533" s="2105"/>
      <c r="T533" s="2105"/>
      <c r="U533" s="2105"/>
      <c r="V533" s="2105"/>
      <c r="W533" s="2105"/>
      <c r="X533" s="2105"/>
      <c r="Y533" s="2105"/>
      <c r="Z533" s="2105"/>
      <c r="AA533" s="2105"/>
      <c r="AB533" s="2105"/>
      <c r="AC533" s="2105"/>
      <c r="AD533" s="2105"/>
      <c r="AE533" s="2105"/>
      <c r="AF533" s="2105"/>
      <c r="AG533" s="2105"/>
      <c r="AM533" s="342"/>
    </row>
    <row r="534" spans="1:39" ht="15.75" customHeight="1">
      <c r="D534" s="2103" t="s">
        <v>193</v>
      </c>
      <c r="E534" s="2103"/>
      <c r="F534" s="2103"/>
      <c r="G534" s="2103"/>
      <c r="H534" s="2103"/>
      <c r="I534" s="2103"/>
      <c r="J534" s="2103"/>
      <c r="K534" s="2103"/>
      <c r="L534" s="2103"/>
      <c r="M534" s="2103"/>
      <c r="N534" s="2103"/>
      <c r="O534" s="2103"/>
      <c r="P534" s="2103"/>
      <c r="Q534" s="2103"/>
      <c r="R534" s="2104">
        <v>7979</v>
      </c>
      <c r="S534" s="2104"/>
      <c r="T534" s="2104"/>
      <c r="U534" s="2104"/>
      <c r="V534" s="2104"/>
      <c r="W534" s="2104"/>
      <c r="X534" s="2104"/>
      <c r="Y534" s="2104"/>
      <c r="Z534" s="2104"/>
      <c r="AA534" s="2104"/>
      <c r="AB534" s="2104"/>
      <c r="AC534" s="2104"/>
      <c r="AD534" s="2104"/>
      <c r="AE534" s="2104"/>
      <c r="AF534" s="2104"/>
      <c r="AG534" s="2104"/>
      <c r="AM534" s="342"/>
    </row>
    <row r="535" spans="1:39" ht="15.75" customHeight="1">
      <c r="D535" s="1789" t="s">
        <v>194</v>
      </c>
      <c r="E535" s="1789"/>
      <c r="F535" s="1789"/>
      <c r="G535" s="1789"/>
      <c r="H535" s="1789"/>
      <c r="I535" s="1789"/>
      <c r="J535" s="1789"/>
      <c r="K535" s="1789"/>
      <c r="L535" s="1789"/>
      <c r="M535" s="1789"/>
      <c r="N535" s="1789"/>
      <c r="O535" s="1789"/>
      <c r="P535" s="1789"/>
      <c r="Q535" s="1789"/>
      <c r="R535" s="1791"/>
      <c r="S535" s="1791"/>
      <c r="T535" s="1791"/>
      <c r="U535" s="1791"/>
      <c r="V535" s="1791"/>
      <c r="W535" s="1791"/>
      <c r="X535" s="1791"/>
      <c r="Y535" s="1791"/>
      <c r="Z535" s="1791"/>
      <c r="AA535" s="1791"/>
      <c r="AB535" s="1791"/>
      <c r="AC535" s="1791"/>
      <c r="AD535" s="1791"/>
      <c r="AE535" s="1791"/>
      <c r="AF535" s="1791"/>
      <c r="AG535" s="1791"/>
      <c r="AM535" s="342"/>
    </row>
    <row r="536" spans="1:39" ht="15.75" customHeight="1">
      <c r="D536" s="1789" t="s">
        <v>195</v>
      </c>
      <c r="E536" s="1789"/>
      <c r="F536" s="1789"/>
      <c r="G536" s="1789"/>
      <c r="H536" s="1789"/>
      <c r="I536" s="1789"/>
      <c r="J536" s="1789"/>
      <c r="K536" s="1789"/>
      <c r="L536" s="1789"/>
      <c r="M536" s="1789"/>
      <c r="N536" s="1789"/>
      <c r="O536" s="1789"/>
      <c r="P536" s="1789"/>
      <c r="Q536" s="1789"/>
      <c r="R536" s="1791"/>
      <c r="S536" s="1791"/>
      <c r="T536" s="1791"/>
      <c r="U536" s="1791"/>
      <c r="V536" s="1791"/>
      <c r="W536" s="1791"/>
      <c r="X536" s="1791"/>
      <c r="Y536" s="1791"/>
      <c r="Z536" s="1791"/>
      <c r="AA536" s="1791"/>
      <c r="AB536" s="1791"/>
      <c r="AC536" s="1791"/>
      <c r="AD536" s="1791"/>
      <c r="AE536" s="1791"/>
      <c r="AF536" s="1791"/>
      <c r="AG536" s="1791"/>
      <c r="AM536" s="342"/>
    </row>
    <row r="537" spans="1:39" ht="15.75" customHeight="1">
      <c r="D537" s="1789" t="s">
        <v>196</v>
      </c>
      <c r="E537" s="1789"/>
      <c r="F537" s="1789"/>
      <c r="G537" s="1789"/>
      <c r="H537" s="1789"/>
      <c r="I537" s="1789"/>
      <c r="J537" s="1789"/>
      <c r="K537" s="1789"/>
      <c r="L537" s="1789"/>
      <c r="M537" s="1789"/>
      <c r="N537" s="1789"/>
      <c r="O537" s="1789"/>
      <c r="P537" s="1789"/>
      <c r="Q537" s="1789"/>
      <c r="R537" s="1791"/>
      <c r="S537" s="1791"/>
      <c r="T537" s="1791"/>
      <c r="U537" s="1791"/>
      <c r="V537" s="1791"/>
      <c r="W537" s="1791"/>
      <c r="X537" s="1791"/>
      <c r="Y537" s="1791"/>
      <c r="Z537" s="1791"/>
      <c r="AA537" s="1791"/>
      <c r="AB537" s="1791"/>
      <c r="AC537" s="1791"/>
      <c r="AD537" s="1791"/>
      <c r="AE537" s="1791"/>
      <c r="AF537" s="1791"/>
      <c r="AG537" s="1791"/>
      <c r="AM537" s="342"/>
    </row>
    <row r="538" spans="1:39" ht="15.75" customHeight="1">
      <c r="D538" s="1789" t="s">
        <v>197</v>
      </c>
      <c r="E538" s="1789"/>
      <c r="F538" s="1789"/>
      <c r="G538" s="1789"/>
      <c r="H538" s="1789"/>
      <c r="I538" s="1789"/>
      <c r="J538" s="1789"/>
      <c r="K538" s="1789"/>
      <c r="L538" s="1789"/>
      <c r="M538" s="1789"/>
      <c r="N538" s="1789"/>
      <c r="O538" s="1789"/>
      <c r="P538" s="1789"/>
      <c r="Q538" s="1789"/>
      <c r="R538" s="1791"/>
      <c r="S538" s="1791"/>
      <c r="T538" s="1791"/>
      <c r="U538" s="1791"/>
      <c r="V538" s="1791"/>
      <c r="W538" s="1791"/>
      <c r="X538" s="1791"/>
      <c r="Y538" s="1791"/>
      <c r="Z538" s="1791"/>
      <c r="AA538" s="1791"/>
      <c r="AB538" s="1791"/>
      <c r="AC538" s="1791"/>
      <c r="AD538" s="1791"/>
      <c r="AE538" s="1791"/>
      <c r="AF538" s="1791"/>
      <c r="AG538" s="1791"/>
      <c r="AM538" s="342"/>
    </row>
    <row r="539" spans="1:39" ht="15.75" customHeight="1">
      <c r="D539" s="1789" t="s">
        <v>198</v>
      </c>
      <c r="E539" s="1789"/>
      <c r="F539" s="1789"/>
      <c r="G539" s="1789"/>
      <c r="H539" s="1789"/>
      <c r="I539" s="1789"/>
      <c r="J539" s="1789"/>
      <c r="K539" s="1789"/>
      <c r="L539" s="1789"/>
      <c r="M539" s="1789"/>
      <c r="N539" s="1789"/>
      <c r="O539" s="1789"/>
      <c r="P539" s="1789"/>
      <c r="Q539" s="1789"/>
      <c r="R539" s="1791">
        <v>151596</v>
      </c>
      <c r="S539" s="1791"/>
      <c r="T539" s="1791"/>
      <c r="U539" s="1791"/>
      <c r="V539" s="1791"/>
      <c r="W539" s="1791"/>
      <c r="X539" s="1791"/>
      <c r="Y539" s="1791"/>
      <c r="Z539" s="1791"/>
      <c r="AA539" s="1791"/>
      <c r="AB539" s="1791"/>
      <c r="AC539" s="1791"/>
      <c r="AD539" s="1791"/>
      <c r="AE539" s="1791"/>
      <c r="AF539" s="1791"/>
      <c r="AG539" s="1791"/>
      <c r="AM539" s="342"/>
    </row>
    <row r="540" spans="1:39" ht="15.75" customHeight="1">
      <c r="D540" s="1789" t="s">
        <v>199</v>
      </c>
      <c r="E540" s="1789"/>
      <c r="F540" s="1789"/>
      <c r="G540" s="1789"/>
      <c r="H540" s="1789"/>
      <c r="I540" s="1789"/>
      <c r="J540" s="1789"/>
      <c r="K540" s="1789"/>
      <c r="L540" s="1789"/>
      <c r="M540" s="1789"/>
      <c r="N540" s="1789"/>
      <c r="O540" s="1789"/>
      <c r="P540" s="1789"/>
      <c r="Q540" s="1789"/>
      <c r="R540" s="1791"/>
      <c r="S540" s="1791"/>
      <c r="T540" s="1791"/>
      <c r="U540" s="1791"/>
      <c r="V540" s="1791"/>
      <c r="W540" s="1791"/>
      <c r="X540" s="1791"/>
      <c r="Y540" s="1791"/>
      <c r="Z540" s="1791"/>
      <c r="AA540" s="1791"/>
      <c r="AB540" s="1791"/>
      <c r="AC540" s="1791"/>
      <c r="AD540" s="1791"/>
      <c r="AE540" s="1791"/>
      <c r="AF540" s="1791"/>
      <c r="AG540" s="1791"/>
      <c r="AM540" s="342"/>
    </row>
    <row r="541" spans="1:39" ht="15.75" customHeight="1">
      <c r="D541" s="1789" t="s">
        <v>200</v>
      </c>
      <c r="E541" s="1789"/>
      <c r="F541" s="1789"/>
      <c r="G541" s="1789"/>
      <c r="H541" s="1789"/>
      <c r="I541" s="1789"/>
      <c r="J541" s="1789"/>
      <c r="K541" s="1789"/>
      <c r="L541" s="1789"/>
      <c r="M541" s="1789"/>
      <c r="N541" s="1789"/>
      <c r="O541" s="1789"/>
      <c r="P541" s="1789"/>
      <c r="Q541" s="1789"/>
      <c r="R541" s="1967"/>
      <c r="S541" s="1967"/>
      <c r="T541" s="1967"/>
      <c r="U541" s="1967"/>
      <c r="V541" s="1967"/>
      <c r="W541" s="1967"/>
      <c r="X541" s="1967"/>
      <c r="Y541" s="1967"/>
      <c r="Z541" s="1967"/>
      <c r="AA541" s="1967"/>
      <c r="AB541" s="1967"/>
      <c r="AC541" s="1967"/>
      <c r="AD541" s="1967"/>
      <c r="AE541" s="1967"/>
      <c r="AF541" s="1967"/>
      <c r="AG541" s="1967"/>
      <c r="AM541" s="635"/>
    </row>
    <row r="542" spans="1:39" ht="15.75" customHeight="1" thickBot="1">
      <c r="D542" s="2102" t="s">
        <v>14</v>
      </c>
      <c r="E542" s="2102"/>
      <c r="F542" s="2102"/>
      <c r="G542" s="2102"/>
      <c r="H542" s="2102"/>
      <c r="I542" s="2102"/>
      <c r="J542" s="2102"/>
      <c r="K542" s="2102"/>
      <c r="L542" s="2102"/>
      <c r="M542" s="2102"/>
      <c r="N542" s="2102"/>
      <c r="O542" s="2102"/>
      <c r="P542" s="2102"/>
      <c r="Q542" s="2102"/>
      <c r="R542" s="2109">
        <f>SUM(R534:AG541)</f>
        <v>159575</v>
      </c>
      <c r="S542" s="2110"/>
      <c r="T542" s="2110"/>
      <c r="U542" s="2110"/>
      <c r="V542" s="2110"/>
      <c r="W542" s="2110"/>
      <c r="X542" s="2110"/>
      <c r="Y542" s="2110"/>
      <c r="Z542" s="2110"/>
      <c r="AA542" s="2110"/>
      <c r="AB542" s="2110"/>
      <c r="AC542" s="2110"/>
      <c r="AD542" s="2110"/>
      <c r="AE542" s="2110"/>
      <c r="AF542" s="2110"/>
      <c r="AG542" s="2111"/>
      <c r="AM542" s="615">
        <f>SUM(R534:AG541)-R542</f>
        <v>0</v>
      </c>
    </row>
    <row r="543" spans="1:39" s="786" customFormat="1" ht="15.75" customHeight="1">
      <c r="A543" s="784"/>
      <c r="D543" s="1517"/>
      <c r="E543" s="1517"/>
      <c r="F543" s="1517"/>
      <c r="G543" s="1517"/>
      <c r="H543" s="1517"/>
      <c r="I543" s="1517"/>
      <c r="J543" s="1517"/>
      <c r="K543" s="1517"/>
      <c r="L543" s="1517"/>
      <c r="M543" s="1517"/>
      <c r="N543" s="1517"/>
      <c r="O543" s="1517"/>
      <c r="P543" s="1517"/>
      <c r="Q543" s="1517"/>
      <c r="R543" s="1518"/>
      <c r="S543" s="1518"/>
      <c r="T543" s="1518"/>
      <c r="U543" s="1518"/>
      <c r="V543" s="1518"/>
      <c r="W543" s="1518"/>
      <c r="X543" s="1518"/>
      <c r="Y543" s="1518"/>
      <c r="Z543" s="1518"/>
      <c r="AA543" s="1518"/>
      <c r="AB543" s="1518"/>
      <c r="AC543" s="1518"/>
      <c r="AD543" s="1518"/>
      <c r="AE543" s="1518"/>
      <c r="AF543" s="1518"/>
      <c r="AG543" s="1518"/>
      <c r="AM543" s="1532"/>
    </row>
    <row r="544" spans="1:39" ht="27.25" customHeight="1">
      <c r="D544" s="1823" t="s">
        <v>3001</v>
      </c>
      <c r="E544" s="1824"/>
      <c r="F544" s="1824"/>
      <c r="G544" s="1824"/>
      <c r="H544" s="1824"/>
      <c r="I544" s="1824"/>
      <c r="J544" s="1824"/>
      <c r="K544" s="1824"/>
      <c r="L544" s="1824"/>
      <c r="M544" s="1824"/>
      <c r="N544" s="1824"/>
      <c r="O544" s="1824"/>
      <c r="P544" s="1824"/>
      <c r="Q544" s="1824"/>
      <c r="R544" s="1824"/>
      <c r="S544" s="1824"/>
      <c r="T544" s="1824"/>
      <c r="U544" s="1824"/>
      <c r="V544" s="1824"/>
      <c r="W544" s="1824"/>
      <c r="X544" s="1824"/>
      <c r="Y544" s="1824"/>
      <c r="Z544" s="1824"/>
      <c r="AA544" s="1824"/>
      <c r="AB544" s="1824"/>
      <c r="AC544" s="1824"/>
      <c r="AD544" s="1824"/>
      <c r="AE544" s="1824"/>
      <c r="AF544" s="1824"/>
      <c r="AG544" s="1824"/>
      <c r="AM544" s="615"/>
    </row>
    <row r="545" spans="4:41" ht="28.5" customHeight="1">
      <c r="D545" s="1823" t="s">
        <v>3002</v>
      </c>
      <c r="E545" s="1824"/>
      <c r="F545" s="1824"/>
      <c r="G545" s="1824"/>
      <c r="H545" s="1824"/>
      <c r="I545" s="1824"/>
      <c r="J545" s="1824"/>
      <c r="K545" s="1824"/>
      <c r="L545" s="1824"/>
      <c r="M545" s="1824"/>
      <c r="N545" s="1824"/>
      <c r="O545" s="1824"/>
      <c r="P545" s="1824"/>
      <c r="Q545" s="1824"/>
      <c r="R545" s="1824"/>
      <c r="S545" s="1824"/>
      <c r="T545" s="1824"/>
      <c r="U545" s="1824"/>
      <c r="V545" s="1824"/>
      <c r="W545" s="1824"/>
      <c r="X545" s="1824"/>
      <c r="Y545" s="1824"/>
      <c r="Z545" s="1824"/>
      <c r="AA545" s="1824"/>
      <c r="AB545" s="1824"/>
      <c r="AC545" s="1824"/>
      <c r="AD545" s="1824"/>
      <c r="AE545" s="1824"/>
      <c r="AF545" s="1824"/>
      <c r="AG545" s="1824"/>
      <c r="AM545" s="615"/>
    </row>
    <row r="546" spans="4:41" ht="15.75" customHeight="1">
      <c r="AM546" s="615"/>
    </row>
    <row r="547" spans="4:41" ht="14.25" customHeight="1">
      <c r="D547" s="582" t="s">
        <v>2933</v>
      </c>
    </row>
    <row r="549" spans="4:41" ht="14.25" customHeight="1">
      <c r="D549" s="2006" t="s">
        <v>1371</v>
      </c>
      <c r="E549" s="2006"/>
      <c r="F549" s="2006"/>
      <c r="G549" s="2006"/>
      <c r="H549" s="2006"/>
      <c r="I549" s="2006"/>
      <c r="J549" s="2006"/>
      <c r="K549" s="2006"/>
      <c r="L549" s="2006"/>
      <c r="M549" s="2006"/>
      <c r="N549" s="2006"/>
      <c r="O549" s="2006"/>
      <c r="P549" s="2006"/>
      <c r="Q549" s="2006"/>
      <c r="R549" s="2006"/>
      <c r="S549" s="2006"/>
      <c r="T549" s="2006"/>
      <c r="U549" s="2006"/>
      <c r="V549" s="2006"/>
      <c r="W549" s="2006"/>
      <c r="X549" s="2006"/>
      <c r="Y549" s="2006"/>
      <c r="Z549" s="2006"/>
      <c r="AA549" s="2006"/>
      <c r="AB549" s="2006"/>
      <c r="AC549" s="2006"/>
      <c r="AD549" s="2006"/>
      <c r="AE549" s="2006"/>
      <c r="AF549" s="2006"/>
      <c r="AG549" s="2006"/>
    </row>
    <row r="550" spans="4:41" ht="14.25" customHeight="1" thickBot="1"/>
    <row r="551" spans="4:41" ht="14.25" customHeight="1" thickBot="1">
      <c r="D551" s="1921" t="s">
        <v>1</v>
      </c>
      <c r="E551" s="1921"/>
      <c r="F551" s="1921"/>
      <c r="G551" s="1921"/>
      <c r="H551" s="1921"/>
      <c r="I551" s="1921" t="s">
        <v>2</v>
      </c>
      <c r="J551" s="1921"/>
      <c r="K551" s="1921"/>
      <c r="L551" s="1921"/>
      <c r="M551" s="1921"/>
      <c r="N551" s="1921"/>
      <c r="O551" s="1921"/>
      <c r="P551" s="1921"/>
      <c r="Q551" s="1921"/>
      <c r="R551" s="1921"/>
      <c r="S551" s="1921"/>
      <c r="T551" s="1921"/>
      <c r="U551" s="1921"/>
      <c r="V551" s="1921"/>
      <c r="W551" s="1921"/>
      <c r="X551" s="1921"/>
      <c r="Y551" s="1921"/>
      <c r="Z551" s="1921"/>
      <c r="AA551" s="1921"/>
      <c r="AB551" s="1921"/>
      <c r="AC551" s="1921"/>
      <c r="AD551" s="1921"/>
      <c r="AE551" s="1921"/>
      <c r="AF551" s="1921"/>
      <c r="AG551" s="1921"/>
    </row>
    <row r="552" spans="4:41" ht="31" customHeight="1" thickTop="1" thickBot="1">
      <c r="D552" s="1921"/>
      <c r="E552" s="1921"/>
      <c r="F552" s="1921"/>
      <c r="G552" s="1921"/>
      <c r="H552" s="1921"/>
      <c r="I552" s="1851" t="s">
        <v>32</v>
      </c>
      <c r="J552" s="1851"/>
      <c r="K552" s="1851"/>
      <c r="L552" s="1851"/>
      <c r="M552" s="1851"/>
      <c r="N552" s="1851" t="s">
        <v>124</v>
      </c>
      <c r="O552" s="1851"/>
      <c r="P552" s="1851"/>
      <c r="Q552" s="1851"/>
      <c r="R552" s="1851"/>
      <c r="S552" s="1851" t="s">
        <v>210</v>
      </c>
      <c r="T552" s="1851"/>
      <c r="U552" s="1851"/>
      <c r="V552" s="1851"/>
      <c r="W552" s="1851"/>
      <c r="X552" s="1851" t="s">
        <v>211</v>
      </c>
      <c r="Y552" s="1851"/>
      <c r="Z552" s="1851"/>
      <c r="AA552" s="1851"/>
      <c r="AB552" s="1851"/>
      <c r="AC552" s="1851" t="s">
        <v>30</v>
      </c>
      <c r="AD552" s="1851"/>
      <c r="AE552" s="1851"/>
      <c r="AF552" s="1851"/>
      <c r="AG552" s="1851"/>
      <c r="AL552" s="591" t="s">
        <v>472</v>
      </c>
      <c r="AM552" s="591" t="s">
        <v>30</v>
      </c>
      <c r="AO552" s="591" t="s">
        <v>30</v>
      </c>
    </row>
    <row r="553" spans="4:41" ht="28.5" customHeight="1" thickBot="1">
      <c r="D553" s="2066" t="s">
        <v>212</v>
      </c>
      <c r="E553" s="2067"/>
      <c r="F553" s="2067"/>
      <c r="G553" s="2067"/>
      <c r="H553" s="2068"/>
      <c r="I553" s="2069">
        <f>SUM(I554:M554)</f>
        <v>0</v>
      </c>
      <c r="J553" s="2070"/>
      <c r="K553" s="2070"/>
      <c r="L553" s="2070"/>
      <c r="M553" s="2070"/>
      <c r="N553" s="2069">
        <f>SUM(N554:R554)</f>
        <v>0</v>
      </c>
      <c r="O553" s="2070"/>
      <c r="P553" s="2070"/>
      <c r="Q553" s="2070"/>
      <c r="R553" s="2070"/>
      <c r="S553" s="2069">
        <f>SUM(S554:W554)</f>
        <v>0</v>
      </c>
      <c r="T553" s="2070"/>
      <c r="U553" s="2070"/>
      <c r="V553" s="2070"/>
      <c r="W553" s="2070"/>
      <c r="X553" s="2069">
        <f>SUM(X554:AB554)</f>
        <v>0</v>
      </c>
      <c r="Y553" s="2070"/>
      <c r="Z553" s="2070"/>
      <c r="AA553" s="2070"/>
      <c r="AB553" s="2070"/>
      <c r="AC553" s="2071">
        <f>SUM(I553:AB553)</f>
        <v>0</v>
      </c>
      <c r="AD553" s="2071"/>
      <c r="AE553" s="2071"/>
      <c r="AF553" s="2071"/>
      <c r="AG553" s="2072"/>
      <c r="AL553" s="640">
        <f t="shared" ref="AL553:AL558" si="149">I553-AC564</f>
        <v>0</v>
      </c>
      <c r="AM553" s="636">
        <f>SUM(I553:AB553)-AC553</f>
        <v>0</v>
      </c>
      <c r="AO553" s="637">
        <f>AC553-BS!$D$134-BS!$D$135</f>
        <v>0</v>
      </c>
    </row>
    <row r="554" spans="4:41" ht="21.75" customHeight="1" thickBot="1">
      <c r="D554" s="1809"/>
      <c r="E554" s="1810"/>
      <c r="F554" s="1810"/>
      <c r="G554" s="1810"/>
      <c r="H554" s="1811"/>
      <c r="I554" s="1839"/>
      <c r="J554" s="1840"/>
      <c r="K554" s="1840"/>
      <c r="L554" s="1840"/>
      <c r="M554" s="1841"/>
      <c r="N554" s="1842"/>
      <c r="O554" s="1840"/>
      <c r="P554" s="1840"/>
      <c r="Q554" s="1840"/>
      <c r="R554" s="1841"/>
      <c r="S554" s="1842"/>
      <c r="T554" s="1840"/>
      <c r="U554" s="1840"/>
      <c r="V554" s="1840"/>
      <c r="W554" s="1841"/>
      <c r="X554" s="1842"/>
      <c r="Y554" s="1840"/>
      <c r="Z554" s="1840"/>
      <c r="AA554" s="1840"/>
      <c r="AB554" s="1841"/>
      <c r="AC554" s="2056">
        <f t="shared" ref="AC554" si="150">SUM(I554:AB554)</f>
        <v>0</v>
      </c>
      <c r="AD554" s="1925"/>
      <c r="AE554" s="1925"/>
      <c r="AF554" s="1925"/>
      <c r="AG554" s="1926"/>
      <c r="AL554" s="357">
        <f t="shared" si="149"/>
        <v>0</v>
      </c>
      <c r="AM554" s="358">
        <f t="shared" ref="AM554:AM555" si="151">SUM(I554:AB554)-AC554</f>
        <v>0</v>
      </c>
      <c r="AO554" s="358"/>
    </row>
    <row r="555" spans="4:41" ht="28.5" customHeight="1" thickBot="1">
      <c r="D555" s="2066" t="s">
        <v>213</v>
      </c>
      <c r="E555" s="2067"/>
      <c r="F555" s="2067"/>
      <c r="G555" s="2067"/>
      <c r="H555" s="2068"/>
      <c r="I555" s="2069">
        <f>SUM(I556:M558)</f>
        <v>113122</v>
      </c>
      <c r="J555" s="2070"/>
      <c r="K555" s="2070"/>
      <c r="L555" s="2070"/>
      <c r="M555" s="2070"/>
      <c r="N555" s="2069">
        <f>SUM(N556:R558)</f>
        <v>134706</v>
      </c>
      <c r="O555" s="2070"/>
      <c r="P555" s="2070"/>
      <c r="Q555" s="2070"/>
      <c r="R555" s="2070"/>
      <c r="S555" s="2069">
        <f t="shared" ref="S555" si="152">SUM(S556:W558)</f>
        <v>-113122</v>
      </c>
      <c r="T555" s="2070"/>
      <c r="U555" s="2070"/>
      <c r="V555" s="2070"/>
      <c r="W555" s="2070"/>
      <c r="X555" s="2069">
        <f t="shared" ref="X555" si="153">SUM(X556:AB558)</f>
        <v>0</v>
      </c>
      <c r="Y555" s="2070"/>
      <c r="Z555" s="2070"/>
      <c r="AA555" s="2070"/>
      <c r="AB555" s="2070"/>
      <c r="AC555" s="2071">
        <f t="shared" ref="AC555:AC556" si="154">SUM(I555:AB555)</f>
        <v>134706</v>
      </c>
      <c r="AD555" s="2071"/>
      <c r="AE555" s="2071"/>
      <c r="AF555" s="2071"/>
      <c r="AG555" s="2072"/>
      <c r="AL555" s="1495">
        <f t="shared" si="149"/>
        <v>0</v>
      </c>
      <c r="AM555" s="358">
        <f t="shared" si="151"/>
        <v>0</v>
      </c>
      <c r="AO555" s="359">
        <f>AC555-BS!$D$152-BS!$D$153</f>
        <v>0</v>
      </c>
    </row>
    <row r="556" spans="4:41" ht="50.25" customHeight="1">
      <c r="D556" s="2073" t="s">
        <v>2739</v>
      </c>
      <c r="E556" s="1810"/>
      <c r="F556" s="1810"/>
      <c r="G556" s="1810"/>
      <c r="H556" s="1811"/>
      <c r="I556" s="2074">
        <v>42770</v>
      </c>
      <c r="J556" s="2075"/>
      <c r="K556" s="2075"/>
      <c r="L556" s="2075"/>
      <c r="M556" s="2075"/>
      <c r="N556" s="2082">
        <v>43381</v>
      </c>
      <c r="O556" s="2082"/>
      <c r="P556" s="2082"/>
      <c r="Q556" s="2082"/>
      <c r="R556" s="2082"/>
      <c r="S556" s="2082">
        <v>-42770</v>
      </c>
      <c r="T556" s="2082"/>
      <c r="U556" s="2082"/>
      <c r="V556" s="2082"/>
      <c r="W556" s="2082"/>
      <c r="X556" s="2082">
        <v>0</v>
      </c>
      <c r="Y556" s="2082"/>
      <c r="Z556" s="2082"/>
      <c r="AA556" s="2082"/>
      <c r="AB556" s="2082"/>
      <c r="AC556" s="2077">
        <f t="shared" si="154"/>
        <v>43381</v>
      </c>
      <c r="AD556" s="2077"/>
      <c r="AE556" s="2077"/>
      <c r="AF556" s="2077"/>
      <c r="AG556" s="2078"/>
      <c r="AL556" s="367">
        <f t="shared" si="149"/>
        <v>0</v>
      </c>
      <c r="AM556" s="359">
        <f>SUM(I556:AB556)-AC556</f>
        <v>0</v>
      </c>
      <c r="AO556" s="358"/>
    </row>
    <row r="557" spans="4:41" ht="42" customHeight="1">
      <c r="D557" s="1812" t="s">
        <v>2786</v>
      </c>
      <c r="E557" s="1813"/>
      <c r="F557" s="1813"/>
      <c r="G557" s="1813"/>
      <c r="H557" s="1814"/>
      <c r="I557" s="1804">
        <v>19700</v>
      </c>
      <c r="J557" s="1805"/>
      <c r="K557" s="1805"/>
      <c r="L557" s="1805"/>
      <c r="M557" s="1805"/>
      <c r="N557" s="1816">
        <v>10881</v>
      </c>
      <c r="O557" s="1816"/>
      <c r="P557" s="1816"/>
      <c r="Q557" s="1816"/>
      <c r="R557" s="1816"/>
      <c r="S557" s="1816">
        <v>-19700</v>
      </c>
      <c r="T557" s="1816"/>
      <c r="U557" s="1816"/>
      <c r="V557" s="1816"/>
      <c r="W557" s="1816"/>
      <c r="X557" s="1816">
        <v>0</v>
      </c>
      <c r="Y557" s="1816"/>
      <c r="Z557" s="1816"/>
      <c r="AA557" s="1816"/>
      <c r="AB557" s="1816"/>
      <c r="AC557" s="1807">
        <f t="shared" ref="AC557" si="155">SUM(I557:AB557)</f>
        <v>10881</v>
      </c>
      <c r="AD557" s="1807"/>
      <c r="AE557" s="1807"/>
      <c r="AF557" s="1807"/>
      <c r="AG557" s="1808"/>
      <c r="AL557" s="357">
        <f t="shared" si="149"/>
        <v>0</v>
      </c>
      <c r="AM557" s="359">
        <f>SUM(I557:AB557)-AC557</f>
        <v>0</v>
      </c>
      <c r="AO557" s="635"/>
    </row>
    <row r="558" spans="4:41" ht="42" customHeight="1">
      <c r="D558" s="1812" t="s">
        <v>2856</v>
      </c>
      <c r="E558" s="1813"/>
      <c r="F558" s="1813"/>
      <c r="G558" s="1813"/>
      <c r="H558" s="1814"/>
      <c r="I558" s="1804">
        <v>50652</v>
      </c>
      <c r="J558" s="1805"/>
      <c r="K558" s="1805"/>
      <c r="L558" s="1805"/>
      <c r="M558" s="1805"/>
      <c r="N558" s="1815">
        <v>80444</v>
      </c>
      <c r="O558" s="1816"/>
      <c r="P558" s="1816"/>
      <c r="Q558" s="1816"/>
      <c r="R558" s="1816"/>
      <c r="S558" s="1816">
        <v>-50652</v>
      </c>
      <c r="T558" s="1816"/>
      <c r="U558" s="1816"/>
      <c r="V558" s="1816"/>
      <c r="W558" s="1816"/>
      <c r="X558" s="1816">
        <v>0</v>
      </c>
      <c r="Y558" s="1816"/>
      <c r="Z558" s="1816"/>
      <c r="AA558" s="1816"/>
      <c r="AB558" s="1816"/>
      <c r="AC558" s="1807">
        <f t="shared" ref="AC558" si="156">SUM(I558:AB558)</f>
        <v>80444</v>
      </c>
      <c r="AD558" s="1807"/>
      <c r="AE558" s="1807"/>
      <c r="AF558" s="1807"/>
      <c r="AG558" s="1808"/>
      <c r="AL558" s="357">
        <f t="shared" si="149"/>
        <v>0</v>
      </c>
      <c r="AM558" s="359">
        <f>SUM(I558:AB558)-AC558</f>
        <v>0</v>
      </c>
      <c r="AO558" s="607"/>
    </row>
    <row r="559" spans="4:41" ht="14.25" customHeight="1">
      <c r="AL559" s="605"/>
      <c r="AM559" s="337"/>
    </row>
    <row r="560" spans="4:41" ht="14.25" customHeight="1">
      <c r="D560" s="1900" t="s">
        <v>2838</v>
      </c>
      <c r="E560" s="1900"/>
      <c r="F560" s="1900"/>
      <c r="G560" s="1900"/>
      <c r="H560" s="1900"/>
      <c r="I560" s="1900"/>
      <c r="J560" s="1900"/>
      <c r="K560" s="1900"/>
      <c r="L560" s="1900"/>
      <c r="M560" s="1900"/>
      <c r="N560" s="1900"/>
      <c r="O560" s="1900"/>
      <c r="P560" s="1900"/>
      <c r="Q560" s="1900"/>
      <c r="R560" s="1900"/>
      <c r="S560" s="1900"/>
      <c r="T560" s="1900"/>
      <c r="U560" s="1900"/>
      <c r="V560" s="1900"/>
      <c r="W560" s="1900"/>
      <c r="X560" s="1900"/>
      <c r="Y560" s="1900"/>
      <c r="Z560" s="1900"/>
      <c r="AA560" s="1900"/>
      <c r="AB560" s="1900"/>
      <c r="AC560" s="1900"/>
      <c r="AD560" s="1900"/>
      <c r="AE560" s="1900"/>
      <c r="AF560" s="1900"/>
      <c r="AG560" s="1900"/>
      <c r="AL560" s="605"/>
      <c r="AM560" s="337"/>
    </row>
    <row r="561" spans="4:41" ht="14.25" customHeight="1" thickBot="1">
      <c r="AL561" s="605"/>
    </row>
    <row r="562" spans="4:41" ht="14.25" customHeight="1" thickBot="1">
      <c r="D562" s="1921" t="s">
        <v>1</v>
      </c>
      <c r="E562" s="1921"/>
      <c r="F562" s="1921"/>
      <c r="G562" s="1921"/>
      <c r="H562" s="1921"/>
      <c r="I562" s="1921" t="s">
        <v>3</v>
      </c>
      <c r="J562" s="1921"/>
      <c r="K562" s="1921"/>
      <c r="L562" s="1921"/>
      <c r="M562" s="1921"/>
      <c r="N562" s="1921"/>
      <c r="O562" s="1921"/>
      <c r="P562" s="1921"/>
      <c r="Q562" s="1921"/>
      <c r="R562" s="1921"/>
      <c r="S562" s="1921"/>
      <c r="T562" s="1921"/>
      <c r="U562" s="1921"/>
      <c r="V562" s="1921"/>
      <c r="W562" s="1921"/>
      <c r="X562" s="1921"/>
      <c r="Y562" s="1921"/>
      <c r="Z562" s="1921"/>
      <c r="AA562" s="1921"/>
      <c r="AB562" s="1921"/>
      <c r="AC562" s="1921"/>
      <c r="AD562" s="1921"/>
      <c r="AE562" s="1921"/>
      <c r="AF562" s="1921"/>
      <c r="AG562" s="1921"/>
      <c r="AL562" s="605"/>
    </row>
    <row r="563" spans="4:41" ht="31" customHeight="1" thickTop="1" thickBot="1">
      <c r="D563" s="1921"/>
      <c r="E563" s="1921"/>
      <c r="F563" s="1921"/>
      <c r="G563" s="1921"/>
      <c r="H563" s="1921"/>
      <c r="I563" s="1851" t="s">
        <v>32</v>
      </c>
      <c r="J563" s="1851"/>
      <c r="K563" s="1851"/>
      <c r="L563" s="1851"/>
      <c r="M563" s="1851"/>
      <c r="N563" s="1851" t="s">
        <v>124</v>
      </c>
      <c r="O563" s="1851"/>
      <c r="P563" s="1851"/>
      <c r="Q563" s="1851"/>
      <c r="R563" s="1851"/>
      <c r="S563" s="1851" t="s">
        <v>210</v>
      </c>
      <c r="T563" s="1851"/>
      <c r="U563" s="1851"/>
      <c r="V563" s="1851"/>
      <c r="W563" s="1851"/>
      <c r="X563" s="1851" t="s">
        <v>211</v>
      </c>
      <c r="Y563" s="1851"/>
      <c r="Z563" s="1851"/>
      <c r="AA563" s="1851"/>
      <c r="AB563" s="1851"/>
      <c r="AC563" s="1851" t="s">
        <v>30</v>
      </c>
      <c r="AD563" s="1851"/>
      <c r="AE563" s="1851"/>
      <c r="AF563" s="1851"/>
      <c r="AG563" s="1851"/>
      <c r="AL563" s="605"/>
      <c r="AM563" s="591" t="s">
        <v>30</v>
      </c>
      <c r="AO563" s="591" t="s">
        <v>30</v>
      </c>
    </row>
    <row r="564" spans="4:41" ht="28.5" customHeight="1" thickBot="1">
      <c r="D564" s="2066" t="s">
        <v>212</v>
      </c>
      <c r="E564" s="2067"/>
      <c r="F564" s="2067"/>
      <c r="G564" s="2067"/>
      <c r="H564" s="2068"/>
      <c r="I564" s="2069">
        <f>SUM(I565:M565)</f>
        <v>0</v>
      </c>
      <c r="J564" s="2070"/>
      <c r="K564" s="2070"/>
      <c r="L564" s="2070"/>
      <c r="M564" s="2070"/>
      <c r="N564" s="2069">
        <f>SUM(N565:R565)</f>
        <v>0</v>
      </c>
      <c r="O564" s="2070"/>
      <c r="P564" s="2070"/>
      <c r="Q564" s="2070"/>
      <c r="R564" s="2070"/>
      <c r="S564" s="2069">
        <f>SUM(S565:W565)</f>
        <v>0</v>
      </c>
      <c r="T564" s="2070"/>
      <c r="U564" s="2070"/>
      <c r="V564" s="2070"/>
      <c r="W564" s="2070"/>
      <c r="X564" s="2069">
        <f>SUM(X565:AB565)</f>
        <v>0</v>
      </c>
      <c r="Y564" s="2070"/>
      <c r="Z564" s="2070"/>
      <c r="AA564" s="2070"/>
      <c r="AB564" s="2070"/>
      <c r="AC564" s="2071">
        <f>SUM(I564:AB564)</f>
        <v>0</v>
      </c>
      <c r="AD564" s="2071"/>
      <c r="AE564" s="2071"/>
      <c r="AF564" s="2071"/>
      <c r="AG564" s="2072"/>
      <c r="AL564" s="605"/>
      <c r="AM564" s="636">
        <f>SUM(I564:AB564)-AC564</f>
        <v>0</v>
      </c>
      <c r="AO564" s="637">
        <f>AC564-BS!$E$134-BS!$E$135</f>
        <v>0</v>
      </c>
    </row>
    <row r="565" spans="4:41" ht="21.75" customHeight="1" thickBot="1">
      <c r="D565" s="1836"/>
      <c r="E565" s="1837"/>
      <c r="F565" s="1837"/>
      <c r="G565" s="1837"/>
      <c r="H565" s="1838"/>
      <c r="I565" s="1839"/>
      <c r="J565" s="1840"/>
      <c r="K565" s="1840"/>
      <c r="L565" s="1840"/>
      <c r="M565" s="1841"/>
      <c r="N565" s="1842"/>
      <c r="O565" s="1840"/>
      <c r="P565" s="1840"/>
      <c r="Q565" s="1840"/>
      <c r="R565" s="1841"/>
      <c r="S565" s="1842"/>
      <c r="T565" s="1840"/>
      <c r="U565" s="1840"/>
      <c r="V565" s="1840"/>
      <c r="W565" s="1841"/>
      <c r="X565" s="1842"/>
      <c r="Y565" s="1840"/>
      <c r="Z565" s="1840"/>
      <c r="AA565" s="1840"/>
      <c r="AB565" s="1841"/>
      <c r="AC565" s="2056">
        <f t="shared" ref="AC565" si="157">SUM(I565:AB565)</f>
        <v>0</v>
      </c>
      <c r="AD565" s="1925"/>
      <c r="AE565" s="1925"/>
      <c r="AF565" s="1925"/>
      <c r="AG565" s="1926"/>
      <c r="AL565" s="605"/>
      <c r="AM565" s="358">
        <f t="shared" ref="AM565:AM566" si="158">SUM(I565:AB565)-AC565</f>
        <v>0</v>
      </c>
      <c r="AO565" s="358"/>
    </row>
    <row r="566" spans="4:41" ht="28.5" customHeight="1" thickBot="1">
      <c r="D566" s="2066" t="s">
        <v>213</v>
      </c>
      <c r="E566" s="2067"/>
      <c r="F566" s="2067"/>
      <c r="G566" s="2067"/>
      <c r="H566" s="2068"/>
      <c r="I566" s="2069">
        <f>SUM(I567:M569)</f>
        <v>102437</v>
      </c>
      <c r="J566" s="2070"/>
      <c r="K566" s="2070"/>
      <c r="L566" s="2070"/>
      <c r="M566" s="2070"/>
      <c r="N566" s="2069">
        <f t="shared" ref="N566" si="159">SUM(N567:R569)</f>
        <v>113122</v>
      </c>
      <c r="O566" s="2070"/>
      <c r="P566" s="2070"/>
      <c r="Q566" s="2070"/>
      <c r="R566" s="2070"/>
      <c r="S566" s="2069">
        <f t="shared" ref="S566" si="160">SUM(S567:W569)</f>
        <v>-102437</v>
      </c>
      <c r="T566" s="2070"/>
      <c r="U566" s="2070"/>
      <c r="V566" s="2070"/>
      <c r="W566" s="2070"/>
      <c r="X566" s="2069">
        <f t="shared" ref="X566" si="161">SUM(X567:AB569)</f>
        <v>0</v>
      </c>
      <c r="Y566" s="2070"/>
      <c r="Z566" s="2070"/>
      <c r="AA566" s="2070"/>
      <c r="AB566" s="2070"/>
      <c r="AC566" s="2071">
        <f t="shared" ref="AC566:AC567" si="162">SUM(I566:AB566)</f>
        <v>113122</v>
      </c>
      <c r="AD566" s="2071"/>
      <c r="AE566" s="2071"/>
      <c r="AF566" s="2071"/>
      <c r="AG566" s="2072"/>
      <c r="AM566" s="358">
        <f t="shared" si="158"/>
        <v>0</v>
      </c>
      <c r="AO566" s="359">
        <f>AC566-BS!$E$152-BS!$E$153</f>
        <v>0</v>
      </c>
    </row>
    <row r="567" spans="4:41" ht="52.75" customHeight="1">
      <c r="D567" s="2073" t="s">
        <v>2739</v>
      </c>
      <c r="E567" s="1810"/>
      <c r="F567" s="1810"/>
      <c r="G567" s="1810"/>
      <c r="H567" s="1811"/>
      <c r="I567" s="2074">
        <v>34294</v>
      </c>
      <c r="J567" s="2075"/>
      <c r="K567" s="2075"/>
      <c r="L567" s="2075"/>
      <c r="M567" s="2075"/>
      <c r="N567" s="2075">
        <v>42770</v>
      </c>
      <c r="O567" s="2075"/>
      <c r="P567" s="2075"/>
      <c r="Q567" s="2075"/>
      <c r="R567" s="2075"/>
      <c r="S567" s="2076">
        <v>-34294</v>
      </c>
      <c r="T567" s="2076"/>
      <c r="U567" s="2076"/>
      <c r="V567" s="2076"/>
      <c r="W567" s="2076"/>
      <c r="X567" s="2076">
        <v>0</v>
      </c>
      <c r="Y567" s="2076"/>
      <c r="Z567" s="2076"/>
      <c r="AA567" s="2076"/>
      <c r="AB567" s="2076"/>
      <c r="AC567" s="2077">
        <f t="shared" si="162"/>
        <v>42770</v>
      </c>
      <c r="AD567" s="2077"/>
      <c r="AE567" s="2077"/>
      <c r="AF567" s="2077"/>
      <c r="AG567" s="2078"/>
      <c r="AM567" s="358">
        <f>SUM(I567:AB567)-AC567</f>
        <v>0</v>
      </c>
      <c r="AO567" s="358"/>
    </row>
    <row r="568" spans="4:41" ht="43.5" customHeight="1" thickBot="1">
      <c r="D568" s="2053" t="s">
        <v>2740</v>
      </c>
      <c r="E568" s="2054"/>
      <c r="F568" s="2054"/>
      <c r="G568" s="2054"/>
      <c r="H568" s="2055"/>
      <c r="I568" s="1804">
        <v>9747</v>
      </c>
      <c r="J568" s="1805"/>
      <c r="K568" s="1805"/>
      <c r="L568" s="1805"/>
      <c r="M568" s="1805"/>
      <c r="N568" s="1805">
        <v>19700</v>
      </c>
      <c r="O568" s="1805"/>
      <c r="P568" s="1805"/>
      <c r="Q568" s="1805"/>
      <c r="R568" s="1805"/>
      <c r="S568" s="1806">
        <v>-9747</v>
      </c>
      <c r="T568" s="1806"/>
      <c r="U568" s="1806"/>
      <c r="V568" s="1806"/>
      <c r="W568" s="1806"/>
      <c r="X568" s="1806">
        <v>0</v>
      </c>
      <c r="Y568" s="1806"/>
      <c r="Z568" s="1806"/>
      <c r="AA568" s="1806"/>
      <c r="AB568" s="1806"/>
      <c r="AC568" s="1807">
        <f t="shared" ref="AC568" si="163">SUM(I568:AB568)</f>
        <v>19700</v>
      </c>
      <c r="AD568" s="1807"/>
      <c r="AE568" s="1807"/>
      <c r="AF568" s="1807"/>
      <c r="AG568" s="1808"/>
      <c r="AM568" s="358">
        <f t="shared" ref="AM568" si="164">SUM(I568:AB568)-AC568</f>
        <v>0</v>
      </c>
      <c r="AO568" s="635"/>
    </row>
    <row r="569" spans="4:41" ht="43.5" customHeight="1">
      <c r="D569" s="1798" t="s">
        <v>2856</v>
      </c>
      <c r="E569" s="1799"/>
      <c r="F569" s="1799"/>
      <c r="G569" s="1799"/>
      <c r="H569" s="1800"/>
      <c r="I569" s="1804">
        <v>58396</v>
      </c>
      <c r="J569" s="1805"/>
      <c r="K569" s="1805"/>
      <c r="L569" s="1805"/>
      <c r="M569" s="1805"/>
      <c r="N569" s="1805">
        <v>50652</v>
      </c>
      <c r="O569" s="1805"/>
      <c r="P569" s="1805"/>
      <c r="Q569" s="1805"/>
      <c r="R569" s="1805"/>
      <c r="S569" s="1806">
        <v>-58396</v>
      </c>
      <c r="T569" s="1806"/>
      <c r="U569" s="1806"/>
      <c r="V569" s="1806"/>
      <c r="W569" s="1806"/>
      <c r="X569" s="1806">
        <v>0</v>
      </c>
      <c r="Y569" s="1806"/>
      <c r="Z569" s="1806"/>
      <c r="AA569" s="1806"/>
      <c r="AB569" s="1806"/>
      <c r="AC569" s="1807">
        <f t="shared" ref="AC569" si="165">SUM(I569:AB569)</f>
        <v>50652</v>
      </c>
      <c r="AD569" s="1807"/>
      <c r="AE569" s="1807"/>
      <c r="AF569" s="1807"/>
      <c r="AG569" s="1808"/>
      <c r="AM569" s="358">
        <f t="shared" ref="AM569" si="166">SUM(I569:AB569)-AC569</f>
        <v>0</v>
      </c>
      <c r="AO569" s="635"/>
    </row>
    <row r="571" spans="4:41" ht="14.25" customHeight="1">
      <c r="D571" s="582" t="s">
        <v>2934</v>
      </c>
    </row>
    <row r="573" spans="4:41" ht="14.25" customHeight="1">
      <c r="D573" s="2006" t="s">
        <v>1374</v>
      </c>
      <c r="E573" s="2006"/>
      <c r="F573" s="2006"/>
      <c r="G573" s="2006"/>
      <c r="H573" s="2006"/>
      <c r="I573" s="2006"/>
      <c r="J573" s="2006"/>
      <c r="K573" s="2006"/>
      <c r="L573" s="2006"/>
      <c r="M573" s="2006"/>
      <c r="N573" s="2006"/>
      <c r="O573" s="2006"/>
      <c r="P573" s="2006"/>
      <c r="Q573" s="2006"/>
      <c r="R573" s="2006"/>
      <c r="S573" s="2006"/>
      <c r="T573" s="2006"/>
      <c r="U573" s="2006"/>
      <c r="V573" s="2006"/>
      <c r="W573" s="2006"/>
      <c r="X573" s="2006"/>
      <c r="Y573" s="2006"/>
      <c r="Z573" s="2006"/>
      <c r="AA573" s="2006"/>
      <c r="AB573" s="2006"/>
      <c r="AC573" s="2006"/>
      <c r="AD573" s="2006"/>
      <c r="AE573" s="2006"/>
      <c r="AF573" s="2006"/>
      <c r="AG573" s="2006"/>
    </row>
    <row r="574" spans="4:41" ht="14.25" customHeight="1" thickBot="1">
      <c r="D574" s="1526"/>
      <c r="E574" s="1526"/>
      <c r="F574" s="1526"/>
      <c r="G574" s="1526"/>
      <c r="H574" s="1526"/>
      <c r="I574" s="1526"/>
      <c r="J574" s="1526"/>
      <c r="K574" s="1526"/>
      <c r="L574" s="1526"/>
      <c r="M574" s="1526"/>
      <c r="N574" s="1526"/>
      <c r="O574" s="1526"/>
      <c r="P574" s="1526"/>
      <c r="Q574" s="1526"/>
      <c r="R574" s="1526"/>
      <c r="S574" s="1526"/>
      <c r="T574" s="1526"/>
      <c r="U574" s="1526"/>
      <c r="V574" s="1526"/>
      <c r="W574" s="1526"/>
      <c r="X574" s="1526"/>
      <c r="Y574" s="1526"/>
      <c r="Z574" s="1526"/>
      <c r="AA574" s="1526"/>
      <c r="AB574" s="1526"/>
      <c r="AC574" s="1526"/>
      <c r="AD574" s="1526"/>
      <c r="AE574" s="1526"/>
      <c r="AF574" s="1526"/>
      <c r="AG574" s="1526"/>
    </row>
    <row r="575" spans="4:41" ht="24" customHeight="1" thickBot="1">
      <c r="D575" s="2042" t="s">
        <v>131</v>
      </c>
      <c r="E575" s="2043"/>
      <c r="F575" s="2043"/>
      <c r="G575" s="2043"/>
      <c r="H575" s="2043"/>
      <c r="I575" s="2043"/>
      <c r="J575" s="2043"/>
      <c r="K575" s="2043"/>
      <c r="L575" s="2043"/>
      <c r="M575" s="2044"/>
      <c r="N575" s="2042" t="s">
        <v>2</v>
      </c>
      <c r="O575" s="2043"/>
      <c r="P575" s="2043"/>
      <c r="Q575" s="2043"/>
      <c r="R575" s="2043"/>
      <c r="S575" s="2043"/>
      <c r="T575" s="2043"/>
      <c r="U575" s="2043"/>
      <c r="V575" s="2043"/>
      <c r="W575" s="2044"/>
      <c r="X575" s="2042" t="s">
        <v>3</v>
      </c>
      <c r="Y575" s="2043"/>
      <c r="Z575" s="2043"/>
      <c r="AA575" s="2043"/>
      <c r="AB575" s="2043"/>
      <c r="AC575" s="2043"/>
      <c r="AD575" s="2043"/>
      <c r="AE575" s="2043"/>
      <c r="AF575" s="2043"/>
      <c r="AG575" s="2044"/>
    </row>
    <row r="576" spans="4:41" ht="24.75" customHeight="1" thickBot="1">
      <c r="D576" s="1955" t="s">
        <v>219</v>
      </c>
      <c r="E576" s="1956"/>
      <c r="F576" s="1956"/>
      <c r="G576" s="1956"/>
      <c r="H576" s="1956"/>
      <c r="I576" s="1956"/>
      <c r="J576" s="1956"/>
      <c r="K576" s="1956"/>
      <c r="L576" s="1956"/>
      <c r="M576" s="1957"/>
      <c r="N576" s="2013">
        <f>SUM(N577:W579)</f>
        <v>226060</v>
      </c>
      <c r="O576" s="2014"/>
      <c r="P576" s="2014"/>
      <c r="Q576" s="2014"/>
      <c r="R576" s="2014"/>
      <c r="S576" s="2014"/>
      <c r="T576" s="2014"/>
      <c r="U576" s="2014"/>
      <c r="V576" s="2014"/>
      <c r="W576" s="2014"/>
      <c r="X576" s="2013">
        <f>SUM(X577:AG579)</f>
        <v>314230</v>
      </c>
      <c r="Y576" s="2014"/>
      <c r="Z576" s="2014"/>
      <c r="AA576" s="2014"/>
      <c r="AB576" s="2014"/>
      <c r="AC576" s="2014"/>
      <c r="AD576" s="2014"/>
      <c r="AE576" s="2014"/>
      <c r="AF576" s="2014"/>
      <c r="AG576" s="2014"/>
    </row>
    <row r="577" spans="1:42" ht="27.75" customHeight="1">
      <c r="D577" s="1908" t="s">
        <v>2885</v>
      </c>
      <c r="E577" s="1909"/>
      <c r="F577" s="1909"/>
      <c r="G577" s="1909"/>
      <c r="H577" s="1909"/>
      <c r="I577" s="1909"/>
      <c r="J577" s="1909"/>
      <c r="K577" s="1909"/>
      <c r="L577" s="1909"/>
      <c r="M577" s="1910"/>
      <c r="N577" s="1970">
        <v>112</v>
      </c>
      <c r="O577" s="1967"/>
      <c r="P577" s="1967"/>
      <c r="Q577" s="1967"/>
      <c r="R577" s="1967"/>
      <c r="S577" s="1967"/>
      <c r="T577" s="1967"/>
      <c r="U577" s="1967"/>
      <c r="V577" s="1967"/>
      <c r="W577" s="1967"/>
      <c r="X577" s="1970">
        <v>279</v>
      </c>
      <c r="Y577" s="1967"/>
      <c r="Z577" s="1967"/>
      <c r="AA577" s="1967"/>
      <c r="AB577" s="1967"/>
      <c r="AC577" s="1967"/>
      <c r="AD577" s="1967"/>
      <c r="AE577" s="1967"/>
      <c r="AF577" s="1967"/>
      <c r="AG577" s="1967"/>
    </row>
    <row r="578" spans="1:42" ht="27.75" customHeight="1">
      <c r="D578" s="1908" t="s">
        <v>2886</v>
      </c>
      <c r="E578" s="1909"/>
      <c r="F578" s="1909"/>
      <c r="G578" s="1909"/>
      <c r="H578" s="1909"/>
      <c r="I578" s="1909"/>
      <c r="J578" s="1909"/>
      <c r="K578" s="1909"/>
      <c r="L578" s="1909"/>
      <c r="M578" s="1910"/>
      <c r="N578" s="1970">
        <v>8969</v>
      </c>
      <c r="O578" s="1967"/>
      <c r="P578" s="1967"/>
      <c r="Q578" s="1967"/>
      <c r="R578" s="1967"/>
      <c r="S578" s="1967"/>
      <c r="T578" s="1967"/>
      <c r="U578" s="1967"/>
      <c r="V578" s="1967"/>
      <c r="W578" s="1967"/>
      <c r="X578" s="1970">
        <v>12927</v>
      </c>
      <c r="Y578" s="1967"/>
      <c r="Z578" s="1967"/>
      <c r="AA578" s="1967"/>
      <c r="AB578" s="1967"/>
      <c r="AC578" s="1967"/>
      <c r="AD578" s="1967"/>
      <c r="AE578" s="1967"/>
      <c r="AF578" s="1967"/>
      <c r="AG578" s="1967"/>
    </row>
    <row r="579" spans="1:42" ht="27.75" customHeight="1">
      <c r="D579" s="1908" t="s">
        <v>231</v>
      </c>
      <c r="E579" s="1909"/>
      <c r="F579" s="1909"/>
      <c r="G579" s="1909"/>
      <c r="H579" s="1909"/>
      <c r="I579" s="1909"/>
      <c r="J579" s="1909"/>
      <c r="K579" s="1909"/>
      <c r="L579" s="1909"/>
      <c r="M579" s="1910"/>
      <c r="N579" s="1970">
        <v>216979</v>
      </c>
      <c r="O579" s="1967"/>
      <c r="P579" s="1967"/>
      <c r="Q579" s="1967"/>
      <c r="R579" s="1967"/>
      <c r="S579" s="1967"/>
      <c r="T579" s="1967"/>
      <c r="U579" s="1967"/>
      <c r="V579" s="1967"/>
      <c r="W579" s="1967"/>
      <c r="X579" s="1970">
        <v>301024</v>
      </c>
      <c r="Y579" s="1967"/>
      <c r="Z579" s="1967"/>
      <c r="AA579" s="1967"/>
      <c r="AB579" s="1967"/>
      <c r="AC579" s="1967"/>
      <c r="AD579" s="1967"/>
      <c r="AE579" s="1967"/>
      <c r="AF579" s="1967"/>
      <c r="AG579" s="1967"/>
    </row>
    <row r="580" spans="1:42" ht="27.25" customHeight="1" thickBot="1">
      <c r="D580" s="1955" t="s">
        <v>216</v>
      </c>
      <c r="E580" s="1956"/>
      <c r="F580" s="1956"/>
      <c r="G580" s="1956"/>
      <c r="H580" s="1956"/>
      <c r="I580" s="1956"/>
      <c r="J580" s="1956"/>
      <c r="K580" s="1956"/>
      <c r="L580" s="1956"/>
      <c r="M580" s="1957"/>
      <c r="N580" s="2013">
        <f>SUM(N581:W586)</f>
        <v>821475</v>
      </c>
      <c r="O580" s="2014"/>
      <c r="P580" s="2014"/>
      <c r="Q580" s="2014"/>
      <c r="R580" s="2014"/>
      <c r="S580" s="2014"/>
      <c r="T580" s="2014"/>
      <c r="U580" s="2014"/>
      <c r="V580" s="2014"/>
      <c r="W580" s="2014"/>
      <c r="X580" s="2013">
        <f>SUM(X581:AG586)</f>
        <v>1181891</v>
      </c>
      <c r="Y580" s="2014"/>
      <c r="Z580" s="2014"/>
      <c r="AA580" s="2014"/>
      <c r="AB580" s="2014"/>
      <c r="AC580" s="2014"/>
      <c r="AD580" s="2014"/>
      <c r="AE580" s="2014"/>
      <c r="AF580" s="2014"/>
      <c r="AG580" s="2014"/>
    </row>
    <row r="581" spans="1:42" ht="27.25" customHeight="1">
      <c r="D581" s="1908" t="s">
        <v>2885</v>
      </c>
      <c r="E581" s="1909"/>
      <c r="F581" s="1909"/>
      <c r="G581" s="1909"/>
      <c r="H581" s="1909"/>
      <c r="I581" s="1909"/>
      <c r="J581" s="1909"/>
      <c r="K581" s="1909"/>
      <c r="L581" s="1909"/>
      <c r="M581" s="1910"/>
      <c r="N581" s="1970">
        <v>0</v>
      </c>
      <c r="O581" s="1967"/>
      <c r="P581" s="1967"/>
      <c r="Q581" s="1967"/>
      <c r="R581" s="1967"/>
      <c r="S581" s="1967"/>
      <c r="T581" s="1967"/>
      <c r="U581" s="1967"/>
      <c r="V581" s="1967"/>
      <c r="W581" s="1967"/>
      <c r="X581" s="1970">
        <v>19992</v>
      </c>
      <c r="Y581" s="1967"/>
      <c r="Z581" s="1967"/>
      <c r="AA581" s="1967"/>
      <c r="AB581" s="1967"/>
      <c r="AC581" s="1967"/>
      <c r="AD581" s="1967"/>
      <c r="AE581" s="1967"/>
      <c r="AF581" s="1967"/>
      <c r="AG581" s="1967"/>
    </row>
    <row r="582" spans="1:42" ht="27.25" customHeight="1">
      <c r="D582" s="1908" t="s">
        <v>2887</v>
      </c>
      <c r="E582" s="1909"/>
      <c r="F582" s="1909"/>
      <c r="G582" s="1909"/>
      <c r="H582" s="1909"/>
      <c r="I582" s="1909"/>
      <c r="J582" s="1909"/>
      <c r="K582" s="1909"/>
      <c r="L582" s="1909"/>
      <c r="M582" s="1910"/>
      <c r="N582" s="1970">
        <v>630565</v>
      </c>
      <c r="O582" s="1967"/>
      <c r="P582" s="1967"/>
      <c r="Q582" s="1967"/>
      <c r="R582" s="1967"/>
      <c r="S582" s="1967"/>
      <c r="T582" s="1967"/>
      <c r="U582" s="1967"/>
      <c r="V582" s="1967"/>
      <c r="W582" s="1967"/>
      <c r="X582" s="1970">
        <v>1059744</v>
      </c>
      <c r="Y582" s="1967"/>
      <c r="Z582" s="1967"/>
      <c r="AA582" s="1967"/>
      <c r="AB582" s="1967"/>
      <c r="AC582" s="1967"/>
      <c r="AD582" s="1967"/>
      <c r="AE582" s="1967"/>
      <c r="AF582" s="1967"/>
      <c r="AG582" s="1967"/>
    </row>
    <row r="583" spans="1:42" ht="27.25" customHeight="1">
      <c r="D583" s="1908" t="s">
        <v>2888</v>
      </c>
      <c r="E583" s="1909"/>
      <c r="F583" s="1909"/>
      <c r="G583" s="1909"/>
      <c r="H583" s="1909"/>
      <c r="I583" s="1909"/>
      <c r="J583" s="1909"/>
      <c r="K583" s="1909"/>
      <c r="L583" s="1909"/>
      <c r="M583" s="1910"/>
      <c r="N583" s="1970">
        <v>62434</v>
      </c>
      <c r="O583" s="1967"/>
      <c r="P583" s="1967"/>
      <c r="Q583" s="1967"/>
      <c r="R583" s="1967"/>
      <c r="S583" s="1967"/>
      <c r="T583" s="1967"/>
      <c r="U583" s="1967"/>
      <c r="V583" s="1967"/>
      <c r="W583" s="1967"/>
      <c r="X583" s="1970">
        <v>47382</v>
      </c>
      <c r="Y583" s="1967"/>
      <c r="Z583" s="1967"/>
      <c r="AA583" s="1967"/>
      <c r="AB583" s="1967"/>
      <c r="AC583" s="1967"/>
      <c r="AD583" s="1967"/>
      <c r="AE583" s="1967"/>
      <c r="AF583" s="1967"/>
      <c r="AG583" s="1967"/>
    </row>
    <row r="584" spans="1:42" s="786" customFormat="1" ht="27.25" customHeight="1">
      <c r="A584" s="784"/>
      <c r="D584" s="1908" t="s">
        <v>2889</v>
      </c>
      <c r="E584" s="1909"/>
      <c r="F584" s="1909"/>
      <c r="G584" s="1909"/>
      <c r="H584" s="1909"/>
      <c r="I584" s="1909"/>
      <c r="J584" s="1909"/>
      <c r="K584" s="1909"/>
      <c r="L584" s="1909"/>
      <c r="M584" s="1910"/>
      <c r="N584" s="1970">
        <v>39822</v>
      </c>
      <c r="O584" s="1967"/>
      <c r="P584" s="1967"/>
      <c r="Q584" s="1967"/>
      <c r="R584" s="1967"/>
      <c r="S584" s="1967"/>
      <c r="T584" s="1967"/>
      <c r="U584" s="1967"/>
      <c r="V584" s="1967"/>
      <c r="W584" s="1967"/>
      <c r="X584" s="1970">
        <v>31104</v>
      </c>
      <c r="Y584" s="1967"/>
      <c r="Z584" s="1967"/>
      <c r="AA584" s="1967"/>
      <c r="AB584" s="1967"/>
      <c r="AC584" s="1967"/>
      <c r="AD584" s="1967"/>
      <c r="AE584" s="1967"/>
      <c r="AF584" s="1967"/>
      <c r="AG584" s="1967"/>
    </row>
    <row r="585" spans="1:42" s="786" customFormat="1" ht="27.25" customHeight="1">
      <c r="A585" s="784"/>
      <c r="D585" s="1908" t="s">
        <v>2890</v>
      </c>
      <c r="E585" s="1909"/>
      <c r="F585" s="1909"/>
      <c r="G585" s="1909"/>
      <c r="H585" s="1909"/>
      <c r="I585" s="1909"/>
      <c r="J585" s="1909"/>
      <c r="K585" s="1909"/>
      <c r="L585" s="1909"/>
      <c r="M585" s="1910"/>
      <c r="N585" s="1970">
        <v>85270</v>
      </c>
      <c r="O585" s="1967"/>
      <c r="P585" s="1967"/>
      <c r="Q585" s="1967"/>
      <c r="R585" s="1967"/>
      <c r="S585" s="1967"/>
      <c r="T585" s="1967"/>
      <c r="U585" s="1967"/>
      <c r="V585" s="1967"/>
      <c r="W585" s="1967"/>
      <c r="X585" s="1970">
        <v>8319</v>
      </c>
      <c r="Y585" s="1967"/>
      <c r="Z585" s="1967"/>
      <c r="AA585" s="1967"/>
      <c r="AB585" s="1967"/>
      <c r="AC585" s="1967"/>
      <c r="AD585" s="1967"/>
      <c r="AE585" s="1967"/>
      <c r="AF585" s="1967"/>
      <c r="AG585" s="1967"/>
    </row>
    <row r="586" spans="1:42" s="786" customFormat="1" ht="27.25" customHeight="1" thickBot="1">
      <c r="A586" s="784"/>
      <c r="D586" s="2053" t="s">
        <v>2891</v>
      </c>
      <c r="E586" s="2064"/>
      <c r="F586" s="2064"/>
      <c r="G586" s="2064"/>
      <c r="H586" s="2064"/>
      <c r="I586" s="2064"/>
      <c r="J586" s="2064"/>
      <c r="K586" s="2064"/>
      <c r="L586" s="2064"/>
      <c r="M586" s="2065"/>
      <c r="N586" s="2060">
        <v>3384</v>
      </c>
      <c r="O586" s="2341"/>
      <c r="P586" s="2341"/>
      <c r="Q586" s="2341"/>
      <c r="R586" s="2341"/>
      <c r="S586" s="2341"/>
      <c r="T586" s="2341"/>
      <c r="U586" s="2341"/>
      <c r="V586" s="2341"/>
      <c r="W586" s="2341"/>
      <c r="X586" s="2060">
        <v>15350</v>
      </c>
      <c r="Y586" s="2341"/>
      <c r="Z586" s="2341"/>
      <c r="AA586" s="2341"/>
      <c r="AB586" s="2341"/>
      <c r="AC586" s="2341"/>
      <c r="AD586" s="2341"/>
      <c r="AE586" s="2341"/>
      <c r="AF586" s="2341"/>
      <c r="AG586" s="2341"/>
    </row>
    <row r="587" spans="1:42" s="786" customFormat="1" ht="21.75" customHeight="1" thickBot="1">
      <c r="A587" s="784"/>
    </row>
    <row r="588" spans="1:42" ht="28.5" customHeight="1" thickTop="1" thickBot="1">
      <c r="D588" s="2042" t="s">
        <v>131</v>
      </c>
      <c r="E588" s="2043"/>
      <c r="F588" s="2043"/>
      <c r="G588" s="2043"/>
      <c r="H588" s="2043"/>
      <c r="I588" s="2043"/>
      <c r="J588" s="2043"/>
      <c r="K588" s="2043"/>
      <c r="L588" s="2043"/>
      <c r="M588" s="2044"/>
      <c r="N588" s="2042" t="s">
        <v>2</v>
      </c>
      <c r="O588" s="2043"/>
      <c r="P588" s="2043"/>
      <c r="Q588" s="2043"/>
      <c r="R588" s="2043"/>
      <c r="S588" s="2043"/>
      <c r="T588" s="2043"/>
      <c r="U588" s="2043"/>
      <c r="V588" s="2043"/>
      <c r="W588" s="2044"/>
      <c r="X588" s="2042" t="s">
        <v>3</v>
      </c>
      <c r="Y588" s="2043"/>
      <c r="Z588" s="2043"/>
      <c r="AA588" s="2043"/>
      <c r="AB588" s="2043"/>
      <c r="AC588" s="2043"/>
      <c r="AD588" s="2043"/>
      <c r="AE588" s="2043"/>
      <c r="AF588" s="2043"/>
      <c r="AG588" s="2044"/>
      <c r="AL588" s="591" t="s">
        <v>2</v>
      </c>
      <c r="AM588" s="594" t="s">
        <v>3</v>
      </c>
      <c r="AO588" s="591" t="s">
        <v>2</v>
      </c>
      <c r="AP588" s="594" t="s">
        <v>3</v>
      </c>
    </row>
    <row r="589" spans="1:42" ht="28.5" customHeight="1" thickBot="1">
      <c r="D589" s="1955" t="s">
        <v>219</v>
      </c>
      <c r="E589" s="1956"/>
      <c r="F589" s="1956"/>
      <c r="G589" s="1956"/>
      <c r="H589" s="1956"/>
      <c r="I589" s="1956"/>
      <c r="J589" s="1956"/>
      <c r="K589" s="1956"/>
      <c r="L589" s="1956"/>
      <c r="M589" s="1957"/>
      <c r="N589" s="2013">
        <f>SUM(N590:W591)</f>
        <v>226060</v>
      </c>
      <c r="O589" s="2014"/>
      <c r="P589" s="2014"/>
      <c r="Q589" s="2014"/>
      <c r="R589" s="2014"/>
      <c r="S589" s="2014"/>
      <c r="T589" s="2014"/>
      <c r="U589" s="2014"/>
      <c r="V589" s="2014"/>
      <c r="W589" s="2014"/>
      <c r="X589" s="2013">
        <f>SUM(X590:AG591)</f>
        <v>314230</v>
      </c>
      <c r="Y589" s="2014"/>
      <c r="Z589" s="2014"/>
      <c r="AA589" s="2014"/>
      <c r="AB589" s="2014"/>
      <c r="AC589" s="2014"/>
      <c r="AD589" s="2014"/>
      <c r="AE589" s="2014"/>
      <c r="AF589" s="2014"/>
      <c r="AG589" s="2014"/>
      <c r="AL589" s="609">
        <f>SUM(N590:W591)-N589</f>
        <v>0</v>
      </c>
      <c r="AM589" s="611">
        <f>SUM(X590:AG591)-X589</f>
        <v>0</v>
      </c>
      <c r="AO589" s="626">
        <f>N589-BS!$D$117</f>
        <v>0</v>
      </c>
      <c r="AP589" s="627">
        <f>X589-BS!$E$117</f>
        <v>0</v>
      </c>
    </row>
    <row r="590" spans="1:42" ht="28.5" customHeight="1">
      <c r="D590" s="1825" t="s">
        <v>218</v>
      </c>
      <c r="E590" s="1826"/>
      <c r="F590" s="1826"/>
      <c r="G590" s="1826"/>
      <c r="H590" s="1826"/>
      <c r="I590" s="1826"/>
      <c r="J590" s="1826"/>
      <c r="K590" s="1826"/>
      <c r="L590" s="1826"/>
      <c r="M590" s="1827"/>
      <c r="N590" s="1970">
        <v>0</v>
      </c>
      <c r="O590" s="1967"/>
      <c r="P590" s="1967"/>
      <c r="Q590" s="1967"/>
      <c r="R590" s="1967"/>
      <c r="S590" s="1967"/>
      <c r="T590" s="1967"/>
      <c r="U590" s="1967"/>
      <c r="V590" s="1967"/>
      <c r="W590" s="1967"/>
      <c r="X590" s="1857">
        <v>0</v>
      </c>
      <c r="Y590" s="1791"/>
      <c r="Z590" s="1791"/>
      <c r="AA590" s="1791"/>
      <c r="AB590" s="1791"/>
      <c r="AC590" s="1791"/>
      <c r="AD590" s="1791"/>
      <c r="AE590" s="1791"/>
      <c r="AF590" s="1791"/>
      <c r="AG590" s="1791"/>
      <c r="AL590" s="606"/>
      <c r="AM590" s="619"/>
      <c r="AO590" s="624"/>
      <c r="AP590" s="625"/>
    </row>
    <row r="591" spans="1:42" ht="28.5" customHeight="1">
      <c r="D591" s="1836" t="s">
        <v>217</v>
      </c>
      <c r="E591" s="1837"/>
      <c r="F591" s="1837"/>
      <c r="G591" s="1837"/>
      <c r="H591" s="1837"/>
      <c r="I591" s="1837"/>
      <c r="J591" s="1837"/>
      <c r="K591" s="1837"/>
      <c r="L591" s="1837"/>
      <c r="M591" s="1838"/>
      <c r="N591" s="1970">
        <f>9081+216979</f>
        <v>226060</v>
      </c>
      <c r="O591" s="1967"/>
      <c r="P591" s="1967"/>
      <c r="Q591" s="1967"/>
      <c r="R591" s="1967"/>
      <c r="S591" s="1967"/>
      <c r="T591" s="1967"/>
      <c r="U591" s="1967"/>
      <c r="V591" s="1967"/>
      <c r="W591" s="1967"/>
      <c r="X591" s="1857">
        <v>314230</v>
      </c>
      <c r="Y591" s="1791"/>
      <c r="Z591" s="1791"/>
      <c r="AA591" s="1791"/>
      <c r="AB591" s="1791"/>
      <c r="AC591" s="1791"/>
      <c r="AD591" s="1791"/>
      <c r="AE591" s="1791"/>
      <c r="AF591" s="1791"/>
      <c r="AG591" s="1791"/>
      <c r="AL591" s="606"/>
      <c r="AM591" s="619"/>
      <c r="AO591" s="624"/>
      <c r="AP591" s="625"/>
    </row>
    <row r="592" spans="1:42" ht="28.5" customHeight="1" thickBot="1">
      <c r="D592" s="1955" t="s">
        <v>216</v>
      </c>
      <c r="E592" s="1956"/>
      <c r="F592" s="1956"/>
      <c r="G592" s="1956"/>
      <c r="H592" s="1956"/>
      <c r="I592" s="1956"/>
      <c r="J592" s="1956"/>
      <c r="K592" s="1956"/>
      <c r="L592" s="1956"/>
      <c r="M592" s="1957"/>
      <c r="N592" s="2013">
        <f>SUM(N593:W594)</f>
        <v>821475</v>
      </c>
      <c r="O592" s="2014"/>
      <c r="P592" s="2014"/>
      <c r="Q592" s="2014"/>
      <c r="R592" s="2014"/>
      <c r="S592" s="2014"/>
      <c r="T592" s="2014"/>
      <c r="U592" s="2014"/>
      <c r="V592" s="2014"/>
      <c r="W592" s="2014"/>
      <c r="X592" s="2013">
        <f>SUM(X593:AG594)</f>
        <v>1181891</v>
      </c>
      <c r="Y592" s="2014"/>
      <c r="Z592" s="2014"/>
      <c r="AA592" s="2014"/>
      <c r="AB592" s="2014"/>
      <c r="AC592" s="2014"/>
      <c r="AD592" s="2014"/>
      <c r="AE592" s="2014"/>
      <c r="AF592" s="2014"/>
      <c r="AG592" s="2014"/>
      <c r="AL592" s="621">
        <f>SUM(N593:W594)-N592</f>
        <v>0</v>
      </c>
      <c r="AM592" s="608">
        <f>SUM(X593:AG594)-X592</f>
        <v>0</v>
      </c>
      <c r="AO592" s="622">
        <f>N592-BS!$D$137</f>
        <v>0</v>
      </c>
      <c r="AP592" s="623">
        <f>X592-BS!$E$137</f>
        <v>0</v>
      </c>
    </row>
    <row r="593" spans="1:42" ht="28.5" customHeight="1">
      <c r="D593" s="1825" t="s">
        <v>473</v>
      </c>
      <c r="E593" s="1826"/>
      <c r="F593" s="1826"/>
      <c r="G593" s="1826"/>
      <c r="H593" s="1826"/>
      <c r="I593" s="1826"/>
      <c r="J593" s="1826"/>
      <c r="K593" s="1826"/>
      <c r="L593" s="1826"/>
      <c r="M593" s="1827"/>
      <c r="N593" s="1857">
        <v>743631</v>
      </c>
      <c r="O593" s="1791"/>
      <c r="P593" s="1791"/>
      <c r="Q593" s="1791"/>
      <c r="R593" s="1791"/>
      <c r="S593" s="1791"/>
      <c r="T593" s="1791"/>
      <c r="U593" s="1791"/>
      <c r="V593" s="1791"/>
      <c r="W593" s="1791"/>
      <c r="X593" s="1857">
        <v>854320</v>
      </c>
      <c r="Y593" s="1791"/>
      <c r="Z593" s="1791"/>
      <c r="AA593" s="1791"/>
      <c r="AB593" s="1791"/>
      <c r="AC593" s="1791"/>
      <c r="AD593" s="1791"/>
      <c r="AE593" s="1791"/>
      <c r="AF593" s="1791"/>
      <c r="AG593" s="1791"/>
      <c r="AL593" s="606"/>
      <c r="AM593" s="619"/>
      <c r="AO593" s="624"/>
      <c r="AP593" s="625"/>
    </row>
    <row r="594" spans="1:42" ht="28.5" customHeight="1">
      <c r="D594" s="1836" t="s">
        <v>215</v>
      </c>
      <c r="E594" s="1837"/>
      <c r="F594" s="1837"/>
      <c r="G594" s="1837"/>
      <c r="H594" s="1837"/>
      <c r="I594" s="1837"/>
      <c r="J594" s="1837"/>
      <c r="K594" s="1837"/>
      <c r="L594" s="1837"/>
      <c r="M594" s="1838"/>
      <c r="N594" s="2061">
        <v>77844</v>
      </c>
      <c r="O594" s="2062"/>
      <c r="P594" s="2062"/>
      <c r="Q594" s="2062"/>
      <c r="R594" s="2062"/>
      <c r="S594" s="2062"/>
      <c r="T594" s="2062"/>
      <c r="U594" s="2062"/>
      <c r="V594" s="2062"/>
      <c r="W594" s="2062"/>
      <c r="X594" s="2063">
        <v>327571</v>
      </c>
      <c r="Y594" s="2063"/>
      <c r="Z594" s="2063"/>
      <c r="AA594" s="2063"/>
      <c r="AB594" s="2063"/>
      <c r="AC594" s="2063"/>
      <c r="AD594" s="2063"/>
      <c r="AE594" s="2063"/>
      <c r="AF594" s="2063"/>
      <c r="AG594" s="2063"/>
      <c r="AL594" s="612"/>
      <c r="AM594" s="618"/>
      <c r="AO594" s="641"/>
      <c r="AP594" s="642"/>
    </row>
    <row r="595" spans="1:42" ht="28.5" customHeight="1"/>
    <row r="596" spans="1:42" ht="14.25" customHeight="1">
      <c r="D596" s="2030" t="s">
        <v>3033</v>
      </c>
      <c r="E596" s="2030"/>
      <c r="F596" s="2030"/>
      <c r="G596" s="2030"/>
      <c r="H596" s="2030"/>
      <c r="I596" s="2030"/>
      <c r="J596" s="2030"/>
      <c r="K596" s="2030"/>
      <c r="L596" s="2030"/>
      <c r="M596" s="2030"/>
      <c r="N596" s="2030"/>
      <c r="O596" s="2030"/>
      <c r="P596" s="2030"/>
      <c r="Q596" s="2030"/>
      <c r="R596" s="2030"/>
      <c r="S596" s="2030"/>
      <c r="T596" s="2030"/>
      <c r="U596" s="2030"/>
      <c r="V596" s="2030"/>
      <c r="W596" s="2030"/>
      <c r="X596" s="2030"/>
      <c r="Y596" s="2030"/>
      <c r="Z596" s="2030"/>
      <c r="AA596" s="2030"/>
      <c r="AB596" s="2030"/>
      <c r="AC596" s="2030"/>
      <c r="AD596" s="2030"/>
      <c r="AE596" s="2030"/>
      <c r="AF596" s="2030"/>
      <c r="AG596" s="2030"/>
    </row>
    <row r="598" spans="1:42" ht="14.25" customHeight="1">
      <c r="D598" s="582" t="s">
        <v>2935</v>
      </c>
    </row>
    <row r="600" spans="1:42" s="786" customFormat="1" ht="14.25" customHeight="1">
      <c r="A600" s="784"/>
      <c r="D600" s="2030" t="s">
        <v>2877</v>
      </c>
      <c r="E600" s="1900"/>
      <c r="F600" s="1900"/>
      <c r="G600" s="1900"/>
      <c r="H600" s="1900"/>
      <c r="I600" s="1900"/>
      <c r="J600" s="1900"/>
      <c r="K600" s="1900"/>
      <c r="L600" s="1900"/>
      <c r="M600" s="1900"/>
      <c r="N600" s="1900"/>
      <c r="O600" s="1900"/>
      <c r="P600" s="1900"/>
      <c r="Q600" s="1900"/>
      <c r="R600" s="1900"/>
      <c r="S600" s="1900"/>
      <c r="T600" s="1900"/>
      <c r="U600" s="1900"/>
      <c r="V600" s="1900"/>
      <c r="W600" s="1900"/>
      <c r="X600" s="1900"/>
      <c r="Y600" s="1900"/>
      <c r="Z600" s="1900"/>
      <c r="AA600" s="1900"/>
      <c r="AB600" s="1900"/>
      <c r="AC600" s="1900"/>
      <c r="AD600" s="1900"/>
      <c r="AE600" s="1900"/>
      <c r="AF600" s="1900"/>
      <c r="AG600" s="1900"/>
    </row>
    <row r="601" spans="1:42" ht="14.25" customHeight="1" thickBot="1"/>
    <row r="602" spans="1:42" ht="20.25" customHeight="1" thickBot="1">
      <c r="D602" s="1851" t="s">
        <v>131</v>
      </c>
      <c r="E602" s="1851"/>
      <c r="F602" s="1851"/>
      <c r="G602" s="1851"/>
      <c r="H602" s="1851"/>
      <c r="I602" s="1851"/>
      <c r="J602" s="1851"/>
      <c r="K602" s="1851"/>
      <c r="L602" s="1851"/>
      <c r="M602" s="1851"/>
      <c r="N602" s="1911" t="s">
        <v>2</v>
      </c>
      <c r="O602" s="1911"/>
      <c r="P602" s="1911"/>
      <c r="Q602" s="1911"/>
      <c r="R602" s="1911"/>
      <c r="S602" s="1911"/>
      <c r="T602" s="1911"/>
      <c r="U602" s="1911"/>
      <c r="V602" s="1911"/>
      <c r="W602" s="1911"/>
      <c r="X602" s="1851" t="s">
        <v>3</v>
      </c>
      <c r="Y602" s="1851"/>
      <c r="Z602" s="1851"/>
      <c r="AA602" s="1851"/>
      <c r="AB602" s="1851"/>
      <c r="AC602" s="1851"/>
      <c r="AD602" s="1851"/>
      <c r="AE602" s="1851"/>
      <c r="AF602" s="1851"/>
      <c r="AG602" s="1851"/>
    </row>
    <row r="603" spans="1:42" ht="34.75" customHeight="1">
      <c r="D603" s="1922" t="s">
        <v>220</v>
      </c>
      <c r="E603" s="1922"/>
      <c r="F603" s="1922"/>
      <c r="G603" s="1922"/>
      <c r="H603" s="1922"/>
      <c r="I603" s="1922"/>
      <c r="J603" s="1922"/>
      <c r="K603" s="1922"/>
      <c r="L603" s="1922"/>
      <c r="M603" s="1922"/>
      <c r="N603" s="2029">
        <f>N604+N605</f>
        <v>-1124568</v>
      </c>
      <c r="O603" s="2029"/>
      <c r="P603" s="2029"/>
      <c r="Q603" s="2029"/>
      <c r="R603" s="2029"/>
      <c r="S603" s="2029"/>
      <c r="T603" s="2029"/>
      <c r="U603" s="2029"/>
      <c r="V603" s="2029"/>
      <c r="W603" s="2029"/>
      <c r="X603" s="2029">
        <f>X604+X605</f>
        <v>-1504512</v>
      </c>
      <c r="Y603" s="2029"/>
      <c r="Z603" s="2029"/>
      <c r="AA603" s="2029"/>
      <c r="AB603" s="2029"/>
      <c r="AC603" s="2029"/>
      <c r="AD603" s="2029"/>
      <c r="AE603" s="2029"/>
      <c r="AF603" s="2029"/>
      <c r="AG603" s="2029"/>
    </row>
    <row r="604" spans="1:42" ht="14.25" customHeight="1">
      <c r="D604" s="1822" t="s">
        <v>221</v>
      </c>
      <c r="E604" s="1822"/>
      <c r="F604" s="1822"/>
      <c r="G604" s="1822"/>
      <c r="H604" s="1822"/>
      <c r="I604" s="1822"/>
      <c r="J604" s="1822"/>
      <c r="K604" s="1822"/>
      <c r="L604" s="1822"/>
      <c r="M604" s="1822"/>
      <c r="N604" s="1791">
        <v>60076</v>
      </c>
      <c r="O604" s="1791"/>
      <c r="P604" s="1791"/>
      <c r="Q604" s="1791"/>
      <c r="R604" s="1791"/>
      <c r="S604" s="1791"/>
      <c r="T604" s="1791"/>
      <c r="U604" s="1791"/>
      <c r="V604" s="1791"/>
      <c r="W604" s="1791"/>
      <c r="X604" s="1791">
        <v>15954</v>
      </c>
      <c r="Y604" s="1791"/>
      <c r="Z604" s="1791"/>
      <c r="AA604" s="1791"/>
      <c r="AB604" s="1791"/>
      <c r="AC604" s="1791"/>
      <c r="AD604" s="1791"/>
      <c r="AE604" s="1791"/>
      <c r="AF604" s="1791"/>
      <c r="AG604" s="1791"/>
    </row>
    <row r="605" spans="1:42" ht="14.25" customHeight="1">
      <c r="D605" s="1822" t="s">
        <v>222</v>
      </c>
      <c r="E605" s="1822"/>
      <c r="F605" s="1822"/>
      <c r="G605" s="1822"/>
      <c r="H605" s="1822"/>
      <c r="I605" s="1822"/>
      <c r="J605" s="1822"/>
      <c r="K605" s="1822"/>
      <c r="L605" s="1822"/>
      <c r="M605" s="1822"/>
      <c r="N605" s="1791">
        <v>-1184644</v>
      </c>
      <c r="O605" s="1791"/>
      <c r="P605" s="1791"/>
      <c r="Q605" s="1791"/>
      <c r="R605" s="1791"/>
      <c r="S605" s="1791"/>
      <c r="T605" s="1791"/>
      <c r="U605" s="1791"/>
      <c r="V605" s="1791"/>
      <c r="W605" s="1791"/>
      <c r="X605" s="1791">
        <v>-1520466</v>
      </c>
      <c r="Y605" s="1791"/>
      <c r="Z605" s="1791"/>
      <c r="AA605" s="1791"/>
      <c r="AB605" s="1791"/>
      <c r="AC605" s="1791"/>
      <c r="AD605" s="1791"/>
      <c r="AE605" s="1791"/>
      <c r="AF605" s="1791"/>
      <c r="AG605" s="1791"/>
    </row>
    <row r="606" spans="1:42" ht="37.5" customHeight="1">
      <c r="D606" s="1890" t="s">
        <v>223</v>
      </c>
      <c r="E606" s="1890"/>
      <c r="F606" s="1890"/>
      <c r="G606" s="1890"/>
      <c r="H606" s="1890"/>
      <c r="I606" s="1890"/>
      <c r="J606" s="1890"/>
      <c r="K606" s="1890"/>
      <c r="L606" s="1890"/>
      <c r="M606" s="1890"/>
      <c r="N606" s="2003">
        <f>N607</f>
        <v>91325</v>
      </c>
      <c r="O606" s="2003"/>
      <c r="P606" s="2003"/>
      <c r="Q606" s="2003"/>
      <c r="R606" s="2003"/>
      <c r="S606" s="2003"/>
      <c r="T606" s="2003"/>
      <c r="U606" s="2003"/>
      <c r="V606" s="2003"/>
      <c r="W606" s="2003"/>
      <c r="X606" s="2003">
        <f>X607</f>
        <v>71060</v>
      </c>
      <c r="Y606" s="2003"/>
      <c r="Z606" s="2003"/>
      <c r="AA606" s="2003"/>
      <c r="AB606" s="2003"/>
      <c r="AC606" s="2003"/>
      <c r="AD606" s="2003"/>
      <c r="AE606" s="2003"/>
      <c r="AF606" s="2003"/>
      <c r="AG606" s="2003"/>
    </row>
    <row r="607" spans="1:42" ht="14.25" customHeight="1">
      <c r="D607" s="1822" t="s">
        <v>221</v>
      </c>
      <c r="E607" s="1822"/>
      <c r="F607" s="1822"/>
      <c r="G607" s="1822"/>
      <c r="H607" s="1822"/>
      <c r="I607" s="1822"/>
      <c r="J607" s="1822"/>
      <c r="K607" s="1822"/>
      <c r="L607" s="1822"/>
      <c r="M607" s="1822"/>
      <c r="N607" s="1791">
        <v>91325</v>
      </c>
      <c r="O607" s="1791"/>
      <c r="P607" s="1791"/>
      <c r="Q607" s="1791"/>
      <c r="R607" s="1791"/>
      <c r="S607" s="1791"/>
      <c r="T607" s="1791"/>
      <c r="U607" s="1791"/>
      <c r="V607" s="1791"/>
      <c r="W607" s="1791"/>
      <c r="X607" s="1791">
        <v>71060</v>
      </c>
      <c r="Y607" s="1791"/>
      <c r="Z607" s="1791"/>
      <c r="AA607" s="1791"/>
      <c r="AB607" s="1791"/>
      <c r="AC607" s="1791"/>
      <c r="AD607" s="1791"/>
      <c r="AE607" s="1791"/>
      <c r="AF607" s="1791"/>
      <c r="AG607" s="1791"/>
    </row>
    <row r="608" spans="1:42" ht="14.25" customHeight="1">
      <c r="D608" s="1822" t="s">
        <v>222</v>
      </c>
      <c r="E608" s="1822"/>
      <c r="F608" s="1822"/>
      <c r="G608" s="1822"/>
      <c r="H608" s="1822"/>
      <c r="I608" s="1822"/>
      <c r="J608" s="1822"/>
      <c r="K608" s="1822"/>
      <c r="L608" s="1822"/>
      <c r="M608" s="1822"/>
      <c r="N608" s="1791">
        <v>0</v>
      </c>
      <c r="O608" s="1791"/>
      <c r="P608" s="1791"/>
      <c r="Q608" s="1791"/>
      <c r="R608" s="1791"/>
      <c r="S608" s="1791"/>
      <c r="T608" s="1791"/>
      <c r="U608" s="1791"/>
      <c r="V608" s="1791"/>
      <c r="W608" s="1791"/>
      <c r="X608" s="1968">
        <v>0</v>
      </c>
      <c r="Y608" s="1969"/>
      <c r="Z608" s="1969"/>
      <c r="AA608" s="1969"/>
      <c r="AB608" s="1969"/>
      <c r="AC608" s="1969"/>
      <c r="AD608" s="1969"/>
      <c r="AE608" s="1969"/>
      <c r="AF608" s="1969"/>
      <c r="AG608" s="1970"/>
    </row>
    <row r="609" spans="4:33" ht="24" customHeight="1">
      <c r="D609" s="1890" t="s">
        <v>224</v>
      </c>
      <c r="E609" s="1890"/>
      <c r="F609" s="1890"/>
      <c r="G609" s="1890"/>
      <c r="H609" s="1890"/>
      <c r="I609" s="1890"/>
      <c r="J609" s="1890"/>
      <c r="K609" s="1890"/>
      <c r="L609" s="1890"/>
      <c r="M609" s="1890"/>
      <c r="N609" s="2003">
        <v>0</v>
      </c>
      <c r="O609" s="2003"/>
      <c r="P609" s="2003"/>
      <c r="Q609" s="2003"/>
      <c r="R609" s="2003"/>
      <c r="S609" s="2003"/>
      <c r="T609" s="2003"/>
      <c r="U609" s="2003"/>
      <c r="V609" s="2003"/>
      <c r="W609" s="2003"/>
      <c r="X609" s="2036">
        <v>0</v>
      </c>
      <c r="Y609" s="2037"/>
      <c r="Z609" s="2037"/>
      <c r="AA609" s="2037"/>
      <c r="AB609" s="2037"/>
      <c r="AC609" s="2037"/>
      <c r="AD609" s="2037"/>
      <c r="AE609" s="2037"/>
      <c r="AF609" s="2037"/>
      <c r="AG609" s="2038"/>
    </row>
    <row r="610" spans="4:33" ht="24.75" customHeight="1">
      <c r="D610" s="1890" t="s">
        <v>225</v>
      </c>
      <c r="E610" s="1890"/>
      <c r="F610" s="1890"/>
      <c r="G610" s="1890"/>
      <c r="H610" s="1890"/>
      <c r="I610" s="1890"/>
      <c r="J610" s="1890"/>
      <c r="K610" s="1890"/>
      <c r="L610" s="1890"/>
      <c r="M610" s="1890"/>
      <c r="N610" s="2003">
        <v>0</v>
      </c>
      <c r="O610" s="2003"/>
      <c r="P610" s="2003"/>
      <c r="Q610" s="2003"/>
      <c r="R610" s="2003"/>
      <c r="S610" s="2003"/>
      <c r="T610" s="2003"/>
      <c r="U610" s="2003"/>
      <c r="V610" s="2003"/>
      <c r="W610" s="2003"/>
      <c r="X610" s="2036">
        <v>0</v>
      </c>
      <c r="Y610" s="2037"/>
      <c r="Z610" s="2037"/>
      <c r="AA610" s="2037"/>
      <c r="AB610" s="2037"/>
      <c r="AC610" s="2037"/>
      <c r="AD610" s="2037"/>
      <c r="AE610" s="2037"/>
      <c r="AF610" s="2037"/>
      <c r="AG610" s="2038"/>
    </row>
    <row r="611" spans="4:33" ht="14.25" customHeight="1">
      <c r="D611" s="1890" t="s">
        <v>226</v>
      </c>
      <c r="E611" s="1890"/>
      <c r="F611" s="1890"/>
      <c r="G611" s="1890"/>
      <c r="H611" s="1890"/>
      <c r="I611" s="1890"/>
      <c r="J611" s="1890"/>
      <c r="K611" s="1890"/>
      <c r="L611" s="1890"/>
      <c r="M611" s="1890"/>
      <c r="N611" s="2003">
        <v>21</v>
      </c>
      <c r="O611" s="2003"/>
      <c r="P611" s="2003"/>
      <c r="Q611" s="2003"/>
      <c r="R611" s="2003"/>
      <c r="S611" s="2003"/>
      <c r="T611" s="2003"/>
      <c r="U611" s="2003"/>
      <c r="V611" s="2003"/>
      <c r="W611" s="2003"/>
      <c r="X611" s="2036">
        <v>21</v>
      </c>
      <c r="Y611" s="2037"/>
      <c r="Z611" s="2037"/>
      <c r="AA611" s="2037"/>
      <c r="AB611" s="2037"/>
      <c r="AC611" s="2037"/>
      <c r="AD611" s="2037"/>
      <c r="AE611" s="2037"/>
      <c r="AF611" s="2037"/>
      <c r="AG611" s="2038"/>
    </row>
    <row r="612" spans="4:33" ht="14.25" customHeight="1">
      <c r="D612" s="1890" t="s">
        <v>227</v>
      </c>
      <c r="E612" s="1890"/>
      <c r="F612" s="1890"/>
      <c r="G612" s="1890"/>
      <c r="H612" s="1890"/>
      <c r="I612" s="1890"/>
      <c r="J612" s="1890"/>
      <c r="K612" s="1890"/>
      <c r="L612" s="1890"/>
      <c r="M612" s="1890"/>
      <c r="N612" s="2003">
        <v>0</v>
      </c>
      <c r="O612" s="2003"/>
      <c r="P612" s="2003"/>
      <c r="Q612" s="2003"/>
      <c r="R612" s="2003"/>
      <c r="S612" s="2003"/>
      <c r="T612" s="2003"/>
      <c r="U612" s="2003"/>
      <c r="V612" s="2003"/>
      <c r="W612" s="2003"/>
      <c r="X612" s="2036">
        <v>0</v>
      </c>
      <c r="Y612" s="2037"/>
      <c r="Z612" s="2037"/>
      <c r="AA612" s="2037"/>
      <c r="AB612" s="2037"/>
      <c r="AC612" s="2037"/>
      <c r="AD612" s="2037"/>
      <c r="AE612" s="2037"/>
      <c r="AF612" s="2037"/>
      <c r="AG612" s="2038"/>
    </row>
    <row r="613" spans="4:33" ht="14.25" customHeight="1">
      <c r="D613" s="1890" t="s">
        <v>228</v>
      </c>
      <c r="E613" s="1890"/>
      <c r="F613" s="1890"/>
      <c r="G613" s="1890"/>
      <c r="H613" s="1890"/>
      <c r="I613" s="1890"/>
      <c r="J613" s="1890"/>
      <c r="K613" s="1890"/>
      <c r="L613" s="1890"/>
      <c r="M613" s="1890"/>
      <c r="N613" s="2003">
        <v>0</v>
      </c>
      <c r="O613" s="2003"/>
      <c r="P613" s="2003"/>
      <c r="Q613" s="2003"/>
      <c r="R613" s="2003"/>
      <c r="S613" s="2003"/>
      <c r="T613" s="2003"/>
      <c r="U613" s="2003"/>
      <c r="V613" s="2003"/>
      <c r="W613" s="2003"/>
      <c r="X613" s="2036">
        <f>X612</f>
        <v>0</v>
      </c>
      <c r="Y613" s="2037"/>
      <c r="Z613" s="2037"/>
      <c r="AA613" s="2037"/>
      <c r="AB613" s="2037"/>
      <c r="AC613" s="2037"/>
      <c r="AD613" s="2037"/>
      <c r="AE613" s="2037"/>
      <c r="AF613" s="2037"/>
      <c r="AG613" s="2038"/>
    </row>
    <row r="614" spans="4:33" ht="14.25" customHeight="1">
      <c r="D614" s="2018" t="s">
        <v>1995</v>
      </c>
      <c r="E614" s="1822"/>
      <c r="F614" s="1822"/>
      <c r="G614" s="1822"/>
      <c r="H614" s="1822"/>
      <c r="I614" s="1822"/>
      <c r="J614" s="1822"/>
      <c r="K614" s="1822"/>
      <c r="L614" s="1822"/>
      <c r="M614" s="1822"/>
      <c r="N614" s="1791">
        <v>0</v>
      </c>
      <c r="O614" s="1791"/>
      <c r="P614" s="1791"/>
      <c r="Q614" s="1791"/>
      <c r="R614" s="1791"/>
      <c r="S614" s="1791"/>
      <c r="T614" s="1791"/>
      <c r="U614" s="1791"/>
      <c r="V614" s="1791"/>
      <c r="W614" s="1791"/>
      <c r="X614" s="1968">
        <v>0</v>
      </c>
      <c r="Y614" s="1969"/>
      <c r="Z614" s="1969"/>
      <c r="AA614" s="1969"/>
      <c r="AB614" s="1969"/>
      <c r="AC614" s="1969"/>
      <c r="AD614" s="1969"/>
      <c r="AE614" s="1969"/>
      <c r="AF614" s="1969"/>
      <c r="AG614" s="1970"/>
    </row>
    <row r="615" spans="4:33" ht="14.25" customHeight="1">
      <c r="D615" s="1822" t="s">
        <v>230</v>
      </c>
      <c r="E615" s="1822"/>
      <c r="F615" s="1822"/>
      <c r="G615" s="1822"/>
      <c r="H615" s="1822"/>
      <c r="I615" s="1822"/>
      <c r="J615" s="1822"/>
      <c r="K615" s="1822"/>
      <c r="L615" s="1822"/>
      <c r="M615" s="1822"/>
      <c r="N615" s="1791">
        <v>0</v>
      </c>
      <c r="O615" s="1791"/>
      <c r="P615" s="1791"/>
      <c r="Q615" s="1791"/>
      <c r="R615" s="1791"/>
      <c r="S615" s="1791"/>
      <c r="T615" s="1791"/>
      <c r="U615" s="1791"/>
      <c r="V615" s="1791"/>
      <c r="W615" s="1791"/>
      <c r="X615" s="1968">
        <v>0</v>
      </c>
      <c r="Y615" s="1969"/>
      <c r="Z615" s="1969"/>
      <c r="AA615" s="1969"/>
      <c r="AB615" s="1969"/>
      <c r="AC615" s="1969"/>
      <c r="AD615" s="1969"/>
      <c r="AE615" s="1969"/>
      <c r="AF615" s="1969"/>
      <c r="AG615" s="1970"/>
    </row>
    <row r="616" spans="4:33" ht="14.25" customHeight="1">
      <c r="D616" s="1890" t="s">
        <v>231</v>
      </c>
      <c r="E616" s="1890"/>
      <c r="F616" s="1890"/>
      <c r="G616" s="1890"/>
      <c r="H616" s="1890"/>
      <c r="I616" s="1890"/>
      <c r="J616" s="1890"/>
      <c r="K616" s="1890"/>
      <c r="L616" s="1890"/>
      <c r="M616" s="1890"/>
      <c r="N616" s="2003">
        <f>(N603+N606)*21%+2</f>
        <v>-216979.03</v>
      </c>
      <c r="O616" s="2003"/>
      <c r="P616" s="2003"/>
      <c r="Q616" s="2003"/>
      <c r="R616" s="2003"/>
      <c r="S616" s="2003"/>
      <c r="T616" s="2003"/>
      <c r="U616" s="2003"/>
      <c r="V616" s="2003"/>
      <c r="W616" s="2003"/>
      <c r="X616" s="2003">
        <f>(X603+X606)*21%+1</f>
        <v>-301023.92</v>
      </c>
      <c r="Y616" s="2003"/>
      <c r="Z616" s="2003"/>
      <c r="AA616" s="2003"/>
      <c r="AB616" s="2003"/>
      <c r="AC616" s="2003"/>
      <c r="AD616" s="2003"/>
      <c r="AE616" s="2003"/>
      <c r="AF616" s="2003"/>
      <c r="AG616" s="2003"/>
    </row>
    <row r="617" spans="4:33" ht="14.25" customHeight="1">
      <c r="D617" s="1890" t="s">
        <v>232</v>
      </c>
      <c r="E617" s="1890"/>
      <c r="F617" s="1890"/>
      <c r="G617" s="1890"/>
      <c r="H617" s="1890"/>
      <c r="I617" s="1890"/>
      <c r="J617" s="1890"/>
      <c r="K617" s="1890"/>
      <c r="L617" s="1890"/>
      <c r="M617" s="1890"/>
      <c r="N617" s="2003">
        <f>N616-X616-1</f>
        <v>84043.889999999985</v>
      </c>
      <c r="O617" s="2003"/>
      <c r="P617" s="2003"/>
      <c r="Q617" s="2003"/>
      <c r="R617" s="2003"/>
      <c r="S617" s="2003"/>
      <c r="T617" s="2003"/>
      <c r="U617" s="2003"/>
      <c r="V617" s="2003"/>
      <c r="W617" s="2003"/>
      <c r="X617" s="2039">
        <v>71840.530000000028</v>
      </c>
      <c r="Y617" s="2040"/>
      <c r="Z617" s="2040"/>
      <c r="AA617" s="2040"/>
      <c r="AB617" s="2040"/>
      <c r="AC617" s="2040"/>
      <c r="AD617" s="2040"/>
      <c r="AE617" s="2040"/>
      <c r="AF617" s="2040"/>
      <c r="AG617" s="2041"/>
    </row>
    <row r="618" spans="4:33" ht="14.25" customHeight="1">
      <c r="D618" s="1822" t="s">
        <v>233</v>
      </c>
      <c r="E618" s="1822"/>
      <c r="F618" s="1822"/>
      <c r="G618" s="1822"/>
      <c r="H618" s="1822"/>
      <c r="I618" s="1822"/>
      <c r="J618" s="1822"/>
      <c r="K618" s="1822"/>
      <c r="L618" s="1822"/>
      <c r="M618" s="1822"/>
      <c r="N618" s="1968">
        <v>84043.889999999985</v>
      </c>
      <c r="O618" s="1969"/>
      <c r="P618" s="1969"/>
      <c r="Q618" s="1969"/>
      <c r="R618" s="1969"/>
      <c r="S618" s="1969"/>
      <c r="T618" s="1969"/>
      <c r="U618" s="1969"/>
      <c r="V618" s="1969"/>
      <c r="W618" s="1970"/>
      <c r="X618" s="1968">
        <v>71840</v>
      </c>
      <c r="Y618" s="1969"/>
      <c r="Z618" s="1969"/>
      <c r="AA618" s="1969"/>
      <c r="AB618" s="1969"/>
      <c r="AC618" s="1969"/>
      <c r="AD618" s="1969"/>
      <c r="AE618" s="1969"/>
      <c r="AF618" s="1969"/>
      <c r="AG618" s="1970"/>
    </row>
    <row r="619" spans="4:33" ht="14.25" customHeight="1">
      <c r="D619" s="1822" t="s">
        <v>230</v>
      </c>
      <c r="E619" s="1822"/>
      <c r="F619" s="1822"/>
      <c r="G619" s="1822"/>
      <c r="H619" s="1822"/>
      <c r="I619" s="1822"/>
      <c r="J619" s="1822"/>
      <c r="K619" s="1822"/>
      <c r="L619" s="1822"/>
      <c r="M619" s="1822"/>
      <c r="N619" s="1791">
        <v>0</v>
      </c>
      <c r="O619" s="1791"/>
      <c r="P619" s="1791"/>
      <c r="Q619" s="1791"/>
      <c r="R619" s="1791"/>
      <c r="S619" s="1791"/>
      <c r="T619" s="1791"/>
      <c r="U619" s="1791"/>
      <c r="V619" s="1791"/>
      <c r="W619" s="1791"/>
      <c r="X619" s="1968">
        <v>0</v>
      </c>
      <c r="Y619" s="1969"/>
      <c r="Z619" s="1969"/>
      <c r="AA619" s="1969"/>
      <c r="AB619" s="1969"/>
      <c r="AC619" s="1969"/>
      <c r="AD619" s="1969"/>
      <c r="AE619" s="1969"/>
      <c r="AF619" s="1969"/>
      <c r="AG619" s="1970"/>
    </row>
    <row r="620" spans="4:33" ht="14.25" customHeight="1" thickBot="1">
      <c r="D620" s="2057" t="s">
        <v>287</v>
      </c>
      <c r="E620" s="1996"/>
      <c r="F620" s="1996"/>
      <c r="G620" s="1996"/>
      <c r="H620" s="1996"/>
      <c r="I620" s="1996"/>
      <c r="J620" s="1996"/>
      <c r="K620" s="1996"/>
      <c r="L620" s="1996"/>
      <c r="M620" s="1996"/>
      <c r="N620" s="2004">
        <v>0</v>
      </c>
      <c r="O620" s="2004"/>
      <c r="P620" s="2004"/>
      <c r="Q620" s="2004"/>
      <c r="R620" s="2004"/>
      <c r="S620" s="2004"/>
      <c r="T620" s="2004"/>
      <c r="U620" s="2004"/>
      <c r="V620" s="2004"/>
      <c r="W620" s="2004"/>
      <c r="X620" s="2058">
        <v>0</v>
      </c>
      <c r="Y620" s="2059"/>
      <c r="Z620" s="2059"/>
      <c r="AA620" s="2059"/>
      <c r="AB620" s="2059"/>
      <c r="AC620" s="2059"/>
      <c r="AD620" s="2059"/>
      <c r="AE620" s="2059"/>
      <c r="AF620" s="2059"/>
      <c r="AG620" s="2060"/>
    </row>
    <row r="622" spans="4:33" ht="14.25" customHeight="1">
      <c r="D622" s="582" t="s">
        <v>2936</v>
      </c>
    </row>
    <row r="623" spans="4:33" ht="14.25" customHeight="1">
      <c r="D623" s="2006"/>
      <c r="E623" s="2006"/>
      <c r="F623" s="2006"/>
      <c r="G623" s="2006"/>
      <c r="H623" s="2006"/>
      <c r="I623" s="2006"/>
      <c r="J623" s="2006"/>
      <c r="K623" s="2006"/>
      <c r="L623" s="2006"/>
      <c r="M623" s="2006"/>
      <c r="N623" s="2006"/>
      <c r="O623" s="2006"/>
      <c r="P623" s="2006"/>
      <c r="Q623" s="2006"/>
      <c r="R623" s="2006"/>
      <c r="S623" s="2006"/>
      <c r="T623" s="2006"/>
      <c r="U623" s="2006"/>
      <c r="V623" s="2006"/>
      <c r="W623" s="2006"/>
      <c r="X623" s="2006"/>
      <c r="Y623" s="2006"/>
      <c r="Z623" s="2006"/>
      <c r="AA623" s="2006"/>
      <c r="AB623" s="2006"/>
      <c r="AC623" s="2006"/>
      <c r="AD623" s="2006"/>
      <c r="AE623" s="2006"/>
      <c r="AF623" s="2006"/>
      <c r="AG623" s="2006"/>
    </row>
    <row r="624" spans="4:33" ht="14.25" customHeight="1">
      <c r="D624" s="2005" t="s">
        <v>2000</v>
      </c>
      <c r="E624" s="2006"/>
      <c r="F624" s="2006"/>
      <c r="G624" s="2006"/>
      <c r="H624" s="2006"/>
      <c r="I624" s="2006"/>
      <c r="J624" s="2006"/>
      <c r="K624" s="2006"/>
      <c r="L624" s="2006"/>
      <c r="M624" s="2006"/>
      <c r="N624" s="2006"/>
      <c r="O624" s="2006"/>
      <c r="P624" s="2006"/>
      <c r="Q624" s="2006"/>
      <c r="R624" s="2006"/>
      <c r="S624" s="2006"/>
      <c r="T624" s="2006"/>
      <c r="U624" s="2006"/>
      <c r="V624" s="2006"/>
      <c r="W624" s="2006"/>
      <c r="X624" s="2006"/>
      <c r="Y624" s="2006"/>
      <c r="Z624" s="2006"/>
      <c r="AA624" s="2006"/>
      <c r="AB624" s="2006"/>
      <c r="AC624" s="2006"/>
      <c r="AD624" s="2006"/>
      <c r="AE624" s="2006"/>
      <c r="AF624" s="2006"/>
      <c r="AG624" s="2006"/>
    </row>
    <row r="625" spans="3:42" ht="14.25" customHeight="1" thickBot="1"/>
    <row r="626" spans="3:42" ht="28.5" customHeight="1" thickTop="1" thickBot="1">
      <c r="D626" s="2042" t="s">
        <v>131</v>
      </c>
      <c r="E626" s="2043"/>
      <c r="F626" s="2043"/>
      <c r="G626" s="2043"/>
      <c r="H626" s="2043"/>
      <c r="I626" s="2043"/>
      <c r="J626" s="2043"/>
      <c r="K626" s="2043"/>
      <c r="L626" s="2043"/>
      <c r="M626" s="2044"/>
      <c r="N626" s="2042" t="s">
        <v>2</v>
      </c>
      <c r="O626" s="2043"/>
      <c r="P626" s="2043"/>
      <c r="Q626" s="2043"/>
      <c r="R626" s="2043"/>
      <c r="S626" s="2043"/>
      <c r="T626" s="2043"/>
      <c r="U626" s="2043"/>
      <c r="V626" s="2043"/>
      <c r="W626" s="2044"/>
      <c r="X626" s="2042" t="s">
        <v>3</v>
      </c>
      <c r="Y626" s="2043"/>
      <c r="Z626" s="2043"/>
      <c r="AA626" s="2043"/>
      <c r="AB626" s="2043"/>
      <c r="AC626" s="2043"/>
      <c r="AD626" s="2043"/>
      <c r="AE626" s="2043"/>
      <c r="AF626" s="2043"/>
      <c r="AG626" s="2044"/>
      <c r="AL626" s="591" t="s">
        <v>2</v>
      </c>
      <c r="AM626" s="594" t="s">
        <v>3</v>
      </c>
      <c r="AO626" s="591" t="s">
        <v>2</v>
      </c>
      <c r="AP626" s="594" t="s">
        <v>3</v>
      </c>
    </row>
    <row r="627" spans="3:42" ht="18.75" customHeight="1">
      <c r="D627" s="2048" t="s">
        <v>234</v>
      </c>
      <c r="E627" s="2049"/>
      <c r="F627" s="2049"/>
      <c r="G627" s="2049"/>
      <c r="H627" s="2049"/>
      <c r="I627" s="2049"/>
      <c r="J627" s="2049"/>
      <c r="K627" s="2049"/>
      <c r="L627" s="2049"/>
      <c r="M627" s="2050"/>
      <c r="N627" s="2051">
        <v>12927</v>
      </c>
      <c r="O627" s="2052"/>
      <c r="P627" s="2052"/>
      <c r="Q627" s="2052"/>
      <c r="R627" s="2052"/>
      <c r="S627" s="2052"/>
      <c r="T627" s="2052"/>
      <c r="U627" s="2052"/>
      <c r="V627" s="2052"/>
      <c r="W627" s="2052"/>
      <c r="X627" s="2051">
        <v>18257</v>
      </c>
      <c r="Y627" s="2052"/>
      <c r="Z627" s="2052"/>
      <c r="AA627" s="2052"/>
      <c r="AB627" s="2052"/>
      <c r="AC627" s="2052"/>
      <c r="AD627" s="2052"/>
      <c r="AE627" s="2052"/>
      <c r="AF627" s="2052"/>
      <c r="AG627" s="2052"/>
      <c r="AL627" s="612"/>
      <c r="AM627" s="618"/>
      <c r="AO627" s="612"/>
      <c r="AP627" s="618"/>
    </row>
    <row r="628" spans="3:42" ht="18.75" customHeight="1">
      <c r="D628" s="1971" t="s">
        <v>235</v>
      </c>
      <c r="E628" s="1972"/>
      <c r="F628" s="1972"/>
      <c r="G628" s="1972"/>
      <c r="H628" s="1972"/>
      <c r="I628" s="1972"/>
      <c r="J628" s="1972"/>
      <c r="K628" s="1972"/>
      <c r="L628" s="1972"/>
      <c r="M628" s="1973"/>
      <c r="N628" s="1970">
        <v>7697</v>
      </c>
      <c r="O628" s="1967"/>
      <c r="P628" s="1967"/>
      <c r="Q628" s="1967"/>
      <c r="R628" s="1967"/>
      <c r="S628" s="1967"/>
      <c r="T628" s="1967"/>
      <c r="U628" s="1967"/>
      <c r="V628" s="1967"/>
      <c r="W628" s="1967"/>
      <c r="X628" s="1970">
        <v>7019</v>
      </c>
      <c r="Y628" s="1967"/>
      <c r="Z628" s="1967"/>
      <c r="AA628" s="1967"/>
      <c r="AB628" s="1967"/>
      <c r="AC628" s="1967"/>
      <c r="AD628" s="1967"/>
      <c r="AE628" s="1967"/>
      <c r="AF628" s="1967"/>
      <c r="AG628" s="1967"/>
      <c r="AL628" s="606"/>
      <c r="AM628" s="619"/>
      <c r="AO628" s="606"/>
      <c r="AP628" s="619"/>
    </row>
    <row r="629" spans="3:42" ht="18.75" customHeight="1">
      <c r="D629" s="1971" t="s">
        <v>236</v>
      </c>
      <c r="E629" s="1972"/>
      <c r="F629" s="1972"/>
      <c r="G629" s="1972"/>
      <c r="H629" s="1972"/>
      <c r="I629" s="1972"/>
      <c r="J629" s="1972"/>
      <c r="K629" s="1972"/>
      <c r="L629" s="1972"/>
      <c r="M629" s="1973"/>
      <c r="N629" s="1970">
        <v>0</v>
      </c>
      <c r="O629" s="1967"/>
      <c r="P629" s="1967"/>
      <c r="Q629" s="1967"/>
      <c r="R629" s="1967"/>
      <c r="S629" s="1967"/>
      <c r="T629" s="1967"/>
      <c r="U629" s="1967"/>
      <c r="V629" s="1967"/>
      <c r="W629" s="1967"/>
      <c r="X629" s="1968">
        <v>0</v>
      </c>
      <c r="Y629" s="1969"/>
      <c r="Z629" s="1969"/>
      <c r="AA629" s="1969"/>
      <c r="AB629" s="1969"/>
      <c r="AC629" s="1969"/>
      <c r="AD629" s="1969"/>
      <c r="AE629" s="1969"/>
      <c r="AF629" s="1969"/>
      <c r="AG629" s="1970"/>
      <c r="AL629" s="606"/>
      <c r="AM629" s="619"/>
      <c r="AO629" s="606"/>
      <c r="AP629" s="619"/>
    </row>
    <row r="630" spans="3:42" ht="18.75" customHeight="1">
      <c r="D630" s="1971" t="s">
        <v>237</v>
      </c>
      <c r="E630" s="1972"/>
      <c r="F630" s="1972"/>
      <c r="G630" s="1972"/>
      <c r="H630" s="1972"/>
      <c r="I630" s="1972"/>
      <c r="J630" s="1972"/>
      <c r="K630" s="1972"/>
      <c r="L630" s="1972"/>
      <c r="M630" s="1973"/>
      <c r="N630" s="1970">
        <v>0</v>
      </c>
      <c r="O630" s="1967"/>
      <c r="P630" s="1967"/>
      <c r="Q630" s="1967"/>
      <c r="R630" s="1967"/>
      <c r="S630" s="1967"/>
      <c r="T630" s="1967"/>
      <c r="U630" s="1967"/>
      <c r="V630" s="1967"/>
      <c r="W630" s="1967"/>
      <c r="X630" s="1968">
        <v>0</v>
      </c>
      <c r="Y630" s="1969"/>
      <c r="Z630" s="1969"/>
      <c r="AA630" s="1969"/>
      <c r="AB630" s="1969"/>
      <c r="AC630" s="1969"/>
      <c r="AD630" s="1969"/>
      <c r="AE630" s="1969"/>
      <c r="AF630" s="1969"/>
      <c r="AG630" s="1970"/>
      <c r="AL630" s="606"/>
      <c r="AM630" s="619"/>
      <c r="AO630" s="606"/>
      <c r="AP630" s="619"/>
    </row>
    <row r="631" spans="3:42" ht="18.75" customHeight="1">
      <c r="D631" s="2007" t="s">
        <v>238</v>
      </c>
      <c r="E631" s="2008"/>
      <c r="F631" s="2008"/>
      <c r="G631" s="2008"/>
      <c r="H631" s="2008"/>
      <c r="I631" s="2008"/>
      <c r="J631" s="2008"/>
      <c r="K631" s="2008"/>
      <c r="L631" s="2008"/>
      <c r="M631" s="2009"/>
      <c r="N631" s="1976">
        <f>SUM(N628:W630)</f>
        <v>7697</v>
      </c>
      <c r="O631" s="1794"/>
      <c r="P631" s="1794"/>
      <c r="Q631" s="1794"/>
      <c r="R631" s="1794"/>
      <c r="S631" s="1794"/>
      <c r="T631" s="1794"/>
      <c r="U631" s="1794"/>
      <c r="V631" s="1794"/>
      <c r="W631" s="1794"/>
      <c r="X631" s="1976">
        <f>SUM(X628:AG630)</f>
        <v>7019</v>
      </c>
      <c r="Y631" s="1794"/>
      <c r="Z631" s="1794"/>
      <c r="AA631" s="1794"/>
      <c r="AB631" s="1794"/>
      <c r="AC631" s="1794"/>
      <c r="AD631" s="1794"/>
      <c r="AE631" s="1794"/>
      <c r="AF631" s="1794"/>
      <c r="AG631" s="1794"/>
      <c r="AL631" s="621">
        <f>SUM(N628:W630)-N631</f>
        <v>0</v>
      </c>
      <c r="AM631" s="608">
        <f>SUM(X628:AG630)-X631</f>
        <v>0</v>
      </c>
      <c r="AO631" s="606"/>
      <c r="AP631" s="619"/>
    </row>
    <row r="632" spans="3:42" ht="18.75" customHeight="1">
      <c r="D632" s="2007" t="s">
        <v>239</v>
      </c>
      <c r="E632" s="2008"/>
      <c r="F632" s="2008"/>
      <c r="G632" s="2008"/>
      <c r="H632" s="2008"/>
      <c r="I632" s="2008"/>
      <c r="J632" s="2008"/>
      <c r="K632" s="2008"/>
      <c r="L632" s="2008"/>
      <c r="M632" s="2009"/>
      <c r="N632" s="1970">
        <v>-11655</v>
      </c>
      <c r="O632" s="1967"/>
      <c r="P632" s="1967"/>
      <c r="Q632" s="1967"/>
      <c r="R632" s="1967"/>
      <c r="S632" s="1967"/>
      <c r="T632" s="1967"/>
      <c r="U632" s="1967"/>
      <c r="V632" s="1967"/>
      <c r="W632" s="1967"/>
      <c r="X632" s="1970">
        <v>-12349</v>
      </c>
      <c r="Y632" s="1967"/>
      <c r="Z632" s="1967"/>
      <c r="AA632" s="1967"/>
      <c r="AB632" s="1967"/>
      <c r="AC632" s="1967"/>
      <c r="AD632" s="1967"/>
      <c r="AE632" s="1967"/>
      <c r="AF632" s="1967"/>
      <c r="AG632" s="1967"/>
      <c r="AL632" s="606"/>
      <c r="AM632" s="619"/>
      <c r="AO632" s="606"/>
      <c r="AP632" s="619"/>
    </row>
    <row r="633" spans="3:42" ht="18.75" customHeight="1" thickBot="1">
      <c r="D633" s="2010" t="s">
        <v>240</v>
      </c>
      <c r="E633" s="2011"/>
      <c r="F633" s="2011"/>
      <c r="G633" s="2011"/>
      <c r="H633" s="2011"/>
      <c r="I633" s="2011"/>
      <c r="J633" s="2011"/>
      <c r="K633" s="2011"/>
      <c r="L633" s="2011"/>
      <c r="M633" s="2012"/>
      <c r="N633" s="2013">
        <f>N627+N631+N632</f>
        <v>8969</v>
      </c>
      <c r="O633" s="2014"/>
      <c r="P633" s="2014"/>
      <c r="Q633" s="2014"/>
      <c r="R633" s="2014"/>
      <c r="S633" s="2014"/>
      <c r="T633" s="2014"/>
      <c r="U633" s="2014"/>
      <c r="V633" s="2014"/>
      <c r="W633" s="2014"/>
      <c r="X633" s="2013">
        <f>X627+X631+X632</f>
        <v>12927</v>
      </c>
      <c r="Y633" s="2014"/>
      <c r="Z633" s="2014"/>
      <c r="AA633" s="2014"/>
      <c r="AB633" s="2014"/>
      <c r="AC633" s="2014"/>
      <c r="AD633" s="2014"/>
      <c r="AE633" s="2014"/>
      <c r="AF633" s="2014"/>
      <c r="AG633" s="2014"/>
      <c r="AL633" s="609">
        <f>N627+N631+N632-N633</f>
        <v>0</v>
      </c>
      <c r="AM633" s="611">
        <f>X627+X631+X632-X633</f>
        <v>0</v>
      </c>
      <c r="AO633" s="609">
        <f>N633-BS!$D$129</f>
        <v>0</v>
      </c>
      <c r="AP633" s="611">
        <f>X633-BS!$E$129</f>
        <v>0</v>
      </c>
    </row>
    <row r="636" spans="3:42" ht="14.25" customHeight="1">
      <c r="D636" s="582" t="s">
        <v>2937</v>
      </c>
    </row>
    <row r="638" spans="3:42" ht="14.25" customHeight="1">
      <c r="D638" s="2006" t="s">
        <v>1375</v>
      </c>
      <c r="E638" s="2006"/>
      <c r="F638" s="2006"/>
      <c r="G638" s="2006"/>
      <c r="H638" s="2006"/>
      <c r="I638" s="2006"/>
      <c r="J638" s="2006"/>
      <c r="K638" s="2006"/>
      <c r="L638" s="2006"/>
      <c r="M638" s="2006"/>
      <c r="N638" s="2006"/>
      <c r="O638" s="2006"/>
      <c r="P638" s="2006"/>
      <c r="Q638" s="2006"/>
      <c r="R638" s="2006"/>
      <c r="S638" s="2006"/>
      <c r="T638" s="2006"/>
      <c r="U638" s="2006"/>
      <c r="V638" s="2006"/>
      <c r="W638" s="2006"/>
      <c r="X638" s="2006"/>
      <c r="Y638" s="2006"/>
      <c r="Z638" s="2006"/>
      <c r="AA638" s="2006"/>
      <c r="AB638" s="2006"/>
      <c r="AC638" s="2006"/>
      <c r="AD638" s="2006"/>
      <c r="AE638" s="2006"/>
      <c r="AF638" s="2006"/>
      <c r="AG638" s="2006"/>
    </row>
    <row r="639" spans="3:42" ht="14.25" customHeight="1" thickBot="1"/>
    <row r="640" spans="3:42" ht="83.25" customHeight="1" thickTop="1" thickBot="1">
      <c r="C640" s="919"/>
      <c r="D640" s="1851" t="s">
        <v>131</v>
      </c>
      <c r="E640" s="1851"/>
      <c r="F640" s="1851"/>
      <c r="G640" s="1851"/>
      <c r="H640" s="1851"/>
      <c r="I640" s="1851"/>
      <c r="J640" s="1851"/>
      <c r="K640" s="1851" t="s">
        <v>246</v>
      </c>
      <c r="L640" s="1851"/>
      <c r="M640" s="1851"/>
      <c r="N640" s="1851" t="s">
        <v>477</v>
      </c>
      <c r="O640" s="1851"/>
      <c r="P640" s="1851"/>
      <c r="Q640" s="1851"/>
      <c r="R640" s="1851" t="s">
        <v>247</v>
      </c>
      <c r="S640" s="1851"/>
      <c r="T640" s="1851"/>
      <c r="U640" s="1851"/>
      <c r="V640" s="2042" t="s">
        <v>248</v>
      </c>
      <c r="W640" s="2043"/>
      <c r="X640" s="2043"/>
      <c r="Y640" s="2043"/>
      <c r="Z640" s="2042" t="s">
        <v>1728</v>
      </c>
      <c r="AA640" s="2043"/>
      <c r="AB640" s="2043"/>
      <c r="AC640" s="2044"/>
      <c r="AD640" s="1851" t="s">
        <v>249</v>
      </c>
      <c r="AE640" s="1851"/>
      <c r="AF640" s="1851"/>
      <c r="AG640" s="1851"/>
      <c r="AO640" s="591" t="s">
        <v>248</v>
      </c>
      <c r="AP640" s="591" t="s">
        <v>249</v>
      </c>
    </row>
    <row r="641" spans="3:42" ht="14.25" customHeight="1" thickBot="1">
      <c r="C641" s="919"/>
      <c r="D641" s="2015" t="s">
        <v>250</v>
      </c>
      <c r="E641" s="2015"/>
      <c r="F641" s="2015"/>
      <c r="G641" s="2015"/>
      <c r="H641" s="2015"/>
      <c r="I641" s="2015"/>
      <c r="J641" s="2015"/>
      <c r="K641" s="2015"/>
      <c r="L641" s="2015"/>
      <c r="M641" s="2015"/>
      <c r="N641" s="2015"/>
      <c r="O641" s="2015"/>
      <c r="P641" s="2015"/>
      <c r="Q641" s="2015"/>
      <c r="R641" s="2015"/>
      <c r="S641" s="2015"/>
      <c r="T641" s="2015"/>
      <c r="U641" s="2015"/>
      <c r="V641" s="2015"/>
      <c r="W641" s="2015"/>
      <c r="X641" s="2015"/>
      <c r="Y641" s="2015"/>
      <c r="Z641" s="2015"/>
      <c r="AA641" s="2015"/>
      <c r="AB641" s="2015"/>
      <c r="AC641" s="2015"/>
      <c r="AD641" s="2015"/>
      <c r="AE641" s="2015"/>
      <c r="AF641" s="2015"/>
      <c r="AG641" s="2015"/>
      <c r="AO641" s="643">
        <f>SUM(V642:Y642)-BS!$D$136</f>
        <v>0</v>
      </c>
      <c r="AP641" s="644">
        <f>SUM(AD642:AG642)-BS!$E$136</f>
        <v>0</v>
      </c>
    </row>
    <row r="642" spans="3:42" ht="14.25" customHeight="1" thickBot="1">
      <c r="C642" s="919"/>
      <c r="D642" s="2196"/>
      <c r="E642" s="2196"/>
      <c r="F642" s="2196"/>
      <c r="G642" s="2196"/>
      <c r="H642" s="2196"/>
      <c r="I642" s="2196"/>
      <c r="J642" s="2196"/>
      <c r="K642" s="2017"/>
      <c r="L642" s="2017"/>
      <c r="M642" s="2017"/>
      <c r="N642" s="2045"/>
      <c r="O642" s="2046"/>
      <c r="P642" s="2046"/>
      <c r="Q642" s="2046"/>
      <c r="R642" s="2047"/>
      <c r="S642" s="2047"/>
      <c r="T642" s="2047"/>
      <c r="U642" s="2047"/>
      <c r="V642" s="2331"/>
      <c r="W642" s="2332"/>
      <c r="X642" s="2332"/>
      <c r="Y642" s="2333"/>
      <c r="Z642" s="2331"/>
      <c r="AA642" s="2332"/>
      <c r="AB642" s="2332"/>
      <c r="AC642" s="2333"/>
      <c r="AD642" s="2190"/>
      <c r="AE642" s="2190"/>
      <c r="AF642" s="2190"/>
      <c r="AG642" s="2191"/>
      <c r="AO642" s="357"/>
      <c r="AP642" s="356"/>
    </row>
    <row r="643" spans="3:42" ht="14.25" customHeight="1" thickBot="1">
      <c r="C643" s="919"/>
      <c r="D643" s="2015" t="s">
        <v>251</v>
      </c>
      <c r="E643" s="2015"/>
      <c r="F643" s="2015"/>
      <c r="G643" s="2015"/>
      <c r="H643" s="2015"/>
      <c r="I643" s="2015"/>
      <c r="J643" s="2015"/>
      <c r="K643" s="2015"/>
      <c r="L643" s="2015"/>
      <c r="M643" s="2015"/>
      <c r="N643" s="2015"/>
      <c r="O643" s="2015"/>
      <c r="P643" s="2015"/>
      <c r="Q643" s="2015"/>
      <c r="R643" s="2015"/>
      <c r="S643" s="2015"/>
      <c r="T643" s="2015"/>
      <c r="U643" s="2015"/>
      <c r="V643" s="2015"/>
      <c r="W643" s="2015"/>
      <c r="X643" s="2015"/>
      <c r="Y643" s="2015"/>
      <c r="Z643" s="2015"/>
      <c r="AA643" s="2015"/>
      <c r="AB643" s="2015"/>
      <c r="AC643" s="2015"/>
      <c r="AD643" s="2015"/>
      <c r="AE643" s="2015"/>
      <c r="AF643" s="2015"/>
      <c r="AG643" s="2015"/>
      <c r="AO643" s="367">
        <f>SUM(V644:Y644)-BS!$D$154</f>
        <v>0</v>
      </c>
      <c r="AP643" s="365">
        <f>SUM(AD644:AG644)-BS!$E$154</f>
        <v>0</v>
      </c>
    </row>
    <row r="644" spans="3:42" ht="14.25" customHeight="1" thickBot="1">
      <c r="C644" s="919"/>
      <c r="D644" s="1943" t="s">
        <v>2742</v>
      </c>
      <c r="E644" s="2016"/>
      <c r="F644" s="2016"/>
      <c r="G644" s="2016"/>
      <c r="H644" s="2016"/>
      <c r="I644" s="2016"/>
      <c r="J644" s="2016"/>
      <c r="K644" s="2031" t="s">
        <v>2787</v>
      </c>
      <c r="L644" s="2032"/>
      <c r="M644" s="2033"/>
      <c r="N644" s="2334" t="s">
        <v>2788</v>
      </c>
      <c r="O644" s="2335"/>
      <c r="P644" s="2335"/>
      <c r="Q644" s="2336"/>
      <c r="R644" s="2034" t="s">
        <v>2788</v>
      </c>
      <c r="S644" s="2032"/>
      <c r="T644" s="2032"/>
      <c r="U644" s="2035"/>
      <c r="V644" s="1861">
        <v>1278</v>
      </c>
      <c r="W644" s="1862"/>
      <c r="X644" s="1862"/>
      <c r="Y644" s="1863"/>
      <c r="Z644" s="1861">
        <v>1278</v>
      </c>
      <c r="AA644" s="1862"/>
      <c r="AB644" s="1862"/>
      <c r="AC644" s="1863"/>
      <c r="AD644" s="2194">
        <v>4286</v>
      </c>
      <c r="AE644" s="2194"/>
      <c r="AF644" s="2194"/>
      <c r="AG644" s="2195"/>
      <c r="AO644" s="606"/>
      <c r="AP644" s="619"/>
    </row>
    <row r="645" spans="3:42" ht="14.25" customHeight="1">
      <c r="D645" s="2192"/>
      <c r="E645" s="2192"/>
      <c r="F645" s="2192"/>
      <c r="G645" s="2192"/>
      <c r="H645" s="2192"/>
      <c r="I645" s="2192"/>
      <c r="J645" s="2192"/>
      <c r="K645" s="2192"/>
      <c r="L645" s="2192"/>
      <c r="M645" s="2192"/>
      <c r="N645" s="2192"/>
      <c r="O645" s="2192"/>
      <c r="P645" s="2192"/>
      <c r="Q645" s="2192"/>
      <c r="R645" s="2192"/>
      <c r="S645" s="2192"/>
      <c r="T645" s="2192"/>
      <c r="U645" s="2192"/>
      <c r="V645" s="2192"/>
      <c r="W645" s="2192"/>
      <c r="X645" s="2192"/>
      <c r="Y645" s="2192"/>
      <c r="Z645" s="2192"/>
      <c r="AA645" s="2192"/>
      <c r="AB645" s="2192"/>
      <c r="AC645" s="2192"/>
      <c r="AD645" s="2192"/>
      <c r="AE645" s="2192"/>
      <c r="AF645" s="2192"/>
      <c r="AG645" s="2192"/>
    </row>
    <row r="646" spans="3:42" ht="14.25" customHeight="1">
      <c r="D646" s="645"/>
      <c r="E646"/>
      <c r="F646"/>
      <c r="G646"/>
    </row>
    <row r="647" spans="3:42" ht="14.25" customHeight="1">
      <c r="D647" s="582" t="s">
        <v>2938</v>
      </c>
    </row>
    <row r="649" spans="3:42" ht="14.25" customHeight="1">
      <c r="D649" s="2006" t="s">
        <v>1377</v>
      </c>
      <c r="E649" s="2006"/>
      <c r="F649" s="2006"/>
      <c r="G649" s="2006"/>
      <c r="H649" s="2006"/>
      <c r="I649" s="2006"/>
      <c r="J649" s="2006"/>
      <c r="K649" s="2006"/>
      <c r="L649" s="2006"/>
      <c r="M649" s="2006"/>
      <c r="N649" s="2006"/>
      <c r="O649" s="2006"/>
      <c r="P649" s="2006"/>
      <c r="Q649" s="2006"/>
      <c r="R649" s="2006"/>
      <c r="S649" s="2006"/>
      <c r="T649" s="2006"/>
      <c r="U649" s="2006"/>
      <c r="V649" s="2006"/>
      <c r="W649" s="2006"/>
      <c r="X649" s="2006"/>
      <c r="Y649" s="2006"/>
      <c r="Z649" s="2006"/>
      <c r="AA649" s="2006"/>
      <c r="AB649" s="2006"/>
      <c r="AC649" s="2006"/>
      <c r="AD649" s="2006"/>
      <c r="AE649" s="2006"/>
      <c r="AF649" s="2006"/>
      <c r="AG649" s="2006"/>
    </row>
    <row r="650" spans="3:42" ht="14.25" customHeight="1" thickBot="1"/>
    <row r="651" spans="3:42" ht="27.25" customHeight="1" thickTop="1" thickBot="1">
      <c r="D651" s="2193" t="s">
        <v>131</v>
      </c>
      <c r="E651" s="2193"/>
      <c r="F651" s="2193"/>
      <c r="G651" s="2193"/>
      <c r="H651" s="2193"/>
      <c r="I651" s="2193"/>
      <c r="J651" s="2193"/>
      <c r="K651" s="2193"/>
      <c r="L651" s="2193"/>
      <c r="M651" s="2193"/>
      <c r="N651" s="2193" t="s">
        <v>2</v>
      </c>
      <c r="O651" s="2193"/>
      <c r="P651" s="2193"/>
      <c r="Q651" s="2193"/>
      <c r="R651" s="2193"/>
      <c r="S651" s="2193"/>
      <c r="T651" s="2193"/>
      <c r="U651" s="2193"/>
      <c r="V651" s="2193"/>
      <c r="W651" s="2193"/>
      <c r="X651" s="2193" t="s">
        <v>3</v>
      </c>
      <c r="Y651" s="2193"/>
      <c r="Z651" s="2193"/>
      <c r="AA651" s="2193"/>
      <c r="AB651" s="2193"/>
      <c r="AC651" s="2193"/>
      <c r="AD651" s="2193"/>
      <c r="AE651" s="2193"/>
      <c r="AF651" s="2193"/>
      <c r="AG651" s="2193"/>
      <c r="AL651" s="591" t="s">
        <v>2</v>
      </c>
      <c r="AM651" s="591" t="s">
        <v>3</v>
      </c>
      <c r="AO651" s="652" t="s">
        <v>2</v>
      </c>
      <c r="AP651" s="652" t="s">
        <v>3</v>
      </c>
    </row>
    <row r="652" spans="3:42" ht="27.25" customHeight="1" thickBot="1">
      <c r="D652" s="1995" t="s">
        <v>1378</v>
      </c>
      <c r="E652" s="1995"/>
      <c r="F652" s="1995"/>
      <c r="G652" s="1995"/>
      <c r="H652" s="1995"/>
      <c r="I652" s="1995"/>
      <c r="J652" s="1995"/>
      <c r="K652" s="1995"/>
      <c r="L652" s="1995"/>
      <c r="M652" s="1995"/>
      <c r="N652" s="1895">
        <v>0</v>
      </c>
      <c r="O652" s="1895"/>
      <c r="P652" s="1895"/>
      <c r="Q652" s="1895"/>
      <c r="R652" s="1895"/>
      <c r="S652" s="1895"/>
      <c r="T652" s="1895"/>
      <c r="U652" s="1895"/>
      <c r="V652" s="1895"/>
      <c r="W652" s="1895"/>
      <c r="X652" s="1895">
        <v>0</v>
      </c>
      <c r="Y652" s="1895"/>
      <c r="Z652" s="1895"/>
      <c r="AA652" s="1895"/>
      <c r="AB652" s="1895"/>
      <c r="AC652" s="1895"/>
      <c r="AD652" s="1895"/>
      <c r="AE652" s="1895"/>
      <c r="AF652" s="1895"/>
      <c r="AG652" s="1895"/>
      <c r="AL652" s="630">
        <f>SUM(N653:W653)-N652</f>
        <v>0</v>
      </c>
      <c r="AM652" s="614">
        <f>SUM(X653:AG653)-X652</f>
        <v>0</v>
      </c>
      <c r="AO652" s="653">
        <f>N652-'BS old'!$D$137</f>
        <v>0</v>
      </c>
      <c r="AP652" s="654">
        <f>X652-BS!$E$157</f>
        <v>0</v>
      </c>
    </row>
    <row r="653" spans="3:42" ht="25.5" customHeight="1" thickBot="1">
      <c r="D653" s="1809"/>
      <c r="E653" s="1810"/>
      <c r="F653" s="1810"/>
      <c r="G653" s="1810"/>
      <c r="H653" s="1810"/>
      <c r="I653" s="1810"/>
      <c r="J653" s="1810"/>
      <c r="K653" s="1810"/>
      <c r="L653" s="1810"/>
      <c r="M653" s="1811"/>
      <c r="N653" s="1839"/>
      <c r="O653" s="1840"/>
      <c r="P653" s="1840"/>
      <c r="Q653" s="1840"/>
      <c r="R653" s="1840"/>
      <c r="S653" s="1840"/>
      <c r="T653" s="1840"/>
      <c r="U653" s="1840"/>
      <c r="V653" s="1840"/>
      <c r="W653" s="1977"/>
      <c r="X653" s="1839"/>
      <c r="Y653" s="1840"/>
      <c r="Z653" s="1840"/>
      <c r="AA653" s="1840"/>
      <c r="AB653" s="1840"/>
      <c r="AC653" s="1840"/>
      <c r="AD653" s="1840"/>
      <c r="AE653" s="1840"/>
      <c r="AF653" s="1840"/>
      <c r="AG653" s="1977"/>
      <c r="AL653" s="606"/>
      <c r="AM653" s="619"/>
      <c r="AO653" s="650"/>
      <c r="AP653" s="651"/>
    </row>
    <row r="654" spans="3:42" ht="27.25" customHeight="1" thickBot="1">
      <c r="D654" s="1995" t="s">
        <v>1379</v>
      </c>
      <c r="E654" s="1995"/>
      <c r="F654" s="1995"/>
      <c r="G654" s="1995"/>
      <c r="H654" s="1995"/>
      <c r="I654" s="1995"/>
      <c r="J654" s="1995"/>
      <c r="K654" s="1995"/>
      <c r="L654" s="1995"/>
      <c r="M654" s="1995"/>
      <c r="N654" s="1895">
        <v>0</v>
      </c>
      <c r="O654" s="1895"/>
      <c r="P654" s="1895"/>
      <c r="Q654" s="1895"/>
      <c r="R654" s="1895"/>
      <c r="S654" s="1895"/>
      <c r="T654" s="1895"/>
      <c r="U654" s="1895"/>
      <c r="V654" s="1895"/>
      <c r="W654" s="1895"/>
      <c r="X654" s="1895">
        <v>0</v>
      </c>
      <c r="Y654" s="1895"/>
      <c r="Z654" s="1895"/>
      <c r="AA654" s="1895"/>
      <c r="AB654" s="1895"/>
      <c r="AC654" s="1895"/>
      <c r="AD654" s="1895"/>
      <c r="AE654" s="1895"/>
      <c r="AF654" s="1895"/>
      <c r="AG654" s="1895"/>
      <c r="AL654" s="621">
        <f>SUM(N655:W655)-N654</f>
        <v>0</v>
      </c>
      <c r="AM654" s="608">
        <f>SUM(X655:AG655)-X654</f>
        <v>0</v>
      </c>
      <c r="AO654" s="648">
        <f>N654-'BS old'!$D$138</f>
        <v>0</v>
      </c>
      <c r="AP654" s="649">
        <f>X654-BS!$E$158</f>
        <v>0</v>
      </c>
    </row>
    <row r="655" spans="3:42" ht="25.5" customHeight="1" thickBot="1">
      <c r="D655" s="1809"/>
      <c r="E655" s="1810"/>
      <c r="F655" s="1810"/>
      <c r="G655" s="1810"/>
      <c r="H655" s="1810"/>
      <c r="I655" s="1810"/>
      <c r="J655" s="1810"/>
      <c r="K655" s="1810"/>
      <c r="L655" s="1810"/>
      <c r="M655" s="1811"/>
      <c r="N655" s="1839"/>
      <c r="O655" s="1840"/>
      <c r="P655" s="1840"/>
      <c r="Q655" s="1840"/>
      <c r="R655" s="1840"/>
      <c r="S655" s="1840"/>
      <c r="T655" s="1840"/>
      <c r="U655" s="1840"/>
      <c r="V655" s="1840"/>
      <c r="W655" s="1977"/>
      <c r="X655" s="1839"/>
      <c r="Y655" s="1840"/>
      <c r="Z655" s="1840"/>
      <c r="AA655" s="1840"/>
      <c r="AB655" s="1840"/>
      <c r="AC655" s="1840"/>
      <c r="AD655" s="1840"/>
      <c r="AE655" s="1840"/>
      <c r="AF655" s="1840"/>
      <c r="AG655" s="1977"/>
      <c r="AL655" s="606"/>
      <c r="AM655" s="619"/>
      <c r="AO655" s="650"/>
      <c r="AP655" s="651"/>
    </row>
    <row r="656" spans="3:42" ht="27.25" customHeight="1" thickBot="1">
      <c r="D656" s="1995" t="s">
        <v>482</v>
      </c>
      <c r="E656" s="1995"/>
      <c r="F656" s="1995"/>
      <c r="G656" s="1995"/>
      <c r="H656" s="1995"/>
      <c r="I656" s="1995"/>
      <c r="J656" s="1995"/>
      <c r="K656" s="1995"/>
      <c r="L656" s="1995"/>
      <c r="M656" s="1995"/>
      <c r="N656" s="1895">
        <v>0</v>
      </c>
      <c r="O656" s="1895"/>
      <c r="P656" s="1895"/>
      <c r="Q656" s="1895"/>
      <c r="R656" s="1895"/>
      <c r="S656" s="1895"/>
      <c r="T656" s="1895"/>
      <c r="U656" s="1895"/>
      <c r="V656" s="1895"/>
      <c r="W656" s="1895"/>
      <c r="X656" s="1895">
        <v>0</v>
      </c>
      <c r="Y656" s="1895"/>
      <c r="Z656" s="1895"/>
      <c r="AA656" s="1895"/>
      <c r="AB656" s="1895"/>
      <c r="AC656" s="1895"/>
      <c r="AD656" s="1895"/>
      <c r="AE656" s="1895"/>
      <c r="AF656" s="1895"/>
      <c r="AG656" s="1895"/>
      <c r="AL656" s="621">
        <f>SUM(N657:W657)-N656</f>
        <v>0</v>
      </c>
      <c r="AM656" s="608">
        <f>SUM(X657:AG657)-X656</f>
        <v>0</v>
      </c>
      <c r="AO656" s="648">
        <f>N656-'BS old'!$D$139</f>
        <v>0</v>
      </c>
      <c r="AP656" s="649">
        <f>X656-BS!$E$159</f>
        <v>0</v>
      </c>
    </row>
    <row r="657" spans="1:42" ht="25.5" customHeight="1" thickBot="1">
      <c r="D657" s="1809"/>
      <c r="E657" s="1810"/>
      <c r="F657" s="1810"/>
      <c r="G657" s="1810"/>
      <c r="H657" s="1810"/>
      <c r="I657" s="1810"/>
      <c r="J657" s="1810"/>
      <c r="K657" s="1810"/>
      <c r="L657" s="1810"/>
      <c r="M657" s="1811"/>
      <c r="N657" s="1839"/>
      <c r="O657" s="1840"/>
      <c r="P657" s="1840"/>
      <c r="Q657" s="1840"/>
      <c r="R657" s="1840"/>
      <c r="S657" s="1840"/>
      <c r="T657" s="1840"/>
      <c r="U657" s="1840"/>
      <c r="V657" s="1840"/>
      <c r="W657" s="1977"/>
      <c r="X657" s="1839"/>
      <c r="Y657" s="1840"/>
      <c r="Z657" s="1840"/>
      <c r="AA657" s="1840"/>
      <c r="AB657" s="1840"/>
      <c r="AC657" s="1840"/>
      <c r="AD657" s="1840"/>
      <c r="AE657" s="1840"/>
      <c r="AF657" s="1840"/>
      <c r="AG657" s="1977"/>
      <c r="AL657" s="606"/>
      <c r="AM657" s="619"/>
      <c r="AO657" s="650"/>
      <c r="AP657" s="651"/>
    </row>
    <row r="658" spans="1:42" ht="27.25" customHeight="1" thickBot="1">
      <c r="D658" s="1995" t="s">
        <v>483</v>
      </c>
      <c r="E658" s="1995"/>
      <c r="F658" s="1995"/>
      <c r="G658" s="1995"/>
      <c r="H658" s="1995"/>
      <c r="I658" s="1995"/>
      <c r="J658" s="1995"/>
      <c r="K658" s="1995"/>
      <c r="L658" s="1995"/>
      <c r="M658" s="1995"/>
      <c r="N658" s="1895">
        <v>0</v>
      </c>
      <c r="O658" s="1895"/>
      <c r="P658" s="1895"/>
      <c r="Q658" s="1895"/>
      <c r="R658" s="1895"/>
      <c r="S658" s="1895"/>
      <c r="T658" s="1895"/>
      <c r="U658" s="1895"/>
      <c r="V658" s="1895"/>
      <c r="W658" s="1895"/>
      <c r="X658" s="1895">
        <v>0</v>
      </c>
      <c r="Y658" s="1895"/>
      <c r="Z658" s="1895"/>
      <c r="AA658" s="1895"/>
      <c r="AB658" s="1895"/>
      <c r="AC658" s="1895"/>
      <c r="AD658" s="1895"/>
      <c r="AE658" s="1895"/>
      <c r="AF658" s="1895"/>
      <c r="AG658" s="1895"/>
      <c r="AL658" s="621">
        <f>SUM(N659:W659)-N658</f>
        <v>0</v>
      </c>
      <c r="AM658" s="608">
        <v>0</v>
      </c>
      <c r="AO658" s="648">
        <f>N658-'BS old'!$D$140</f>
        <v>0</v>
      </c>
      <c r="AP658" s="649">
        <f>X658+BS!$E$160</f>
        <v>0</v>
      </c>
    </row>
    <row r="659" spans="1:42" ht="25.5" customHeight="1">
      <c r="D659" s="1809"/>
      <c r="E659" s="1810"/>
      <c r="F659" s="1810"/>
      <c r="G659" s="1810"/>
      <c r="H659" s="1810"/>
      <c r="I659" s="1810"/>
      <c r="J659" s="1810"/>
      <c r="K659" s="1810"/>
      <c r="L659" s="1810"/>
      <c r="M659" s="1811"/>
      <c r="N659" s="1839"/>
      <c r="O659" s="1840"/>
      <c r="P659" s="1840"/>
      <c r="Q659" s="1840"/>
      <c r="R659" s="1840"/>
      <c r="S659" s="1840"/>
      <c r="T659" s="1840"/>
      <c r="U659" s="1840"/>
      <c r="V659" s="1840"/>
      <c r="W659" s="1977"/>
      <c r="X659" s="1839"/>
      <c r="Y659" s="1840"/>
      <c r="Z659" s="1840"/>
      <c r="AA659" s="1840"/>
      <c r="AB659" s="1840"/>
      <c r="AC659" s="1840"/>
      <c r="AD659" s="1840"/>
      <c r="AE659" s="1840"/>
      <c r="AF659" s="1840"/>
      <c r="AG659" s="1977"/>
      <c r="AL659" s="606"/>
      <c r="AM659" s="619"/>
      <c r="AO659" s="606"/>
      <c r="AP659" s="619"/>
    </row>
    <row r="660" spans="1:42" ht="18" customHeight="1">
      <c r="AL660" s="336"/>
      <c r="AM660" s="336"/>
    </row>
    <row r="661" spans="1:42" ht="14.25" customHeight="1">
      <c r="D661" s="582" t="s">
        <v>2939</v>
      </c>
    </row>
    <row r="663" spans="1:42" ht="14.25" customHeight="1">
      <c r="D663" s="2178" t="s">
        <v>2743</v>
      </c>
      <c r="E663" s="2178"/>
      <c r="F663" s="2178"/>
      <c r="G663" s="2178"/>
      <c r="H663" s="2178"/>
      <c r="I663" s="2178"/>
      <c r="J663" s="2178"/>
      <c r="K663" s="2178"/>
      <c r="L663" s="2178"/>
      <c r="M663" s="2178"/>
      <c r="N663" s="2178"/>
      <c r="O663" s="2178"/>
      <c r="P663" s="2178"/>
      <c r="Q663" s="2178"/>
      <c r="R663" s="2178"/>
      <c r="S663" s="2178"/>
      <c r="T663" s="2178"/>
      <c r="U663" s="2178"/>
      <c r="V663" s="2178"/>
      <c r="W663" s="2178"/>
      <c r="X663" s="2178"/>
      <c r="Y663" s="2178"/>
      <c r="Z663" s="2178"/>
      <c r="AA663" s="2178"/>
      <c r="AB663" s="2178"/>
      <c r="AC663" s="2178"/>
      <c r="AD663" s="2178"/>
      <c r="AE663" s="2178"/>
      <c r="AF663" s="2178"/>
      <c r="AG663" s="2178"/>
    </row>
    <row r="665" spans="1:42" ht="14.25" customHeight="1">
      <c r="D665" s="582" t="s">
        <v>2940</v>
      </c>
    </row>
    <row r="667" spans="1:42" ht="14.25" customHeight="1">
      <c r="D667" s="2126" t="s">
        <v>2950</v>
      </c>
      <c r="E667" s="2197"/>
      <c r="F667" s="2197"/>
      <c r="G667" s="2197"/>
      <c r="H667" s="2197"/>
      <c r="I667" s="2197"/>
      <c r="J667" s="2197"/>
      <c r="K667" s="2197"/>
      <c r="L667" s="2197"/>
      <c r="M667" s="2197"/>
      <c r="N667" s="2197"/>
      <c r="O667" s="2197"/>
      <c r="P667" s="2197"/>
      <c r="Q667" s="2197"/>
      <c r="R667" s="2197"/>
      <c r="S667" s="2197"/>
      <c r="T667" s="2197"/>
      <c r="U667" s="2197"/>
      <c r="V667" s="2197"/>
      <c r="W667" s="2197"/>
      <c r="X667" s="2197"/>
      <c r="Y667" s="2197"/>
      <c r="Z667" s="2197"/>
      <c r="AA667" s="2197"/>
      <c r="AB667" s="2197"/>
      <c r="AC667" s="2197"/>
      <c r="AD667" s="2197"/>
      <c r="AE667" s="2197"/>
      <c r="AF667" s="2197"/>
      <c r="AG667" s="2197"/>
    </row>
    <row r="669" spans="1:42" ht="14.25" customHeight="1">
      <c r="C669" s="1464"/>
      <c r="D669" s="1465" t="s">
        <v>2941</v>
      </c>
      <c r="E669" s="1464"/>
      <c r="F669" s="1464"/>
      <c r="G669" s="1464"/>
      <c r="H669" s="1464"/>
      <c r="I669" s="1464"/>
      <c r="J669" s="1464"/>
      <c r="K669" s="1464"/>
      <c r="L669" s="1464"/>
      <c r="M669" s="1464"/>
      <c r="N669" s="1464"/>
      <c r="O669" s="1464"/>
      <c r="P669" s="1464"/>
      <c r="Q669" s="1464"/>
      <c r="R669" s="1464"/>
      <c r="S669" s="1464"/>
      <c r="T669" s="1464"/>
      <c r="U669" s="1464"/>
      <c r="V669" s="1464"/>
      <c r="W669" s="1464"/>
      <c r="X669" s="1464"/>
      <c r="Y669" s="1464"/>
      <c r="Z669" s="1464"/>
      <c r="AA669" s="1464"/>
      <c r="AB669" s="1464"/>
      <c r="AC669" s="1464"/>
      <c r="AD669" s="1464"/>
      <c r="AE669" s="1464"/>
      <c r="AF669" s="1464"/>
    </row>
    <row r="670" spans="1:42" ht="14.25" customHeight="1">
      <c r="C670" s="1464"/>
      <c r="D670" s="1464"/>
      <c r="E670" s="1464"/>
      <c r="F670" s="1464"/>
      <c r="G670" s="1464"/>
      <c r="H670" s="1464"/>
      <c r="I670" s="1464"/>
      <c r="J670" s="1464"/>
      <c r="K670" s="1464"/>
      <c r="L670" s="1464"/>
      <c r="M670" s="1464"/>
      <c r="N670" s="1464"/>
      <c r="O670" s="1464"/>
      <c r="P670" s="1464"/>
      <c r="Q670" s="1464"/>
      <c r="R670" s="1464"/>
      <c r="S670" s="1464"/>
      <c r="T670" s="1464"/>
      <c r="U670" s="1464"/>
      <c r="V670" s="1464"/>
      <c r="W670" s="1464"/>
      <c r="X670" s="1464"/>
      <c r="Y670" s="1464"/>
      <c r="Z670" s="1464"/>
      <c r="AA670" s="1464"/>
      <c r="AB670" s="1464"/>
      <c r="AC670" s="1464"/>
      <c r="AD670" s="1464"/>
      <c r="AE670" s="1464"/>
      <c r="AF670" s="1464"/>
    </row>
    <row r="671" spans="1:42" ht="10.4" customHeight="1">
      <c r="A671" s="1572"/>
      <c r="B671" s="1464"/>
      <c r="C671" s="1464"/>
      <c r="D671" s="2028" t="s">
        <v>3062</v>
      </c>
      <c r="E671" s="2028"/>
      <c r="F671" s="2028"/>
      <c r="G671" s="2028"/>
      <c r="H671" s="2028"/>
      <c r="I671" s="2028"/>
      <c r="J671" s="2028"/>
      <c r="K671" s="2028"/>
      <c r="L671" s="2028"/>
      <c r="M671" s="2028"/>
      <c r="N671" s="2028"/>
      <c r="O671" s="2028"/>
      <c r="P671" s="2028"/>
      <c r="Q671" s="2028"/>
      <c r="R671" s="2028"/>
      <c r="S671" s="2028"/>
      <c r="T671" s="2028"/>
      <c r="U671" s="2028"/>
      <c r="V671" s="2028"/>
      <c r="W671" s="2028"/>
      <c r="X671" s="2028"/>
      <c r="Y671" s="2028"/>
      <c r="Z671" s="2028"/>
      <c r="AA671" s="2028"/>
      <c r="AB671" s="2028"/>
      <c r="AC671" s="2028"/>
      <c r="AD671" s="2028"/>
      <c r="AE671" s="2028"/>
      <c r="AF671" s="2028"/>
      <c r="AG671" s="2028"/>
    </row>
    <row r="672" spans="1:42" ht="10.4" customHeight="1">
      <c r="D672" s="2028"/>
      <c r="E672" s="2028"/>
      <c r="F672" s="2028"/>
      <c r="G672" s="2028"/>
      <c r="H672" s="2028"/>
      <c r="I672" s="2028"/>
      <c r="J672" s="2028"/>
      <c r="K672" s="2028"/>
      <c r="L672" s="2028"/>
      <c r="M672" s="2028"/>
      <c r="N672" s="2028"/>
      <c r="O672" s="2028"/>
      <c r="P672" s="2028"/>
      <c r="Q672" s="2028"/>
      <c r="R672" s="2028"/>
      <c r="S672" s="2028"/>
      <c r="T672" s="2028"/>
      <c r="U672" s="2028"/>
      <c r="V672" s="2028"/>
      <c r="W672" s="2028"/>
      <c r="X672" s="2028"/>
      <c r="Y672" s="2028"/>
      <c r="Z672" s="2028"/>
      <c r="AA672" s="2028"/>
      <c r="AB672" s="2028"/>
      <c r="AC672" s="2028"/>
      <c r="AD672" s="2028"/>
      <c r="AE672" s="2028"/>
      <c r="AF672" s="2028"/>
      <c r="AG672" s="2028"/>
    </row>
    <row r="673" spans="4:33" ht="10.4" customHeight="1">
      <c r="D673" s="2028"/>
      <c r="E673" s="2028"/>
      <c r="F673" s="2028"/>
      <c r="G673" s="2028"/>
      <c r="H673" s="2028"/>
      <c r="I673" s="2028"/>
      <c r="J673" s="2028"/>
      <c r="K673" s="2028"/>
      <c r="L673" s="2028"/>
      <c r="M673" s="2028"/>
      <c r="N673" s="2028"/>
      <c r="O673" s="2028"/>
      <c r="P673" s="2028"/>
      <c r="Q673" s="2028"/>
      <c r="R673" s="2028"/>
      <c r="S673" s="2028"/>
      <c r="T673" s="2028"/>
      <c r="U673" s="2028"/>
      <c r="V673" s="2028"/>
      <c r="W673" s="2028"/>
      <c r="X673" s="2028"/>
      <c r="Y673" s="2028"/>
      <c r="Z673" s="2028"/>
      <c r="AA673" s="2028"/>
      <c r="AB673" s="2028"/>
      <c r="AC673" s="2028"/>
      <c r="AD673" s="2028"/>
      <c r="AE673" s="2028"/>
      <c r="AF673" s="2028"/>
      <c r="AG673" s="2028"/>
    </row>
    <row r="674" spans="4:33" ht="10.4" customHeight="1">
      <c r="D674" s="2028"/>
      <c r="E674" s="2028"/>
      <c r="F674" s="2028"/>
      <c r="G674" s="2028"/>
      <c r="H674" s="2028"/>
      <c r="I674" s="2028"/>
      <c r="J674" s="2028"/>
      <c r="K674" s="2028"/>
      <c r="L674" s="2028"/>
      <c r="M674" s="2028"/>
      <c r="N674" s="2028"/>
      <c r="O674" s="2028"/>
      <c r="P674" s="2028"/>
      <c r="Q674" s="2028"/>
      <c r="R674" s="2028"/>
      <c r="S674" s="2028"/>
      <c r="T674" s="2028"/>
      <c r="U674" s="2028"/>
      <c r="V674" s="2028"/>
      <c r="W674" s="2028"/>
      <c r="X674" s="2028"/>
      <c r="Y674" s="2028"/>
      <c r="Z674" s="2028"/>
      <c r="AA674" s="2028"/>
      <c r="AB674" s="2028"/>
      <c r="AC674" s="2028"/>
      <c r="AD674" s="2028"/>
      <c r="AE674" s="2028"/>
      <c r="AF674" s="2028"/>
      <c r="AG674" s="2028"/>
    </row>
    <row r="675" spans="4:33" ht="10.4" customHeight="1">
      <c r="D675" s="2028"/>
      <c r="E675" s="2028"/>
      <c r="F675" s="2028"/>
      <c r="G675" s="2028"/>
      <c r="H675" s="2028"/>
      <c r="I675" s="2028"/>
      <c r="J675" s="2028"/>
      <c r="K675" s="2028"/>
      <c r="L675" s="2028"/>
      <c r="M675" s="2028"/>
      <c r="N675" s="2028"/>
      <c r="O675" s="2028"/>
      <c r="P675" s="2028"/>
      <c r="Q675" s="2028"/>
      <c r="R675" s="2028"/>
      <c r="S675" s="2028"/>
      <c r="T675" s="2028"/>
      <c r="U675" s="2028"/>
      <c r="V675" s="2028"/>
      <c r="W675" s="2028"/>
      <c r="X675" s="2028"/>
      <c r="Y675" s="2028"/>
      <c r="Z675" s="2028"/>
      <c r="AA675" s="2028"/>
      <c r="AB675" s="2028"/>
      <c r="AC675" s="2028"/>
      <c r="AD675" s="2028"/>
      <c r="AE675" s="2028"/>
      <c r="AF675" s="2028"/>
      <c r="AG675" s="2028"/>
    </row>
    <row r="676" spans="4:33" ht="10.4" customHeight="1">
      <c r="D676" s="2028"/>
      <c r="E676" s="2028"/>
      <c r="F676" s="2028"/>
      <c r="G676" s="2028"/>
      <c r="H676" s="2028"/>
      <c r="I676" s="2028"/>
      <c r="J676" s="2028"/>
      <c r="K676" s="2028"/>
      <c r="L676" s="2028"/>
      <c r="M676" s="2028"/>
      <c r="N676" s="2028"/>
      <c r="O676" s="2028"/>
      <c r="P676" s="2028"/>
      <c r="Q676" s="2028"/>
      <c r="R676" s="2028"/>
      <c r="S676" s="2028"/>
      <c r="T676" s="2028"/>
      <c r="U676" s="2028"/>
      <c r="V676" s="2028"/>
      <c r="W676" s="2028"/>
      <c r="X676" s="2028"/>
      <c r="Y676" s="2028"/>
      <c r="Z676" s="2028"/>
      <c r="AA676" s="2028"/>
      <c r="AB676" s="2028"/>
      <c r="AC676" s="2028"/>
      <c r="AD676" s="2028"/>
      <c r="AE676" s="2028"/>
      <c r="AF676" s="2028"/>
      <c r="AG676" s="2028"/>
    </row>
    <row r="677" spans="4:33" ht="10.4" customHeight="1">
      <c r="D677" s="2028"/>
      <c r="E677" s="2028"/>
      <c r="F677" s="2028"/>
      <c r="G677" s="2028"/>
      <c r="H677" s="2028"/>
      <c r="I677" s="2028"/>
      <c r="J677" s="2028"/>
      <c r="K677" s="2028"/>
      <c r="L677" s="2028"/>
      <c r="M677" s="2028"/>
      <c r="N677" s="2028"/>
      <c r="O677" s="2028"/>
      <c r="P677" s="2028"/>
      <c r="Q677" s="2028"/>
      <c r="R677" s="2028"/>
      <c r="S677" s="2028"/>
      <c r="T677" s="2028"/>
      <c r="U677" s="2028"/>
      <c r="V677" s="2028"/>
      <c r="W677" s="2028"/>
      <c r="X677" s="2028"/>
      <c r="Y677" s="2028"/>
      <c r="Z677" s="2028"/>
      <c r="AA677" s="2028"/>
      <c r="AB677" s="2028"/>
      <c r="AC677" s="2028"/>
      <c r="AD677" s="2028"/>
      <c r="AE677" s="2028"/>
      <c r="AF677" s="2028"/>
      <c r="AG677" s="2028"/>
    </row>
    <row r="678" spans="4:33" ht="10.4" customHeight="1">
      <c r="D678" s="2028"/>
      <c r="E678" s="2028"/>
      <c r="F678" s="2028"/>
      <c r="G678" s="2028"/>
      <c r="H678" s="2028"/>
      <c r="I678" s="2028"/>
      <c r="J678" s="2028"/>
      <c r="K678" s="2028"/>
      <c r="L678" s="2028"/>
      <c r="M678" s="2028"/>
      <c r="N678" s="2028"/>
      <c r="O678" s="2028"/>
      <c r="P678" s="2028"/>
      <c r="Q678" s="2028"/>
      <c r="R678" s="2028"/>
      <c r="S678" s="2028"/>
      <c r="T678" s="2028"/>
      <c r="U678" s="2028"/>
      <c r="V678" s="2028"/>
      <c r="W678" s="2028"/>
      <c r="X678" s="2028"/>
      <c r="Y678" s="2028"/>
      <c r="Z678" s="2028"/>
      <c r="AA678" s="2028"/>
      <c r="AB678" s="2028"/>
      <c r="AC678" s="2028"/>
      <c r="AD678" s="2028"/>
      <c r="AE678" s="2028"/>
      <c r="AF678" s="2028"/>
      <c r="AG678" s="2028"/>
    </row>
    <row r="679" spans="4:33" ht="10.4" customHeight="1">
      <c r="D679" s="2028"/>
      <c r="E679" s="2028"/>
      <c r="F679" s="2028"/>
      <c r="G679" s="2028"/>
      <c r="H679" s="2028"/>
      <c r="I679" s="2028"/>
      <c r="J679" s="2028"/>
      <c r="K679" s="2028"/>
      <c r="L679" s="2028"/>
      <c r="M679" s="2028"/>
      <c r="N679" s="2028"/>
      <c r="O679" s="2028"/>
      <c r="P679" s="2028"/>
      <c r="Q679" s="2028"/>
      <c r="R679" s="2028"/>
      <c r="S679" s="2028"/>
      <c r="T679" s="2028"/>
      <c r="U679" s="2028"/>
      <c r="V679" s="2028"/>
      <c r="W679" s="2028"/>
      <c r="X679" s="2028"/>
      <c r="Y679" s="2028"/>
      <c r="Z679" s="2028"/>
      <c r="AA679" s="2028"/>
      <c r="AB679" s="2028"/>
      <c r="AC679" s="2028"/>
      <c r="AD679" s="2028"/>
      <c r="AE679" s="2028"/>
      <c r="AF679" s="2028"/>
      <c r="AG679" s="2028"/>
    </row>
    <row r="680" spans="4:33" ht="10.4" customHeight="1">
      <c r="D680" s="2028"/>
      <c r="E680" s="2028"/>
      <c r="F680" s="2028"/>
      <c r="G680" s="2028"/>
      <c r="H680" s="2028"/>
      <c r="I680" s="2028"/>
      <c r="J680" s="2028"/>
      <c r="K680" s="2028"/>
      <c r="L680" s="2028"/>
      <c r="M680" s="2028"/>
      <c r="N680" s="2028"/>
      <c r="O680" s="2028"/>
      <c r="P680" s="2028"/>
      <c r="Q680" s="2028"/>
      <c r="R680" s="2028"/>
      <c r="S680" s="2028"/>
      <c r="T680" s="2028"/>
      <c r="U680" s="2028"/>
      <c r="V680" s="2028"/>
      <c r="W680" s="2028"/>
      <c r="X680" s="2028"/>
      <c r="Y680" s="2028"/>
      <c r="Z680" s="2028"/>
      <c r="AA680" s="2028"/>
      <c r="AB680" s="2028"/>
      <c r="AC680" s="2028"/>
      <c r="AD680" s="2028"/>
      <c r="AE680" s="2028"/>
      <c r="AF680" s="2028"/>
      <c r="AG680" s="2028"/>
    </row>
    <row r="681" spans="4:33" ht="10.4" customHeight="1">
      <c r="D681" s="2028"/>
      <c r="E681" s="2028"/>
      <c r="F681" s="2028"/>
      <c r="G681" s="2028"/>
      <c r="H681" s="2028"/>
      <c r="I681" s="2028"/>
      <c r="J681" s="2028"/>
      <c r="K681" s="2028"/>
      <c r="L681" s="2028"/>
      <c r="M681" s="2028"/>
      <c r="N681" s="2028"/>
      <c r="O681" s="2028"/>
      <c r="P681" s="2028"/>
      <c r="Q681" s="2028"/>
      <c r="R681" s="2028"/>
      <c r="S681" s="2028"/>
      <c r="T681" s="2028"/>
      <c r="U681" s="2028"/>
      <c r="V681" s="2028"/>
      <c r="W681" s="2028"/>
      <c r="X681" s="2028"/>
      <c r="Y681" s="2028"/>
      <c r="Z681" s="2028"/>
      <c r="AA681" s="2028"/>
      <c r="AB681" s="2028"/>
      <c r="AC681" s="2028"/>
      <c r="AD681" s="2028"/>
      <c r="AE681" s="2028"/>
      <c r="AF681" s="2028"/>
      <c r="AG681" s="2028"/>
    </row>
    <row r="682" spans="4:33" ht="10.4" customHeight="1">
      <c r="D682" s="2028"/>
      <c r="E682" s="2028"/>
      <c r="F682" s="2028"/>
      <c r="G682" s="2028"/>
      <c r="H682" s="2028"/>
      <c r="I682" s="2028"/>
      <c r="J682" s="2028"/>
      <c r="K682" s="2028"/>
      <c r="L682" s="2028"/>
      <c r="M682" s="2028"/>
      <c r="N682" s="2028"/>
      <c r="O682" s="2028"/>
      <c r="P682" s="2028"/>
      <c r="Q682" s="2028"/>
      <c r="R682" s="2028"/>
      <c r="S682" s="2028"/>
      <c r="T682" s="2028"/>
      <c r="U682" s="2028"/>
      <c r="V682" s="2028"/>
      <c r="W682" s="2028"/>
      <c r="X682" s="2028"/>
      <c r="Y682" s="2028"/>
      <c r="Z682" s="2028"/>
      <c r="AA682" s="2028"/>
      <c r="AB682" s="2028"/>
      <c r="AC682" s="2028"/>
      <c r="AD682" s="2028"/>
      <c r="AE682" s="2028"/>
      <c r="AF682" s="2028"/>
      <c r="AG682" s="2028"/>
    </row>
    <row r="683" spans="4:33" ht="10.4" customHeight="1">
      <c r="D683" s="2028"/>
      <c r="E683" s="2028"/>
      <c r="F683" s="2028"/>
      <c r="G683" s="2028"/>
      <c r="H683" s="2028"/>
      <c r="I683" s="2028"/>
      <c r="J683" s="2028"/>
      <c r="K683" s="2028"/>
      <c r="L683" s="2028"/>
      <c r="M683" s="2028"/>
      <c r="N683" s="2028"/>
      <c r="O683" s="2028"/>
      <c r="P683" s="2028"/>
      <c r="Q683" s="2028"/>
      <c r="R683" s="2028"/>
      <c r="S683" s="2028"/>
      <c r="T683" s="2028"/>
      <c r="U683" s="2028"/>
      <c r="V683" s="2028"/>
      <c r="W683" s="2028"/>
      <c r="X683" s="2028"/>
      <c r="Y683" s="2028"/>
      <c r="Z683" s="2028"/>
      <c r="AA683" s="2028"/>
      <c r="AB683" s="2028"/>
      <c r="AC683" s="2028"/>
      <c r="AD683" s="2028"/>
      <c r="AE683" s="2028"/>
      <c r="AF683" s="2028"/>
      <c r="AG683" s="2028"/>
    </row>
    <row r="684" spans="4:33" ht="10.4" customHeight="1">
      <c r="D684" s="2028"/>
      <c r="E684" s="2028"/>
      <c r="F684" s="2028"/>
      <c r="G684" s="2028"/>
      <c r="H684" s="2028"/>
      <c r="I684" s="2028"/>
      <c r="J684" s="2028"/>
      <c r="K684" s="2028"/>
      <c r="L684" s="2028"/>
      <c r="M684" s="2028"/>
      <c r="N684" s="2028"/>
      <c r="O684" s="2028"/>
      <c r="P684" s="2028"/>
      <c r="Q684" s="2028"/>
      <c r="R684" s="2028"/>
      <c r="S684" s="2028"/>
      <c r="T684" s="2028"/>
      <c r="U684" s="2028"/>
      <c r="V684" s="2028"/>
      <c r="W684" s="2028"/>
      <c r="X684" s="2028"/>
      <c r="Y684" s="2028"/>
      <c r="Z684" s="2028"/>
      <c r="AA684" s="2028"/>
      <c r="AB684" s="2028"/>
      <c r="AC684" s="2028"/>
      <c r="AD684" s="2028"/>
      <c r="AE684" s="2028"/>
      <c r="AF684" s="2028"/>
      <c r="AG684" s="2028"/>
    </row>
    <row r="685" spans="4:33" ht="10.4" customHeight="1">
      <c r="D685" s="2028"/>
      <c r="E685" s="2028"/>
      <c r="F685" s="2028"/>
      <c r="G685" s="2028"/>
      <c r="H685" s="2028"/>
      <c r="I685" s="2028"/>
      <c r="J685" s="2028"/>
      <c r="K685" s="2028"/>
      <c r="L685" s="2028"/>
      <c r="M685" s="2028"/>
      <c r="N685" s="2028"/>
      <c r="O685" s="2028"/>
      <c r="P685" s="2028"/>
      <c r="Q685" s="2028"/>
      <c r="R685" s="2028"/>
      <c r="S685" s="2028"/>
      <c r="T685" s="2028"/>
      <c r="U685" s="2028"/>
      <c r="V685" s="2028"/>
      <c r="W685" s="2028"/>
      <c r="X685" s="2028"/>
      <c r="Y685" s="2028"/>
      <c r="Z685" s="2028"/>
      <c r="AA685" s="2028"/>
      <c r="AB685" s="2028"/>
      <c r="AC685" s="2028"/>
      <c r="AD685" s="2028"/>
      <c r="AE685" s="2028"/>
      <c r="AF685" s="2028"/>
      <c r="AG685" s="2028"/>
    </row>
    <row r="686" spans="4:33" ht="10.4" customHeight="1">
      <c r="D686" s="2028"/>
      <c r="E686" s="2028"/>
      <c r="F686" s="2028"/>
      <c r="G686" s="2028"/>
      <c r="H686" s="2028"/>
      <c r="I686" s="2028"/>
      <c r="J686" s="2028"/>
      <c r="K686" s="2028"/>
      <c r="L686" s="2028"/>
      <c r="M686" s="2028"/>
      <c r="N686" s="2028"/>
      <c r="O686" s="2028"/>
      <c r="P686" s="2028"/>
      <c r="Q686" s="2028"/>
      <c r="R686" s="2028"/>
      <c r="S686" s="2028"/>
      <c r="T686" s="2028"/>
      <c r="U686" s="2028"/>
      <c r="V686" s="2028"/>
      <c r="W686" s="2028"/>
      <c r="X686" s="2028"/>
      <c r="Y686" s="2028"/>
      <c r="Z686" s="2028"/>
      <c r="AA686" s="2028"/>
      <c r="AB686" s="2028"/>
      <c r="AC686" s="2028"/>
      <c r="AD686" s="2028"/>
      <c r="AE686" s="2028"/>
      <c r="AF686" s="2028"/>
      <c r="AG686" s="2028"/>
    </row>
    <row r="687" spans="4:33" ht="10.4" customHeight="1">
      <c r="D687" s="2028"/>
      <c r="E687" s="2028"/>
      <c r="F687" s="2028"/>
      <c r="G687" s="2028"/>
      <c r="H687" s="2028"/>
      <c r="I687" s="2028"/>
      <c r="J687" s="2028"/>
      <c r="K687" s="2028"/>
      <c r="L687" s="2028"/>
      <c r="M687" s="2028"/>
      <c r="N687" s="2028"/>
      <c r="O687" s="2028"/>
      <c r="P687" s="2028"/>
      <c r="Q687" s="2028"/>
      <c r="R687" s="2028"/>
      <c r="S687" s="2028"/>
      <c r="T687" s="2028"/>
      <c r="U687" s="2028"/>
      <c r="V687" s="2028"/>
      <c r="W687" s="2028"/>
      <c r="X687" s="2028"/>
      <c r="Y687" s="2028"/>
      <c r="Z687" s="2028"/>
      <c r="AA687" s="2028"/>
      <c r="AB687" s="2028"/>
      <c r="AC687" s="2028"/>
      <c r="AD687" s="2028"/>
      <c r="AE687" s="2028"/>
      <c r="AF687" s="2028"/>
      <c r="AG687" s="2028"/>
    </row>
    <row r="688" spans="4:33" ht="12" customHeight="1">
      <c r="D688" s="1559"/>
      <c r="E688" s="1559"/>
      <c r="F688" s="1559"/>
      <c r="G688" s="1559"/>
      <c r="H688" s="1559"/>
      <c r="I688" s="1559"/>
      <c r="J688" s="1559"/>
      <c r="K688" s="1559"/>
      <c r="L688" s="1559"/>
      <c r="M688" s="1559"/>
      <c r="N688" s="1559"/>
      <c r="O688" s="1559"/>
      <c r="P688" s="1559"/>
      <c r="Q688" s="1559"/>
      <c r="R688" s="1559"/>
      <c r="S688" s="1559"/>
      <c r="T688" s="1559"/>
      <c r="U688" s="1559"/>
      <c r="V688" s="1559"/>
      <c r="W688" s="1559"/>
      <c r="X688" s="1559"/>
      <c r="Y688" s="1559"/>
      <c r="Z688" s="1559"/>
      <c r="AA688" s="1559"/>
      <c r="AB688" s="1559"/>
      <c r="AC688" s="1559"/>
      <c r="AD688" s="1559"/>
      <c r="AE688" s="1559"/>
      <c r="AF688" s="1559"/>
      <c r="AG688" s="1559"/>
    </row>
    <row r="689" spans="1:33" ht="12" customHeight="1">
      <c r="D689" s="2019" t="s">
        <v>3056</v>
      </c>
      <c r="E689" s="2019"/>
      <c r="F689" s="2019"/>
      <c r="G689" s="2019"/>
      <c r="H689" s="2019"/>
      <c r="I689" s="2019"/>
      <c r="J689" s="2019"/>
      <c r="K689" s="2019"/>
      <c r="L689" s="2019"/>
      <c r="M689" s="2019"/>
      <c r="N689" s="2019"/>
      <c r="O689" s="2019"/>
      <c r="P689" s="2019"/>
      <c r="Q689" s="2019"/>
      <c r="R689" s="2019"/>
      <c r="S689" s="2019"/>
      <c r="T689" s="2019"/>
      <c r="U689" s="2019"/>
      <c r="V689" s="2019"/>
      <c r="W689" s="2019"/>
      <c r="X689" s="2019"/>
      <c r="Y689" s="2019"/>
      <c r="Z689" s="2019"/>
      <c r="AA689" s="2019"/>
      <c r="AB689" s="2019"/>
      <c r="AC689" s="2019"/>
      <c r="AD689" s="2019"/>
      <c r="AE689" s="2019"/>
      <c r="AF689" s="1554"/>
      <c r="AG689" s="1554"/>
    </row>
    <row r="690" spans="1:33" ht="12" customHeight="1" thickBot="1">
      <c r="D690" s="1567"/>
      <c r="E690" s="1567"/>
      <c r="F690" s="1567"/>
      <c r="G690" s="1567"/>
      <c r="H690" s="1567"/>
      <c r="I690" s="1567"/>
      <c r="J690" s="1567"/>
      <c r="K690" s="1567"/>
      <c r="L690" s="1567"/>
      <c r="M690" s="1567"/>
      <c r="N690" s="1567"/>
      <c r="O690" s="1567"/>
      <c r="P690" s="1567"/>
      <c r="Q690" s="1567"/>
      <c r="R690" s="1567"/>
      <c r="S690" s="1567"/>
      <c r="T690" s="1567"/>
      <c r="U690" s="1567"/>
      <c r="V690" s="1567"/>
      <c r="W690" s="1567"/>
      <c r="X690" s="1567"/>
      <c r="Y690" s="1567"/>
      <c r="Z690" s="1567"/>
      <c r="AA690" s="1567"/>
      <c r="AB690" s="1567"/>
      <c r="AC690" s="1567"/>
      <c r="AD690" s="1567"/>
      <c r="AE690" s="1567"/>
      <c r="AF690" s="1554"/>
      <c r="AG690" s="1554"/>
    </row>
    <row r="691" spans="1:33" ht="12" customHeight="1" thickBot="1">
      <c r="D691" s="2020" t="s">
        <v>131</v>
      </c>
      <c r="E691" s="2021"/>
      <c r="F691" s="2021"/>
      <c r="G691" s="2021"/>
      <c r="H691" s="2021"/>
      <c r="I691" s="2021"/>
      <c r="J691" s="2021"/>
      <c r="K691" s="2021"/>
      <c r="L691" s="2021"/>
      <c r="M691" s="2022"/>
      <c r="N691" s="2020" t="s">
        <v>2</v>
      </c>
      <c r="O691" s="2021"/>
      <c r="P691" s="2021"/>
      <c r="Q691" s="2021"/>
      <c r="R691" s="2021"/>
      <c r="S691" s="2021"/>
      <c r="T691" s="2021"/>
      <c r="U691" s="2021"/>
      <c r="V691" s="2021"/>
      <c r="W691" s="2022"/>
      <c r="X691" s="2020" t="s">
        <v>3</v>
      </c>
      <c r="Y691" s="2021"/>
      <c r="Z691" s="2021"/>
      <c r="AA691" s="2021"/>
      <c r="AB691" s="2021"/>
      <c r="AC691" s="2021"/>
      <c r="AD691" s="2021"/>
      <c r="AE691" s="2021"/>
      <c r="AF691" s="2021"/>
      <c r="AG691" s="2022"/>
    </row>
    <row r="692" spans="1:33" ht="12" customHeight="1">
      <c r="D692" s="2023" t="s">
        <v>3057</v>
      </c>
      <c r="E692" s="2024"/>
      <c r="F692" s="2024"/>
      <c r="G692" s="2024"/>
      <c r="H692" s="2024"/>
      <c r="I692" s="2024"/>
      <c r="J692" s="2024"/>
      <c r="K692" s="2024"/>
      <c r="L692" s="2024"/>
      <c r="M692" s="2025"/>
      <c r="N692" s="2026">
        <f>9138+6960+111130</f>
        <v>127228</v>
      </c>
      <c r="O692" s="2027"/>
      <c r="P692" s="2027"/>
      <c r="Q692" s="2027"/>
      <c r="R692" s="2027"/>
      <c r="S692" s="2027"/>
      <c r="T692" s="2027"/>
      <c r="U692" s="2027"/>
      <c r="V692" s="2027"/>
      <c r="W692" s="2027"/>
      <c r="X692" s="2026">
        <f>6336+6960+222812</f>
        <v>236108</v>
      </c>
      <c r="Y692" s="2027"/>
      <c r="Z692" s="2027"/>
      <c r="AA692" s="2027"/>
      <c r="AB692" s="2027"/>
      <c r="AC692" s="2027"/>
      <c r="AD692" s="2027"/>
      <c r="AE692" s="2027"/>
      <c r="AF692" s="2027"/>
      <c r="AG692" s="2027"/>
    </row>
    <row r="693" spans="1:33" ht="12" customHeight="1">
      <c r="D693" s="1568"/>
      <c r="E693" s="1569"/>
      <c r="F693" s="1569"/>
      <c r="G693" s="1556"/>
      <c r="H693" s="1556"/>
      <c r="I693" s="1556"/>
      <c r="J693" s="1556"/>
      <c r="K693" s="1556"/>
      <c r="L693" s="1556"/>
      <c r="M693" s="1556"/>
      <c r="N693" s="1556"/>
      <c r="O693" s="1556"/>
      <c r="P693" s="1556"/>
      <c r="Q693" s="1556"/>
      <c r="R693" s="1556"/>
      <c r="S693" s="1556"/>
      <c r="T693" s="1556"/>
      <c r="U693" s="1556"/>
      <c r="V693" s="1556"/>
      <c r="W693" s="1556"/>
      <c r="X693" s="1556"/>
      <c r="Y693" s="1556"/>
      <c r="Z693" s="1556"/>
      <c r="AA693" s="1556"/>
      <c r="AB693" s="1556"/>
      <c r="AC693" s="1556"/>
      <c r="AD693" s="1556"/>
      <c r="AE693" s="1556"/>
      <c r="AF693" s="1556"/>
      <c r="AG693" s="1556"/>
    </row>
    <row r="694" spans="1:33" ht="12" customHeight="1">
      <c r="D694" s="1521" t="s">
        <v>3088</v>
      </c>
      <c r="E694" s="1556"/>
      <c r="F694" s="1556"/>
      <c r="G694" s="1556"/>
      <c r="H694" s="1556"/>
      <c r="I694" s="1556"/>
      <c r="J694" s="1556"/>
      <c r="K694" s="1556"/>
      <c r="L694" s="1556"/>
      <c r="M694" s="1556"/>
      <c r="N694" s="1556"/>
      <c r="O694" s="1556"/>
      <c r="P694" s="1556"/>
      <c r="Q694" s="1556"/>
      <c r="R694" s="1556"/>
      <c r="S694" s="1556"/>
      <c r="T694" s="1556"/>
      <c r="U694" s="1556"/>
      <c r="V694" s="1556"/>
      <c r="W694" s="1556"/>
      <c r="X694" s="1556"/>
      <c r="Y694" s="1556"/>
      <c r="Z694" s="1556"/>
      <c r="AA694" s="1556"/>
      <c r="AB694" s="1556"/>
      <c r="AC694" s="1556"/>
      <c r="AD694" s="1556"/>
      <c r="AE694" s="1556"/>
      <c r="AF694" s="1556"/>
      <c r="AG694" s="1556"/>
    </row>
    <row r="695" spans="1:33" ht="12" customHeight="1">
      <c r="D695" s="908"/>
      <c r="E695" s="1554"/>
      <c r="F695" s="1554"/>
      <c r="G695" s="1554"/>
      <c r="H695" s="1554"/>
      <c r="I695" s="1554"/>
      <c r="J695" s="1554"/>
      <c r="K695" s="1554"/>
      <c r="L695" s="1554"/>
      <c r="M695" s="1554"/>
      <c r="N695" s="1554"/>
      <c r="O695" s="1554"/>
      <c r="P695" s="1554"/>
      <c r="Q695" s="1554"/>
      <c r="R695" s="1554"/>
      <c r="S695" s="1554"/>
      <c r="T695" s="1554"/>
      <c r="U695" s="1554"/>
      <c r="V695" s="1554"/>
      <c r="W695" s="1554"/>
      <c r="X695" s="1554"/>
      <c r="Y695" s="1554"/>
      <c r="Z695" s="1554"/>
      <c r="AA695" s="1554"/>
      <c r="AB695" s="1554"/>
      <c r="AC695" s="1554"/>
      <c r="AD695" s="1554"/>
      <c r="AE695" s="1554"/>
      <c r="AF695" s="1554"/>
      <c r="AG695" s="1554"/>
    </row>
    <row r="696" spans="1:33" s="786" customFormat="1" ht="10.5" customHeight="1">
      <c r="A696" s="784"/>
      <c r="D696" s="1528"/>
      <c r="E696" s="1528"/>
      <c r="F696" s="1528"/>
      <c r="G696" s="1528"/>
      <c r="H696" s="1528"/>
      <c r="I696" s="1528"/>
      <c r="J696" s="1528"/>
      <c r="K696" s="1528"/>
      <c r="L696" s="1528"/>
      <c r="M696" s="1528"/>
      <c r="N696" s="1528"/>
      <c r="O696" s="1528"/>
      <c r="P696" s="1528"/>
      <c r="Q696" s="1528"/>
      <c r="R696" s="1528"/>
      <c r="S696" s="1528"/>
      <c r="T696" s="1528"/>
      <c r="U696" s="1528"/>
      <c r="V696" s="1528"/>
      <c r="W696" s="1528"/>
      <c r="X696" s="1528"/>
      <c r="Y696" s="1528"/>
      <c r="Z696" s="1528"/>
      <c r="AA696" s="1528"/>
      <c r="AB696" s="1528"/>
      <c r="AC696" s="1528"/>
      <c r="AD696" s="1528"/>
      <c r="AE696" s="1528"/>
      <c r="AF696" s="1528"/>
      <c r="AG696" s="1528"/>
    </row>
    <row r="697" spans="1:33" ht="14.25" customHeight="1">
      <c r="D697" s="582" t="s">
        <v>2942</v>
      </c>
    </row>
    <row r="698" spans="1:33" ht="14.25" customHeight="1">
      <c r="D698" s="786"/>
      <c r="E698" s="786"/>
      <c r="F698" s="786"/>
      <c r="G698" s="786"/>
      <c r="H698" s="786"/>
      <c r="I698" s="786"/>
      <c r="J698" s="786"/>
      <c r="K698" s="786"/>
      <c r="L698" s="786"/>
      <c r="M698" s="786"/>
      <c r="N698" s="786"/>
      <c r="O698" s="786"/>
      <c r="P698" s="786"/>
      <c r="Q698" s="786"/>
      <c r="R698" s="786"/>
      <c r="S698" s="786"/>
      <c r="T698" s="786"/>
      <c r="U698" s="786"/>
      <c r="V698" s="786"/>
      <c r="W698" s="786"/>
      <c r="X698" s="786"/>
      <c r="Y698" s="786"/>
      <c r="Z698" s="786"/>
      <c r="AA698" s="786"/>
      <c r="AB698" s="786"/>
      <c r="AC698" s="786"/>
      <c r="AD698" s="786"/>
      <c r="AE698" s="786"/>
      <c r="AF698" s="786"/>
      <c r="AG698" s="786"/>
    </row>
    <row r="699" spans="1:33" ht="14.25" customHeight="1">
      <c r="D699" s="1978" t="s">
        <v>1381</v>
      </c>
      <c r="E699" s="1978"/>
      <c r="F699" s="1978"/>
      <c r="G699" s="1978"/>
      <c r="H699" s="1978"/>
      <c r="I699" s="1978"/>
      <c r="J699" s="1978"/>
      <c r="K699" s="1978"/>
      <c r="L699" s="1978"/>
      <c r="M699" s="1978"/>
      <c r="N699" s="1978"/>
      <c r="O699" s="1978"/>
      <c r="P699" s="1978"/>
      <c r="Q699" s="1978"/>
      <c r="R699" s="1978"/>
      <c r="S699" s="1978"/>
      <c r="T699" s="1978"/>
      <c r="U699" s="1978"/>
      <c r="V699" s="1978"/>
      <c r="W699" s="1978"/>
      <c r="X699" s="1978"/>
      <c r="Y699" s="1978"/>
      <c r="Z699" s="1978"/>
      <c r="AA699" s="1978"/>
      <c r="AB699" s="1978"/>
      <c r="AC699" s="1978"/>
      <c r="AD699" s="1978"/>
      <c r="AE699" s="1978"/>
      <c r="AF699" s="1978"/>
      <c r="AG699" s="1978"/>
    </row>
    <row r="701" spans="1:33" ht="14.25" customHeight="1">
      <c r="D701" s="1886" t="s">
        <v>1382</v>
      </c>
      <c r="E701" s="1886"/>
      <c r="F701" s="1886"/>
      <c r="G701" s="1886"/>
      <c r="H701" s="1886"/>
      <c r="I701" s="1886"/>
      <c r="J701" s="1886"/>
      <c r="K701" s="1886"/>
      <c r="L701" s="1886"/>
      <c r="M701" s="1886"/>
      <c r="N701" s="1886"/>
      <c r="O701" s="1886"/>
      <c r="P701" s="1886"/>
      <c r="Q701" s="1886"/>
      <c r="R701" s="1886"/>
      <c r="S701" s="1886"/>
      <c r="T701" s="1886"/>
      <c r="U701" s="1886"/>
      <c r="V701" s="1886"/>
      <c r="W701" s="1886"/>
      <c r="X701" s="1886"/>
      <c r="Y701" s="1886"/>
      <c r="Z701" s="1886"/>
      <c r="AA701" s="1886"/>
      <c r="AB701" s="1886"/>
      <c r="AC701" s="1886"/>
      <c r="AD701" s="1886"/>
      <c r="AE701" s="1886"/>
      <c r="AF701" s="1886"/>
      <c r="AG701" s="1886"/>
    </row>
    <row r="702" spans="1:33" ht="14.25" customHeight="1" thickBot="1"/>
    <row r="703" spans="1:33" ht="21.75" customHeight="1" thickBot="1">
      <c r="D703" s="1921" t="s">
        <v>275</v>
      </c>
      <c r="E703" s="1921"/>
      <c r="F703" s="1921"/>
      <c r="G703" s="1921"/>
      <c r="H703" s="1921"/>
      <c r="I703" s="1921"/>
      <c r="J703" s="1851" t="s">
        <v>91</v>
      </c>
      <c r="K703" s="1851"/>
      <c r="L703" s="1851"/>
      <c r="M703" s="1851"/>
      <c r="N703" s="1851"/>
      <c r="O703" s="1851"/>
      <c r="P703" s="1851"/>
      <c r="Q703" s="1851"/>
      <c r="R703" s="1851" t="s">
        <v>93</v>
      </c>
      <c r="S703" s="1851"/>
      <c r="T703" s="1851"/>
      <c r="U703" s="1851"/>
      <c r="V703" s="1851"/>
      <c r="W703" s="1851"/>
      <c r="X703" s="1851"/>
      <c r="Y703" s="1851"/>
      <c r="Z703" s="1851" t="s">
        <v>2746</v>
      </c>
      <c r="AA703" s="1851"/>
      <c r="AB703" s="1851"/>
      <c r="AC703" s="1851"/>
      <c r="AD703" s="1851"/>
      <c r="AE703" s="1851"/>
      <c r="AF703" s="1851"/>
      <c r="AG703" s="1851"/>
    </row>
    <row r="704" spans="1:33" ht="49.5" customHeight="1" thickBot="1">
      <c r="D704" s="1921"/>
      <c r="E704" s="1921"/>
      <c r="F704" s="1921"/>
      <c r="G704" s="1921"/>
      <c r="H704" s="1921"/>
      <c r="I704" s="1921"/>
      <c r="J704" s="1851" t="s">
        <v>2</v>
      </c>
      <c r="K704" s="1851"/>
      <c r="L704" s="1851"/>
      <c r="M704" s="1851"/>
      <c r="N704" s="1851" t="s">
        <v>484</v>
      </c>
      <c r="O704" s="1851"/>
      <c r="P704" s="1851"/>
      <c r="Q704" s="1851"/>
      <c r="R704" s="1851" t="s">
        <v>2</v>
      </c>
      <c r="S704" s="1851"/>
      <c r="T704" s="1851"/>
      <c r="U704" s="1851"/>
      <c r="V704" s="1851" t="s">
        <v>484</v>
      </c>
      <c r="W704" s="1851"/>
      <c r="X704" s="1851"/>
      <c r="Y704" s="1851"/>
      <c r="Z704" s="1851" t="s">
        <v>2</v>
      </c>
      <c r="AA704" s="1851"/>
      <c r="AB704" s="1851"/>
      <c r="AC704" s="1851"/>
      <c r="AD704" s="1851" t="s">
        <v>484</v>
      </c>
      <c r="AE704" s="1851"/>
      <c r="AF704" s="1851"/>
      <c r="AG704" s="1851"/>
    </row>
    <row r="705" spans="4:45" ht="14.25" customHeight="1">
      <c r="D705" s="1896" t="s">
        <v>2744</v>
      </c>
      <c r="E705" s="1897"/>
      <c r="F705" s="1897"/>
      <c r="G705" s="1897"/>
      <c r="H705" s="1897"/>
      <c r="I705" s="1898"/>
      <c r="J705" s="1829">
        <v>981303</v>
      </c>
      <c r="K705" s="1830"/>
      <c r="L705" s="1830"/>
      <c r="M705" s="1830"/>
      <c r="N705" s="1829">
        <v>897252</v>
      </c>
      <c r="O705" s="1830"/>
      <c r="P705" s="1830"/>
      <c r="Q705" s="1830"/>
      <c r="R705" s="1829">
        <v>1107867</v>
      </c>
      <c r="S705" s="1830"/>
      <c r="T705" s="1830"/>
      <c r="U705" s="1830"/>
      <c r="V705" s="1830">
        <v>1162252</v>
      </c>
      <c r="W705" s="1830"/>
      <c r="X705" s="1830"/>
      <c r="Y705" s="1830"/>
      <c r="Z705" s="1829">
        <v>83663</v>
      </c>
      <c r="AA705" s="1830"/>
      <c r="AB705" s="1830"/>
      <c r="AC705" s="1830"/>
      <c r="AD705" s="1852">
        <v>95400</v>
      </c>
      <c r="AE705" s="1853"/>
      <c r="AF705" s="1853"/>
      <c r="AG705" s="1854"/>
    </row>
    <row r="706" spans="4:45" ht="14.25" customHeight="1">
      <c r="D706" s="2199" t="s">
        <v>2745</v>
      </c>
      <c r="E706" s="2200"/>
      <c r="F706" s="2200"/>
      <c r="G706" s="2200"/>
      <c r="H706" s="2200"/>
      <c r="I706" s="2201"/>
      <c r="J706" s="1793">
        <v>1895858</v>
      </c>
      <c r="K706" s="1791"/>
      <c r="L706" s="1791"/>
      <c r="M706" s="1791"/>
      <c r="N706" s="1793">
        <v>1748411</v>
      </c>
      <c r="O706" s="1791"/>
      <c r="P706" s="1791"/>
      <c r="Q706" s="1791"/>
      <c r="R706" s="1793">
        <v>1314808</v>
      </c>
      <c r="S706" s="1791"/>
      <c r="T706" s="1791"/>
      <c r="U706" s="1791"/>
      <c r="V706" s="1791">
        <v>1331724</v>
      </c>
      <c r="W706" s="1791"/>
      <c r="X706" s="1791"/>
      <c r="Y706" s="1791"/>
      <c r="Z706" s="1793">
        <v>95059</v>
      </c>
      <c r="AA706" s="1791"/>
      <c r="AB706" s="1791"/>
      <c r="AC706" s="1791"/>
      <c r="AD706" s="1855">
        <v>72341</v>
      </c>
      <c r="AE706" s="1856"/>
      <c r="AF706" s="1856"/>
      <c r="AG706" s="1857"/>
    </row>
    <row r="707" spans="4:45" ht="14.25" customHeight="1" thickBot="1">
      <c r="D707" s="2198" t="s">
        <v>14</v>
      </c>
      <c r="E707" s="2198"/>
      <c r="F707" s="2198"/>
      <c r="G707" s="2198"/>
      <c r="H707" s="2198"/>
      <c r="I707" s="2198"/>
      <c r="J707" s="1831">
        <f>SUM(J705:M706)</f>
        <v>2877161</v>
      </c>
      <c r="K707" s="1831"/>
      <c r="L707" s="1831"/>
      <c r="M707" s="1831"/>
      <c r="N707" s="1831">
        <f>SUM(N705:Q706)</f>
        <v>2645663</v>
      </c>
      <c r="O707" s="1831"/>
      <c r="P707" s="1831"/>
      <c r="Q707" s="1831"/>
      <c r="R707" s="1831">
        <f>SUM(R705:U706)</f>
        <v>2422675</v>
      </c>
      <c r="S707" s="1831"/>
      <c r="T707" s="1831"/>
      <c r="U707" s="1831"/>
      <c r="V707" s="1831">
        <f>SUM(V705:Y706)</f>
        <v>2493976</v>
      </c>
      <c r="W707" s="1831"/>
      <c r="X707" s="1831"/>
      <c r="Y707" s="1831"/>
      <c r="Z707" s="1831">
        <f>SUM(Z705:AC706)</f>
        <v>178722</v>
      </c>
      <c r="AA707" s="1831"/>
      <c r="AB707" s="1831"/>
      <c r="AC707" s="1831"/>
      <c r="AD707" s="1831">
        <f>SUM(AD705:AG706)</f>
        <v>167741</v>
      </c>
      <c r="AE707" s="1831"/>
      <c r="AF707" s="1831"/>
      <c r="AG707" s="1831"/>
    </row>
    <row r="709" spans="4:45" ht="14.25" customHeight="1">
      <c r="L709" s="769"/>
    </row>
    <row r="710" spans="4:45" ht="14.25" customHeight="1">
      <c r="D710" s="1978" t="s">
        <v>1383</v>
      </c>
      <c r="E710" s="1978"/>
      <c r="F710" s="1978"/>
      <c r="G710" s="1978"/>
      <c r="H710" s="1978"/>
      <c r="I710" s="1978"/>
      <c r="J710" s="1978"/>
      <c r="K710" s="1978"/>
      <c r="L710" s="1978"/>
      <c r="M710" s="1978"/>
      <c r="N710" s="1978"/>
      <c r="O710" s="1978"/>
      <c r="P710" s="1978"/>
      <c r="Q710" s="1978"/>
      <c r="R710" s="1978"/>
      <c r="S710" s="1978"/>
      <c r="T710" s="1978"/>
      <c r="U710" s="1978"/>
      <c r="V710" s="1978"/>
      <c r="W710" s="1978"/>
      <c r="X710" s="1978"/>
      <c r="Y710" s="1978"/>
      <c r="Z710" s="1978"/>
      <c r="AA710" s="1978"/>
      <c r="AB710" s="1978"/>
      <c r="AC710" s="1978"/>
      <c r="AD710" s="1978"/>
      <c r="AE710" s="1978"/>
      <c r="AF710" s="1978"/>
      <c r="AG710" s="1978"/>
    </row>
    <row r="712" spans="4:45" ht="14.25" customHeight="1">
      <c r="D712" s="768" t="s">
        <v>1384</v>
      </c>
      <c r="E712" s="660"/>
      <c r="F712" s="660"/>
      <c r="G712" s="660"/>
      <c r="H712" s="768"/>
      <c r="I712" s="660"/>
      <c r="J712" s="660"/>
      <c r="K712" s="660"/>
      <c r="L712" s="660"/>
      <c r="M712" s="660"/>
      <c r="N712" s="660"/>
      <c r="O712" s="660"/>
      <c r="P712" s="660"/>
      <c r="Q712" s="660"/>
      <c r="R712" s="660"/>
      <c r="S712" s="660"/>
      <c r="T712" s="660"/>
      <c r="U712" s="660"/>
      <c r="V712" s="660"/>
      <c r="W712" s="660"/>
      <c r="X712" s="660"/>
      <c r="Y712" s="660"/>
      <c r="Z712" s="660"/>
      <c r="AA712" s="660"/>
      <c r="AB712" s="660"/>
      <c r="AC712" s="660"/>
      <c r="AD712" s="660"/>
      <c r="AE712" s="660"/>
      <c r="AF712" s="660"/>
      <c r="AG712" s="660"/>
    </row>
    <row r="713" spans="4:45" ht="14.25" customHeight="1" thickBot="1"/>
    <row r="714" spans="4:45" ht="30" customHeight="1" thickTop="1" thickBot="1">
      <c r="D714" s="1921" t="s">
        <v>131</v>
      </c>
      <c r="E714" s="1921"/>
      <c r="F714" s="1921"/>
      <c r="G714" s="1921"/>
      <c r="H714" s="1921"/>
      <c r="I714" s="1921"/>
      <c r="J714" s="1921"/>
      <c r="K714" s="1921"/>
      <c r="L714" s="1921"/>
      <c r="M714" s="1921"/>
      <c r="N714" s="1851" t="s">
        <v>2</v>
      </c>
      <c r="O714" s="1851"/>
      <c r="P714" s="1851"/>
      <c r="Q714" s="1851"/>
      <c r="R714" s="1851" t="s">
        <v>3</v>
      </c>
      <c r="S714" s="1851"/>
      <c r="T714" s="1851"/>
      <c r="U714" s="1851"/>
      <c r="V714" s="1851"/>
      <c r="W714" s="1851"/>
      <c r="X714" s="1851"/>
      <c r="Y714" s="1851"/>
      <c r="Z714" s="1851" t="s">
        <v>280</v>
      </c>
      <c r="AA714" s="1851"/>
      <c r="AB714" s="1851"/>
      <c r="AC714" s="1851"/>
      <c r="AD714" s="1851"/>
      <c r="AE714" s="1851"/>
      <c r="AF714" s="1851"/>
      <c r="AG714" s="1851"/>
      <c r="AI714" s="59" t="s">
        <v>2</v>
      </c>
      <c r="AJ714" s="1587" t="s">
        <v>3</v>
      </c>
      <c r="AK714" s="1588"/>
      <c r="AL714" s="1587" t="s">
        <v>280</v>
      </c>
      <c r="AM714" s="1588"/>
      <c r="AO714" s="59" t="s">
        <v>2</v>
      </c>
      <c r="AP714" s="1587" t="s">
        <v>3</v>
      </c>
      <c r="AQ714" s="1588"/>
      <c r="AR714" s="1587" t="s">
        <v>280</v>
      </c>
      <c r="AS714" s="1588"/>
    </row>
    <row r="715" spans="4:45" ht="49" customHeight="1" thickTop="1" thickBot="1">
      <c r="D715" s="1921"/>
      <c r="E715" s="1921"/>
      <c r="F715" s="1921"/>
      <c r="G715" s="1921"/>
      <c r="H715" s="1921"/>
      <c r="I715" s="1921"/>
      <c r="J715" s="1921"/>
      <c r="K715" s="1921"/>
      <c r="L715" s="1921"/>
      <c r="M715" s="1921"/>
      <c r="N715" s="1851" t="s">
        <v>281</v>
      </c>
      <c r="O715" s="1851"/>
      <c r="P715" s="1851"/>
      <c r="Q715" s="1851"/>
      <c r="R715" s="1851" t="s">
        <v>281</v>
      </c>
      <c r="S715" s="1851"/>
      <c r="T715" s="1851"/>
      <c r="U715" s="1851"/>
      <c r="V715" s="1851" t="s">
        <v>282</v>
      </c>
      <c r="W715" s="1851"/>
      <c r="X715" s="1851"/>
      <c r="Y715" s="1851"/>
      <c r="Z715" s="1851" t="s">
        <v>2</v>
      </c>
      <c r="AA715" s="1851"/>
      <c r="AB715" s="1851"/>
      <c r="AC715" s="1851"/>
      <c r="AD715" s="1851" t="s">
        <v>486</v>
      </c>
      <c r="AE715" s="1851"/>
      <c r="AF715" s="1851"/>
      <c r="AG715" s="1851"/>
      <c r="AI715" s="657" t="s">
        <v>281</v>
      </c>
      <c r="AJ715" s="40" t="s">
        <v>281</v>
      </c>
      <c r="AK715" s="40" t="s">
        <v>282</v>
      </c>
      <c r="AL715" s="664" t="s">
        <v>2</v>
      </c>
      <c r="AM715" s="664" t="s">
        <v>486</v>
      </c>
      <c r="AO715" s="657" t="s">
        <v>281</v>
      </c>
      <c r="AP715" s="40" t="s">
        <v>281</v>
      </c>
      <c r="AQ715" s="40" t="s">
        <v>282</v>
      </c>
      <c r="AR715" s="40" t="s">
        <v>2</v>
      </c>
      <c r="AS715" s="40" t="s">
        <v>486</v>
      </c>
    </row>
    <row r="716" spans="4:45" ht="24.75" customHeight="1">
      <c r="D716" s="1870" t="s">
        <v>485</v>
      </c>
      <c r="E716" s="1870"/>
      <c r="F716" s="1870"/>
      <c r="G716" s="1870"/>
      <c r="H716" s="1870"/>
      <c r="I716" s="1870"/>
      <c r="J716" s="1870"/>
      <c r="K716" s="1870"/>
      <c r="L716" s="1870"/>
      <c r="M716" s="1870"/>
      <c r="N716" s="1818">
        <v>0</v>
      </c>
      <c r="O716" s="1818"/>
      <c r="P716" s="1818"/>
      <c r="Q716" s="1860"/>
      <c r="R716" s="1817">
        <v>3950</v>
      </c>
      <c r="S716" s="1818"/>
      <c r="T716" s="1818"/>
      <c r="U716" s="1819"/>
      <c r="V716" s="1990">
        <v>3887</v>
      </c>
      <c r="W716" s="1818"/>
      <c r="X716" s="1818"/>
      <c r="Y716" s="1818"/>
      <c r="Z716" s="1818">
        <v>-3950</v>
      </c>
      <c r="AA716" s="1818"/>
      <c r="AB716" s="1818"/>
      <c r="AC716" s="1818"/>
      <c r="AD716" s="1818">
        <v>63</v>
      </c>
      <c r="AE716" s="1818"/>
      <c r="AF716" s="1818"/>
      <c r="AG716" s="1818"/>
      <c r="AI716" s="612"/>
      <c r="AJ716" s="613"/>
      <c r="AK716" s="613"/>
      <c r="AL716" s="662">
        <f>N716-R716-Z716</f>
        <v>0</v>
      </c>
      <c r="AM716" s="614">
        <f>R716-V716-AD716</f>
        <v>0</v>
      </c>
      <c r="AO716" s="630">
        <f>N716-BS!$D$45</f>
        <v>0</v>
      </c>
      <c r="AP716" s="662">
        <f>R716-BS!$G$45</f>
        <v>0</v>
      </c>
      <c r="AQ716" s="613"/>
      <c r="AR716" s="613"/>
      <c r="AS716" s="618"/>
    </row>
    <row r="717" spans="4:45" ht="24.75" customHeight="1">
      <c r="D717" s="1997" t="s">
        <v>91</v>
      </c>
      <c r="E717" s="1998"/>
      <c r="F717" s="1998"/>
      <c r="G717" s="1998"/>
      <c r="H717" s="1998"/>
      <c r="I717" s="1998"/>
      <c r="J717" s="1998"/>
      <c r="K717" s="1998"/>
      <c r="L717" s="1998"/>
      <c r="M717" s="1999"/>
      <c r="N717" s="1820">
        <v>5542</v>
      </c>
      <c r="O717" s="1805"/>
      <c r="P717" s="1805"/>
      <c r="Q717" s="1805"/>
      <c r="R717" s="1805">
        <v>2326</v>
      </c>
      <c r="S717" s="1805"/>
      <c r="T717" s="1805"/>
      <c r="U717" s="1805"/>
      <c r="V717" s="1805">
        <v>2797</v>
      </c>
      <c r="W717" s="1805"/>
      <c r="X717" s="1805"/>
      <c r="Y717" s="1991"/>
      <c r="Z717" s="1804">
        <v>3216</v>
      </c>
      <c r="AA717" s="1805"/>
      <c r="AB717" s="1805"/>
      <c r="AC717" s="1821"/>
      <c r="AD717" s="1820">
        <v>-471</v>
      </c>
      <c r="AE717" s="1805"/>
      <c r="AF717" s="1805"/>
      <c r="AG717" s="1821"/>
      <c r="AI717" s="606"/>
      <c r="AJ717" s="607"/>
      <c r="AK717" s="607"/>
      <c r="AL717" s="661">
        <f>N717-R717-Z717</f>
        <v>0</v>
      </c>
      <c r="AM717" s="608">
        <f t="shared" ref="AM717:AM719" si="167">R717-V717-AD717</f>
        <v>0</v>
      </c>
      <c r="AO717" s="621">
        <f>N717-BS!$D$46</f>
        <v>0</v>
      </c>
      <c r="AP717" s="661">
        <f>R717-BS!$G$46</f>
        <v>0</v>
      </c>
      <c r="AQ717" s="607"/>
      <c r="AR717" s="607"/>
      <c r="AS717" s="619"/>
    </row>
    <row r="718" spans="4:45" ht="24.75" customHeight="1">
      <c r="D718" s="1997" t="s">
        <v>283</v>
      </c>
      <c r="E718" s="1998"/>
      <c r="F718" s="1998"/>
      <c r="G718" s="1998"/>
      <c r="H718" s="1998"/>
      <c r="I718" s="1998"/>
      <c r="J718" s="1998"/>
      <c r="K718" s="1998"/>
      <c r="L718" s="1998"/>
      <c r="M718" s="1999"/>
      <c r="N718" s="1820">
        <v>0</v>
      </c>
      <c r="O718" s="1805"/>
      <c r="P718" s="1805"/>
      <c r="Q718" s="1805"/>
      <c r="R718" s="1805">
        <v>0</v>
      </c>
      <c r="S718" s="1805"/>
      <c r="T718" s="1805"/>
      <c r="U718" s="1805"/>
      <c r="V718" s="1805">
        <v>0</v>
      </c>
      <c r="W718" s="1805"/>
      <c r="X718" s="1805"/>
      <c r="Y718" s="1991"/>
      <c r="Z718" s="1804">
        <v>0</v>
      </c>
      <c r="AA718" s="1805"/>
      <c r="AB718" s="1805"/>
      <c r="AC718" s="1821"/>
      <c r="AD718" s="1820">
        <v>0</v>
      </c>
      <c r="AE718" s="1805"/>
      <c r="AF718" s="1805"/>
      <c r="AG718" s="1821"/>
      <c r="AI718" s="606"/>
      <c r="AJ718" s="607"/>
      <c r="AK718" s="607"/>
      <c r="AL718" s="661">
        <f t="shared" ref="AL718" si="168">N718-R718-Z718</f>
        <v>0</v>
      </c>
      <c r="AM718" s="608">
        <f t="shared" si="167"/>
        <v>0</v>
      </c>
      <c r="AO718" s="621">
        <f>N718-BS!$D$47</f>
        <v>0</v>
      </c>
      <c r="AP718" s="661">
        <f>R718-BS!$G$47</f>
        <v>0</v>
      </c>
      <c r="AQ718" s="607"/>
      <c r="AR718" s="607"/>
      <c r="AS718" s="619"/>
    </row>
    <row r="719" spans="4:45" ht="24.75" customHeight="1">
      <c r="D719" s="2000" t="s">
        <v>14</v>
      </c>
      <c r="E719" s="2001"/>
      <c r="F719" s="2001"/>
      <c r="G719" s="2001"/>
      <c r="H719" s="2001"/>
      <c r="I719" s="2001"/>
      <c r="J719" s="2001"/>
      <c r="K719" s="2001"/>
      <c r="L719" s="2001"/>
      <c r="M719" s="2002"/>
      <c r="N719" s="1871">
        <f>SUM(N716:Q718)</f>
        <v>5542</v>
      </c>
      <c r="O719" s="1828"/>
      <c r="P719" s="1828"/>
      <c r="Q719" s="1828"/>
      <c r="R719" s="1828">
        <f t="shared" ref="R719" si="169">SUM(R716:U718)</f>
        <v>6276</v>
      </c>
      <c r="S719" s="1828"/>
      <c r="T719" s="1828"/>
      <c r="U719" s="1828"/>
      <c r="V719" s="1828">
        <f t="shared" ref="V719" si="170">SUM(V716:Y718)</f>
        <v>6684</v>
      </c>
      <c r="W719" s="1828"/>
      <c r="X719" s="1828"/>
      <c r="Y719" s="1992"/>
      <c r="Z719" s="1984">
        <f>SUM(Z716:AC718)</f>
        <v>-734</v>
      </c>
      <c r="AA719" s="1828"/>
      <c r="AB719" s="1828"/>
      <c r="AC719" s="1985"/>
      <c r="AD719" s="1871">
        <f t="shared" ref="AD719" si="171">SUM(AD716:AG718)</f>
        <v>-408</v>
      </c>
      <c r="AE719" s="1828"/>
      <c r="AF719" s="1828"/>
      <c r="AG719" s="1985"/>
      <c r="AI719" s="621">
        <f>SUM(N716:Q718)-N719</f>
        <v>0</v>
      </c>
      <c r="AJ719" s="661">
        <f>SUM(R716:U718)-R719</f>
        <v>0</v>
      </c>
      <c r="AK719" s="661">
        <f>SUM(V716:Y718)-V719</f>
        <v>0</v>
      </c>
      <c r="AL719" s="661">
        <f>N719-R719-Z719</f>
        <v>0</v>
      </c>
      <c r="AM719" s="608">
        <f t="shared" si="167"/>
        <v>0</v>
      </c>
      <c r="AO719" s="606"/>
      <c r="AP719" s="607"/>
      <c r="AQ719" s="607"/>
      <c r="AR719" s="607"/>
      <c r="AS719" s="619"/>
    </row>
    <row r="720" spans="4:45" ht="24.75" customHeight="1">
      <c r="D720" s="1997" t="s">
        <v>284</v>
      </c>
      <c r="E720" s="1998"/>
      <c r="F720" s="1998"/>
      <c r="G720" s="1998"/>
      <c r="H720" s="1998"/>
      <c r="I720" s="1998"/>
      <c r="J720" s="1998"/>
      <c r="K720" s="1998"/>
      <c r="L720" s="1998"/>
      <c r="M720" s="1999"/>
      <c r="N720" s="1872" t="s">
        <v>18</v>
      </c>
      <c r="O720" s="1873"/>
      <c r="P720" s="1873"/>
      <c r="Q720" s="1873"/>
      <c r="R720" s="1873" t="s">
        <v>18</v>
      </c>
      <c r="S720" s="1873"/>
      <c r="T720" s="1873"/>
      <c r="U720" s="1873"/>
      <c r="V720" s="1873" t="s">
        <v>18</v>
      </c>
      <c r="W720" s="1873"/>
      <c r="X720" s="1873"/>
      <c r="Y720" s="1993"/>
      <c r="Z720" s="1804">
        <v>0</v>
      </c>
      <c r="AA720" s="1805"/>
      <c r="AB720" s="1805"/>
      <c r="AC720" s="1821"/>
      <c r="AD720" s="1820">
        <v>0</v>
      </c>
      <c r="AE720" s="1805"/>
      <c r="AF720" s="1805"/>
      <c r="AG720" s="1821"/>
      <c r="AI720" s="606"/>
      <c r="AJ720" s="607"/>
      <c r="AK720" s="607"/>
      <c r="AL720" s="607"/>
      <c r="AM720" s="619"/>
      <c r="AO720" s="606"/>
      <c r="AP720" s="607"/>
      <c r="AQ720" s="607"/>
      <c r="AR720" s="607"/>
      <c r="AS720" s="619"/>
    </row>
    <row r="721" spans="1:45" ht="24.75" customHeight="1">
      <c r="D721" s="1997" t="s">
        <v>285</v>
      </c>
      <c r="E721" s="1998"/>
      <c r="F721" s="1998"/>
      <c r="G721" s="1998"/>
      <c r="H721" s="1998"/>
      <c r="I721" s="1998"/>
      <c r="J721" s="1998"/>
      <c r="K721" s="1998"/>
      <c r="L721" s="1998"/>
      <c r="M721" s="1999"/>
      <c r="N721" s="1872" t="s">
        <v>18</v>
      </c>
      <c r="O721" s="1873"/>
      <c r="P721" s="1873"/>
      <c r="Q721" s="1873"/>
      <c r="R721" s="1873" t="s">
        <v>18</v>
      </c>
      <c r="S721" s="1873"/>
      <c r="T721" s="1873"/>
      <c r="U721" s="1873"/>
      <c r="V721" s="1873" t="s">
        <v>18</v>
      </c>
      <c r="W721" s="1873"/>
      <c r="X721" s="1873"/>
      <c r="Y721" s="1993"/>
      <c r="Z721" s="1804">
        <v>0</v>
      </c>
      <c r="AA721" s="1805"/>
      <c r="AB721" s="1805"/>
      <c r="AC721" s="1821"/>
      <c r="AD721" s="1820">
        <v>0</v>
      </c>
      <c r="AE721" s="1805"/>
      <c r="AF721" s="1805"/>
      <c r="AG721" s="1821"/>
      <c r="AI721" s="606"/>
      <c r="AJ721" s="607"/>
      <c r="AK721" s="607"/>
      <c r="AL721" s="607"/>
      <c r="AM721" s="619"/>
      <c r="AO721" s="606"/>
      <c r="AP721" s="607"/>
      <c r="AQ721" s="607"/>
      <c r="AR721" s="607"/>
      <c r="AS721" s="619"/>
    </row>
    <row r="722" spans="1:45" ht="24.75" customHeight="1">
      <c r="D722" s="1997" t="s">
        <v>286</v>
      </c>
      <c r="E722" s="1998"/>
      <c r="F722" s="1998"/>
      <c r="G722" s="1998"/>
      <c r="H722" s="1998"/>
      <c r="I722" s="1998"/>
      <c r="J722" s="1998"/>
      <c r="K722" s="1998"/>
      <c r="L722" s="1998"/>
      <c r="M722" s="1999"/>
      <c r="N722" s="1872" t="s">
        <v>18</v>
      </c>
      <c r="O722" s="1873"/>
      <c r="P722" s="1873"/>
      <c r="Q722" s="1873"/>
      <c r="R722" s="1873" t="s">
        <v>18</v>
      </c>
      <c r="S722" s="1873"/>
      <c r="T722" s="1873"/>
      <c r="U722" s="1873"/>
      <c r="V722" s="1873" t="s">
        <v>18</v>
      </c>
      <c r="W722" s="1873"/>
      <c r="X722" s="1873"/>
      <c r="Y722" s="1993"/>
      <c r="Z722" s="1804">
        <v>0</v>
      </c>
      <c r="AA722" s="1805"/>
      <c r="AB722" s="1805"/>
      <c r="AC722" s="1821"/>
      <c r="AD722" s="1820">
        <v>0</v>
      </c>
      <c r="AE722" s="1805"/>
      <c r="AF722" s="1805"/>
      <c r="AG722" s="1821"/>
      <c r="AI722" s="606"/>
      <c r="AJ722" s="607"/>
      <c r="AK722" s="607"/>
      <c r="AL722" s="607"/>
      <c r="AM722" s="619"/>
      <c r="AO722" s="606"/>
      <c r="AP722" s="607"/>
      <c r="AQ722" s="607"/>
      <c r="AR722" s="607"/>
      <c r="AS722" s="619"/>
    </row>
    <row r="723" spans="1:45" ht="24.75" customHeight="1" thickBot="1">
      <c r="D723" s="1996" t="s">
        <v>287</v>
      </c>
      <c r="E723" s="1996"/>
      <c r="F723" s="1996"/>
      <c r="G723" s="1996"/>
      <c r="H723" s="1996"/>
      <c r="I723" s="1996"/>
      <c r="J723" s="1996"/>
      <c r="K723" s="1996"/>
      <c r="L723" s="1996"/>
      <c r="M723" s="1996"/>
      <c r="N723" s="1874" t="s">
        <v>18</v>
      </c>
      <c r="O723" s="1875"/>
      <c r="P723" s="1875"/>
      <c r="Q723" s="1876"/>
      <c r="R723" s="1986" t="s">
        <v>18</v>
      </c>
      <c r="S723" s="1875"/>
      <c r="T723" s="1875"/>
      <c r="U723" s="1987"/>
      <c r="V723" s="1874" t="s">
        <v>18</v>
      </c>
      <c r="W723" s="1875"/>
      <c r="X723" s="1875"/>
      <c r="Y723" s="1876"/>
      <c r="Z723" s="1859">
        <v>0</v>
      </c>
      <c r="AA723" s="1859"/>
      <c r="AB723" s="1859"/>
      <c r="AC723" s="1859"/>
      <c r="AD723" s="1858">
        <v>0</v>
      </c>
      <c r="AE723" s="1859"/>
      <c r="AF723" s="1859"/>
      <c r="AG723" s="1859"/>
      <c r="AI723" s="606"/>
      <c r="AJ723" s="607"/>
      <c r="AK723" s="607"/>
      <c r="AL723" s="607"/>
      <c r="AM723" s="619"/>
      <c r="AO723" s="606"/>
      <c r="AP723" s="607"/>
      <c r="AQ723" s="607"/>
      <c r="AR723" s="607"/>
      <c r="AS723" s="619"/>
    </row>
    <row r="724" spans="1:45" ht="28.5" customHeight="1" thickBot="1">
      <c r="D724" s="1995" t="s">
        <v>1385</v>
      </c>
      <c r="E724" s="1995"/>
      <c r="F724" s="1995"/>
      <c r="G724" s="1995"/>
      <c r="H724" s="1995"/>
      <c r="I724" s="1995"/>
      <c r="J724" s="1995"/>
      <c r="K724" s="1995"/>
      <c r="L724" s="1995"/>
      <c r="M724" s="1995"/>
      <c r="N724" s="1905" t="s">
        <v>18</v>
      </c>
      <c r="O724" s="1905"/>
      <c r="P724" s="1905"/>
      <c r="Q724" s="1906"/>
      <c r="R724" s="1988" t="s">
        <v>18</v>
      </c>
      <c r="S724" s="1905"/>
      <c r="T724" s="1905"/>
      <c r="U724" s="1989"/>
      <c r="V724" s="1994" t="s">
        <v>18</v>
      </c>
      <c r="W724" s="1905"/>
      <c r="X724" s="1905"/>
      <c r="Y724" s="1905"/>
      <c r="Z724" s="1849">
        <f>Z719</f>
        <v>-734</v>
      </c>
      <c r="AA724" s="1849"/>
      <c r="AB724" s="1849"/>
      <c r="AC724" s="1849"/>
      <c r="AD724" s="1849">
        <f>AD719</f>
        <v>-408</v>
      </c>
      <c r="AE724" s="1849"/>
      <c r="AF724" s="1849"/>
      <c r="AG724" s="1849"/>
      <c r="AI724" s="633"/>
      <c r="AJ724" s="663"/>
      <c r="AK724" s="663"/>
      <c r="AL724" s="610">
        <f>SUM(Z719:AC723)-Z724</f>
        <v>0</v>
      </c>
      <c r="AM724" s="611">
        <f>SUM(AD719:AG723)-AD724</f>
        <v>0</v>
      </c>
      <c r="AO724" s="633"/>
      <c r="AP724" s="663"/>
      <c r="AQ724" s="663"/>
      <c r="AR724" s="610">
        <f>Z724-'P&amp;L'!$D$14</f>
        <v>0</v>
      </c>
      <c r="AS724" s="611">
        <f>Z724-'P&amp;L'!$D$14</f>
        <v>0</v>
      </c>
    </row>
    <row r="727" spans="1:45" ht="14.25" customHeight="1">
      <c r="D727" s="1979" t="s">
        <v>3058</v>
      </c>
      <c r="E727" s="1979"/>
      <c r="F727" s="1979"/>
      <c r="G727" s="1979"/>
      <c r="H727" s="1979"/>
      <c r="I727" s="1979"/>
      <c r="J727" s="1979"/>
      <c r="K727" s="1979"/>
      <c r="L727" s="1979"/>
      <c r="M727" s="1979"/>
      <c r="N727" s="1979"/>
      <c r="O727" s="1979"/>
      <c r="P727" s="1979"/>
      <c r="Q727" s="1979"/>
      <c r="R727" s="1979"/>
      <c r="S727" s="1979"/>
      <c r="T727" s="1979"/>
      <c r="U727" s="1979"/>
      <c r="V727" s="1979"/>
      <c r="W727" s="1979"/>
      <c r="X727" s="1979"/>
      <c r="Y727" s="1979"/>
      <c r="Z727" s="1979"/>
      <c r="AA727" s="1979"/>
      <c r="AB727" s="1979"/>
      <c r="AC727" s="1979"/>
      <c r="AD727" s="1979"/>
      <c r="AE727" s="1979"/>
      <c r="AF727" s="1979"/>
      <c r="AG727" s="1979"/>
    </row>
    <row r="728" spans="1:45" ht="14.25" customHeight="1">
      <c r="D728" s="1464"/>
      <c r="E728" s="1464"/>
      <c r="F728" s="1464"/>
      <c r="G728" s="1464"/>
      <c r="H728" s="1464"/>
      <c r="I728" s="1464"/>
      <c r="J728" s="1464"/>
      <c r="K728" s="1464"/>
      <c r="L728" s="1464"/>
      <c r="M728" s="1464"/>
      <c r="N728" s="1464"/>
      <c r="O728" s="1464"/>
      <c r="P728" s="1464"/>
      <c r="Q728" s="1464"/>
      <c r="R728" s="1464"/>
      <c r="S728" s="1464"/>
      <c r="T728" s="1464"/>
      <c r="U728" s="1464"/>
      <c r="V728" s="1464"/>
      <c r="W728" s="1464"/>
      <c r="X728" s="1464"/>
      <c r="Y728" s="1464"/>
      <c r="Z728" s="1464"/>
      <c r="AA728" s="1464"/>
      <c r="AB728" s="1464"/>
      <c r="AC728" s="1464"/>
      <c r="AD728" s="1464"/>
      <c r="AE728" s="1464"/>
      <c r="AF728" s="1464"/>
      <c r="AG728" s="1464"/>
    </row>
    <row r="729" spans="1:45" ht="14.25" customHeight="1">
      <c r="D729" s="2185" t="s">
        <v>3059</v>
      </c>
      <c r="E729" s="2185"/>
      <c r="F729" s="2185"/>
      <c r="G729" s="2185"/>
      <c r="H729" s="2185"/>
      <c r="I729" s="2185"/>
      <c r="J729" s="2185"/>
      <c r="K729" s="2185"/>
      <c r="L729" s="2185"/>
      <c r="M729" s="2185"/>
      <c r="N729" s="2185"/>
      <c r="O729" s="2185"/>
      <c r="P729" s="2185"/>
      <c r="Q729" s="2185"/>
      <c r="R729" s="2185"/>
      <c r="S729" s="2185"/>
      <c r="T729" s="2185"/>
      <c r="U729" s="2185"/>
      <c r="V729" s="2185"/>
      <c r="W729" s="2185"/>
      <c r="X729" s="2185"/>
      <c r="Y729" s="2185"/>
      <c r="Z729" s="2185"/>
      <c r="AA729" s="2185"/>
      <c r="AB729" s="2185"/>
      <c r="AC729" s="2185"/>
      <c r="AD729" s="2185"/>
      <c r="AE729" s="2185"/>
      <c r="AF729" s="2185"/>
      <c r="AG729" s="2185"/>
    </row>
    <row r="730" spans="1:45" ht="14.25" customHeight="1" thickBot="1"/>
    <row r="731" spans="1:45" ht="14.25" customHeight="1" thickBot="1">
      <c r="D731" s="1887" t="s">
        <v>131</v>
      </c>
      <c r="E731" s="1888"/>
      <c r="F731" s="1888"/>
      <c r="G731" s="1888"/>
      <c r="H731" s="1888"/>
      <c r="I731" s="1888"/>
      <c r="J731" s="1888"/>
      <c r="K731" s="1888"/>
      <c r="L731" s="1888"/>
      <c r="M731" s="1889"/>
      <c r="N731" s="1877" t="s">
        <v>2</v>
      </c>
      <c r="O731" s="1878"/>
      <c r="P731" s="1878"/>
      <c r="Q731" s="1878"/>
      <c r="R731" s="1878"/>
      <c r="S731" s="1878"/>
      <c r="T731" s="1878"/>
      <c r="U731" s="1878"/>
      <c r="V731" s="1878"/>
      <c r="W731" s="1878"/>
      <c r="X731" s="1877" t="s">
        <v>3</v>
      </c>
      <c r="Y731" s="1878"/>
      <c r="Z731" s="1878"/>
      <c r="AA731" s="1878"/>
      <c r="AB731" s="1878"/>
      <c r="AC731" s="1878"/>
      <c r="AD731" s="1878"/>
      <c r="AE731" s="1878"/>
      <c r="AF731" s="1878"/>
      <c r="AG731" s="1881"/>
    </row>
    <row r="732" spans="1:45" ht="14.25" customHeight="1" thickBot="1">
      <c r="D732" s="1887"/>
      <c r="E732" s="1888"/>
      <c r="F732" s="1888"/>
      <c r="G732" s="1888"/>
      <c r="H732" s="1888"/>
      <c r="I732" s="1888"/>
      <c r="J732" s="1888"/>
      <c r="K732" s="1888"/>
      <c r="L732" s="1888"/>
      <c r="M732" s="1889"/>
      <c r="N732" s="1879"/>
      <c r="O732" s="1880"/>
      <c r="P732" s="1880"/>
      <c r="Q732" s="1880"/>
      <c r="R732" s="1880"/>
      <c r="S732" s="1880"/>
      <c r="T732" s="1880"/>
      <c r="U732" s="1880"/>
      <c r="V732" s="1880"/>
      <c r="W732" s="1880"/>
      <c r="X732" s="1879"/>
      <c r="Y732" s="1880"/>
      <c r="Z732" s="1880"/>
      <c r="AA732" s="1880"/>
      <c r="AB732" s="1880"/>
      <c r="AC732" s="1880"/>
      <c r="AD732" s="1880"/>
      <c r="AE732" s="1880"/>
      <c r="AF732" s="1880"/>
      <c r="AG732" s="1882"/>
      <c r="AO732" s="666" t="s">
        <v>2</v>
      </c>
      <c r="AP732" s="667" t="s">
        <v>3</v>
      </c>
    </row>
    <row r="733" spans="1:45" s="588" customFormat="1" ht="27.25" customHeight="1">
      <c r="A733" s="631"/>
      <c r="D733" s="1980" t="s">
        <v>487</v>
      </c>
      <c r="E733" s="1981"/>
      <c r="F733" s="1981"/>
      <c r="G733" s="1981"/>
      <c r="H733" s="1981"/>
      <c r="I733" s="1981"/>
      <c r="J733" s="1981"/>
      <c r="K733" s="1981"/>
      <c r="L733" s="1981"/>
      <c r="M733" s="1982"/>
      <c r="N733" s="1983"/>
      <c r="O733" s="1983"/>
      <c r="P733" s="1983"/>
      <c r="Q733" s="1983"/>
      <c r="R733" s="1983"/>
      <c r="S733" s="1983"/>
      <c r="T733" s="1983"/>
      <c r="U733" s="1983"/>
      <c r="V733" s="1983"/>
      <c r="W733" s="1983"/>
      <c r="X733" s="1983"/>
      <c r="Y733" s="1983"/>
      <c r="Z733" s="1983"/>
      <c r="AA733" s="1983"/>
      <c r="AB733" s="1983"/>
      <c r="AC733" s="1983"/>
      <c r="AD733" s="1983"/>
      <c r="AE733" s="1983"/>
      <c r="AF733" s="1983"/>
      <c r="AG733" s="1983"/>
      <c r="AO733" s="668"/>
      <c r="AP733" s="669"/>
    </row>
    <row r="734" spans="1:45" s="588" customFormat="1" ht="27.25" customHeight="1">
      <c r="A734" s="631"/>
      <c r="D734" s="1867" t="s">
        <v>2766</v>
      </c>
      <c r="E734" s="1822"/>
      <c r="F734" s="1822"/>
      <c r="G734" s="1822"/>
      <c r="H734" s="1822"/>
      <c r="I734" s="1822"/>
      <c r="J734" s="1822"/>
      <c r="K734" s="1822"/>
      <c r="L734" s="1822"/>
      <c r="M734" s="1822"/>
      <c r="N734" s="1792">
        <v>0</v>
      </c>
      <c r="O734" s="1792"/>
      <c r="P734" s="1792"/>
      <c r="Q734" s="1792"/>
      <c r="R734" s="1792"/>
      <c r="S734" s="1792"/>
      <c r="T734" s="1792"/>
      <c r="U734" s="1792"/>
      <c r="V734" s="1792"/>
      <c r="W734" s="1792"/>
      <c r="X734" s="1792">
        <v>0</v>
      </c>
      <c r="Y734" s="1792"/>
      <c r="Z734" s="1792"/>
      <c r="AA734" s="1792"/>
      <c r="AB734" s="1792"/>
      <c r="AC734" s="1792"/>
      <c r="AD734" s="1792"/>
      <c r="AE734" s="1792"/>
      <c r="AF734" s="1792"/>
      <c r="AG734" s="1792"/>
      <c r="AO734" s="668"/>
      <c r="AP734" s="669"/>
    </row>
    <row r="735" spans="1:45" s="588" customFormat="1" ht="27.25" customHeight="1">
      <c r="A735" s="631"/>
      <c r="D735" s="1822"/>
      <c r="E735" s="1822"/>
      <c r="F735" s="1822"/>
      <c r="G735" s="1822"/>
      <c r="H735" s="1822"/>
      <c r="I735" s="1822"/>
      <c r="J735" s="1822"/>
      <c r="K735" s="1822"/>
      <c r="L735" s="1822"/>
      <c r="M735" s="1822"/>
      <c r="N735" s="1792"/>
      <c r="O735" s="1792"/>
      <c r="P735" s="1792"/>
      <c r="Q735" s="1792"/>
      <c r="R735" s="1792"/>
      <c r="S735" s="1792"/>
      <c r="T735" s="1792"/>
      <c r="U735" s="1792"/>
      <c r="V735" s="1792"/>
      <c r="W735" s="1792"/>
      <c r="X735" s="1792"/>
      <c r="Y735" s="1792"/>
      <c r="Z735" s="1792"/>
      <c r="AA735" s="1792"/>
      <c r="AB735" s="1792"/>
      <c r="AC735" s="1792"/>
      <c r="AD735" s="1792"/>
      <c r="AE735" s="1792"/>
      <c r="AF735" s="1792"/>
      <c r="AG735" s="1792"/>
      <c r="AO735" s="668"/>
      <c r="AP735" s="669"/>
    </row>
    <row r="736" spans="1:45" s="588" customFormat="1" ht="27.25" customHeight="1">
      <c r="A736" s="631"/>
      <c r="D736" s="1890" t="s">
        <v>290</v>
      </c>
      <c r="E736" s="1890"/>
      <c r="F736" s="1890"/>
      <c r="G736" s="1890"/>
      <c r="H736" s="1890"/>
      <c r="I736" s="1890"/>
      <c r="J736" s="1890"/>
      <c r="K736" s="1890"/>
      <c r="L736" s="1890"/>
      <c r="M736" s="1890"/>
      <c r="N736" s="1891">
        <f>SUM(N737:W738)</f>
        <v>894077</v>
      </c>
      <c r="O736" s="1891"/>
      <c r="P736" s="1891"/>
      <c r="Q736" s="1891"/>
      <c r="R736" s="1891"/>
      <c r="S736" s="1891"/>
      <c r="T736" s="1891"/>
      <c r="U736" s="1891"/>
      <c r="V736" s="1891"/>
      <c r="W736" s="1891"/>
      <c r="X736" s="1891">
        <f>SUM(X737:AG738)</f>
        <v>77462</v>
      </c>
      <c r="Y736" s="1891"/>
      <c r="Z736" s="1891"/>
      <c r="AA736" s="1891"/>
      <c r="AB736" s="1891"/>
      <c r="AC736" s="1891"/>
      <c r="AD736" s="1891"/>
      <c r="AE736" s="1891"/>
      <c r="AF736" s="1891"/>
      <c r="AG736" s="1891"/>
      <c r="AO736" s="668"/>
      <c r="AP736" s="669"/>
    </row>
    <row r="737" spans="1:42" s="588" customFormat="1" ht="27.25" customHeight="1">
      <c r="A737" s="631"/>
      <c r="D737" s="1867" t="s">
        <v>2767</v>
      </c>
      <c r="E737" s="1822"/>
      <c r="F737" s="1822"/>
      <c r="G737" s="1822"/>
      <c r="H737" s="1822"/>
      <c r="I737" s="1822"/>
      <c r="J737" s="1822"/>
      <c r="K737" s="1822"/>
      <c r="L737" s="1822"/>
      <c r="M737" s="1822"/>
      <c r="N737" s="1792">
        <v>0</v>
      </c>
      <c r="O737" s="1792"/>
      <c r="P737" s="1792"/>
      <c r="Q737" s="1792"/>
      <c r="R737" s="1792"/>
      <c r="S737" s="1792"/>
      <c r="T737" s="1792"/>
      <c r="U737" s="1792"/>
      <c r="V737" s="1792"/>
      <c r="W737" s="1792"/>
      <c r="X737" s="1792">
        <v>9584</v>
      </c>
      <c r="Y737" s="1792"/>
      <c r="Z737" s="1792"/>
      <c r="AA737" s="1792"/>
      <c r="AB737" s="1792"/>
      <c r="AC737" s="1792"/>
      <c r="AD737" s="1792"/>
      <c r="AE737" s="1792"/>
      <c r="AF737" s="1792"/>
      <c r="AG737" s="1792"/>
      <c r="AO737" s="668"/>
      <c r="AP737" s="669"/>
    </row>
    <row r="738" spans="1:42" s="588" customFormat="1" ht="27.25" customHeight="1">
      <c r="A738" s="631"/>
      <c r="D738" s="1892" t="s">
        <v>3060</v>
      </c>
      <c r="E738" s="1893"/>
      <c r="F738" s="1893"/>
      <c r="G738" s="1893"/>
      <c r="H738" s="1893"/>
      <c r="I738" s="1893"/>
      <c r="J738" s="1893"/>
      <c r="K738" s="1893"/>
      <c r="L738" s="1893"/>
      <c r="M738" s="1893"/>
      <c r="N738" s="1850">
        <v>894077</v>
      </c>
      <c r="O738" s="1850"/>
      <c r="P738" s="1850"/>
      <c r="Q738" s="1850"/>
      <c r="R738" s="1850"/>
      <c r="S738" s="1850"/>
      <c r="T738" s="1850"/>
      <c r="U738" s="1850"/>
      <c r="V738" s="1850"/>
      <c r="W738" s="1850"/>
      <c r="X738" s="1792">
        <v>67878</v>
      </c>
      <c r="Y738" s="1792"/>
      <c r="Z738" s="1792"/>
      <c r="AA738" s="1792"/>
      <c r="AB738" s="1792"/>
      <c r="AC738" s="1792"/>
      <c r="AD738" s="1792"/>
      <c r="AE738" s="1792"/>
      <c r="AF738" s="1792"/>
      <c r="AG738" s="1792"/>
      <c r="AO738" s="668"/>
      <c r="AP738" s="669"/>
    </row>
    <row r="739" spans="1:42" s="588" customFormat="1" ht="27.25" customHeight="1">
      <c r="A739" s="631"/>
      <c r="D739" s="1890" t="s">
        <v>291</v>
      </c>
      <c r="E739" s="1890"/>
      <c r="F739" s="1890"/>
      <c r="G739" s="1890"/>
      <c r="H739" s="1890"/>
      <c r="I739" s="1890"/>
      <c r="J739" s="1890"/>
      <c r="K739" s="1890"/>
      <c r="L739" s="1890"/>
      <c r="M739" s="1890"/>
      <c r="N739" s="1792">
        <f>SUM(N740,N742,N744)</f>
        <v>26683</v>
      </c>
      <c r="O739" s="1792"/>
      <c r="P739" s="1792"/>
      <c r="Q739" s="1792"/>
      <c r="R739" s="1792"/>
      <c r="S739" s="1792"/>
      <c r="T739" s="1792"/>
      <c r="U739" s="1792"/>
      <c r="V739" s="1792"/>
      <c r="W739" s="1792"/>
      <c r="X739" s="1792">
        <f>SUM(X740,X742,X744)</f>
        <v>46176</v>
      </c>
      <c r="Y739" s="1792"/>
      <c r="Z739" s="1792"/>
      <c r="AA739" s="1792"/>
      <c r="AB739" s="1792"/>
      <c r="AC739" s="1792"/>
      <c r="AD739" s="1792"/>
      <c r="AE739" s="1792"/>
      <c r="AF739" s="1792"/>
      <c r="AG739" s="1792"/>
      <c r="AO739" s="621">
        <f>N739-SUM('P&amp;L'!$D$38,'P&amp;L'!$D$40,'P&amp;L'!$D$41,'P&amp;L'!$D$42,'P&amp;L'!$D$43,'P&amp;L'!$D$51,'P&amp;L'!$D$47,'P&amp;L'!$D$50,'P&amp;L'!$D$52)</f>
        <v>0</v>
      </c>
      <c r="AP739" s="608">
        <f>X739-SUM('P&amp;L'!$E$38,'P&amp;L'!$E$40,'P&amp;L'!$E$41,'P&amp;L'!$E$42,'P&amp;L'!$E$43,'P&amp;L'!$E$51,'P&amp;L'!$E$47,'P&amp;L'!$E$50,'P&amp;L'!$E$52)</f>
        <v>0</v>
      </c>
    </row>
    <row r="740" spans="1:42" s="588" customFormat="1" ht="27.25" customHeight="1">
      <c r="A740" s="631"/>
      <c r="D740" s="1868" t="s">
        <v>292</v>
      </c>
      <c r="E740" s="1868"/>
      <c r="F740" s="1868"/>
      <c r="G740" s="1868"/>
      <c r="H740" s="1868"/>
      <c r="I740" s="1868"/>
      <c r="J740" s="1868"/>
      <c r="K740" s="1868"/>
      <c r="L740" s="1868"/>
      <c r="M740" s="1868"/>
      <c r="N740" s="1792">
        <f>SUM(N741)</f>
        <v>26681</v>
      </c>
      <c r="O740" s="1792"/>
      <c r="P740" s="1792"/>
      <c r="Q740" s="1792"/>
      <c r="R740" s="1792"/>
      <c r="S740" s="1792"/>
      <c r="T740" s="1792"/>
      <c r="U740" s="1792"/>
      <c r="V740" s="1792"/>
      <c r="W740" s="1792"/>
      <c r="X740" s="1792">
        <f>SUM(X741)</f>
        <v>46176</v>
      </c>
      <c r="Y740" s="1792"/>
      <c r="Z740" s="1792"/>
      <c r="AA740" s="1792"/>
      <c r="AB740" s="1792"/>
      <c r="AC740" s="1792"/>
      <c r="AD740" s="1792"/>
      <c r="AE740" s="1792"/>
      <c r="AF740" s="1792"/>
      <c r="AG740" s="1792"/>
      <c r="AO740" s="621">
        <f>N740-'P&amp;L'!$D$50</f>
        <v>0</v>
      </c>
      <c r="AP740" s="608">
        <f>X740-'P&amp;L'!$E$50</f>
        <v>0</v>
      </c>
    </row>
    <row r="741" spans="1:42" s="588" customFormat="1" ht="27.25" customHeight="1">
      <c r="A741" s="631"/>
      <c r="D741" s="1822" t="s">
        <v>293</v>
      </c>
      <c r="E741" s="1822"/>
      <c r="F741" s="1822"/>
      <c r="G741" s="1822"/>
      <c r="H741" s="1822"/>
      <c r="I741" s="1822"/>
      <c r="J741" s="1822"/>
      <c r="K741" s="1822"/>
      <c r="L741" s="1822"/>
      <c r="M741" s="1822"/>
      <c r="N741" s="1850">
        <v>26681</v>
      </c>
      <c r="O741" s="1850"/>
      <c r="P741" s="1850"/>
      <c r="Q741" s="1850"/>
      <c r="R741" s="1850"/>
      <c r="S741" s="1850"/>
      <c r="T741" s="1850"/>
      <c r="U741" s="1850"/>
      <c r="V741" s="1850"/>
      <c r="W741" s="1850"/>
      <c r="X741" s="1850">
        <v>46176</v>
      </c>
      <c r="Y741" s="1850"/>
      <c r="Z741" s="1850"/>
      <c r="AA741" s="1850"/>
      <c r="AB741" s="1850"/>
      <c r="AC741" s="1850"/>
      <c r="AD741" s="1850"/>
      <c r="AE741" s="1850"/>
      <c r="AF741" s="1850"/>
      <c r="AG741" s="1850"/>
      <c r="AO741" s="606"/>
      <c r="AP741" s="619"/>
    </row>
    <row r="742" spans="1:42" s="588" customFormat="1" ht="27.25" customHeight="1">
      <c r="A742" s="631"/>
      <c r="D742" s="1868" t="s">
        <v>294</v>
      </c>
      <c r="E742" s="1868"/>
      <c r="F742" s="1868"/>
      <c r="G742" s="1868"/>
      <c r="H742" s="1868"/>
      <c r="I742" s="1868"/>
      <c r="J742" s="1868"/>
      <c r="K742" s="1868"/>
      <c r="L742" s="1868"/>
      <c r="M742" s="1868"/>
      <c r="N742" s="1792">
        <f>SUM(N743)</f>
        <v>2</v>
      </c>
      <c r="O742" s="1792"/>
      <c r="P742" s="1792"/>
      <c r="Q742" s="1792"/>
      <c r="R742" s="1792"/>
      <c r="S742" s="1792"/>
      <c r="T742" s="1792"/>
      <c r="U742" s="1792"/>
      <c r="V742" s="1792"/>
      <c r="W742" s="1792"/>
      <c r="X742" s="1792">
        <f>SUM(X743)</f>
        <v>0</v>
      </c>
      <c r="Y742" s="1792"/>
      <c r="Z742" s="1792"/>
      <c r="AA742" s="1792"/>
      <c r="AB742" s="1792"/>
      <c r="AC742" s="1792"/>
      <c r="AD742" s="1792"/>
      <c r="AE742" s="1792"/>
      <c r="AF742" s="1792"/>
      <c r="AG742" s="1792"/>
      <c r="AO742" s="606"/>
      <c r="AP742" s="619"/>
    </row>
    <row r="743" spans="1:42" s="588" customFormat="1" ht="27.25" customHeight="1">
      <c r="A743" s="631"/>
      <c r="D743" s="1867" t="s">
        <v>2747</v>
      </c>
      <c r="E743" s="1822"/>
      <c r="F743" s="1822"/>
      <c r="G743" s="1822"/>
      <c r="H743" s="1822"/>
      <c r="I743" s="1822"/>
      <c r="J743" s="1822"/>
      <c r="K743" s="1822"/>
      <c r="L743" s="1822"/>
      <c r="M743" s="1822"/>
      <c r="N743" s="1792">
        <v>2</v>
      </c>
      <c r="O743" s="1792"/>
      <c r="P743" s="1792"/>
      <c r="Q743" s="1792"/>
      <c r="R743" s="1792"/>
      <c r="S743" s="1792"/>
      <c r="T743" s="1792"/>
      <c r="U743" s="1792"/>
      <c r="V743" s="1792"/>
      <c r="W743" s="1792"/>
      <c r="X743" s="1792">
        <v>0</v>
      </c>
      <c r="Y743" s="1792"/>
      <c r="Z743" s="1792"/>
      <c r="AA743" s="1792"/>
      <c r="AB743" s="1792"/>
      <c r="AC743" s="1792"/>
      <c r="AD743" s="1792"/>
      <c r="AE743" s="1792"/>
      <c r="AF743" s="1792"/>
      <c r="AG743" s="1792"/>
      <c r="AO743" s="606"/>
      <c r="AP743" s="619"/>
    </row>
    <row r="744" spans="1:42" s="588" customFormat="1" ht="27.25" customHeight="1">
      <c r="A744" s="631"/>
      <c r="D744" s="1867" t="s">
        <v>2748</v>
      </c>
      <c r="E744" s="1822"/>
      <c r="F744" s="1822"/>
      <c r="G744" s="1822"/>
      <c r="H744" s="1822"/>
      <c r="I744" s="1822"/>
      <c r="J744" s="1822"/>
      <c r="K744" s="1822"/>
      <c r="L744" s="1822"/>
      <c r="M744" s="1822"/>
      <c r="N744" s="1792">
        <v>0</v>
      </c>
      <c r="O744" s="1792"/>
      <c r="P744" s="1792"/>
      <c r="Q744" s="1792"/>
      <c r="R744" s="1792"/>
      <c r="S744" s="1792"/>
      <c r="T744" s="1792"/>
      <c r="U744" s="1792"/>
      <c r="V744" s="1792"/>
      <c r="W744" s="1792"/>
      <c r="X744" s="1792">
        <v>0</v>
      </c>
      <c r="Y744" s="1792"/>
      <c r="Z744" s="1792"/>
      <c r="AA744" s="1792"/>
      <c r="AB744" s="1792"/>
      <c r="AC744" s="1792"/>
      <c r="AD744" s="1792"/>
      <c r="AE744" s="1792"/>
      <c r="AF744" s="1792"/>
      <c r="AG744" s="1792"/>
      <c r="AO744" s="606"/>
      <c r="AP744" s="619"/>
    </row>
    <row r="745" spans="1:42" s="588" customFormat="1" ht="27.25" customHeight="1">
      <c r="A745" s="631"/>
      <c r="D745" s="1890" t="s">
        <v>295</v>
      </c>
      <c r="E745" s="1890"/>
      <c r="F745" s="1890"/>
      <c r="G745" s="1890"/>
      <c r="H745" s="1890"/>
      <c r="I745" s="1890"/>
      <c r="J745" s="1890"/>
      <c r="K745" s="1890"/>
      <c r="L745" s="1890"/>
      <c r="M745" s="1890"/>
      <c r="N745" s="1792"/>
      <c r="O745" s="1792"/>
      <c r="P745" s="1792"/>
      <c r="Q745" s="1792"/>
      <c r="R745" s="1792"/>
      <c r="S745" s="1792"/>
      <c r="T745" s="1792"/>
      <c r="U745" s="1792"/>
      <c r="V745" s="1792"/>
      <c r="W745" s="1792"/>
      <c r="X745" s="1792"/>
      <c r="Y745" s="1792"/>
      <c r="Z745" s="1792"/>
      <c r="AA745" s="1792"/>
      <c r="AB745" s="1792"/>
      <c r="AC745" s="1792"/>
      <c r="AD745" s="1792"/>
      <c r="AE745" s="1792"/>
      <c r="AF745" s="1792"/>
      <c r="AG745" s="1792"/>
      <c r="AO745" s="621">
        <f>N745-'P&amp;L old'!$D$60</f>
        <v>0</v>
      </c>
      <c r="AP745" s="608">
        <f>X745-'P&amp;L old'!$E$60</f>
        <v>0</v>
      </c>
    </row>
    <row r="746" spans="1:42" ht="14.25" customHeight="1">
      <c r="D746" s="665"/>
      <c r="E746" s="665"/>
      <c r="F746" s="665"/>
      <c r="G746" s="665"/>
      <c r="H746" s="665"/>
      <c r="I746" s="665"/>
      <c r="J746" s="665"/>
      <c r="K746" s="665"/>
      <c r="L746" s="665"/>
      <c r="M746" s="665"/>
    </row>
    <row r="747" spans="1:42" ht="14.25" customHeight="1">
      <c r="D747" s="1886" t="s">
        <v>1386</v>
      </c>
      <c r="E747" s="1886"/>
      <c r="F747" s="1886"/>
      <c r="G747" s="1886"/>
      <c r="H747" s="1886"/>
      <c r="I747" s="1886"/>
      <c r="J747" s="1886"/>
      <c r="K747" s="1886"/>
      <c r="L747" s="1886"/>
      <c r="M747" s="1886"/>
      <c r="N747" s="1886"/>
      <c r="O747" s="1886"/>
      <c r="P747" s="1886"/>
      <c r="Q747" s="1886"/>
      <c r="R747" s="1886"/>
      <c r="S747" s="1886"/>
      <c r="T747" s="1886"/>
      <c r="U747" s="1886"/>
      <c r="V747" s="1886"/>
      <c r="W747" s="1886"/>
      <c r="X747" s="1886"/>
      <c r="Y747" s="1886"/>
      <c r="Z747" s="1886"/>
      <c r="AA747" s="1886"/>
      <c r="AB747" s="1886"/>
      <c r="AC747" s="1886"/>
      <c r="AD747" s="1886"/>
      <c r="AE747" s="1886"/>
      <c r="AF747" s="1886"/>
      <c r="AG747" s="1886"/>
    </row>
    <row r="748" spans="1:42" ht="14.25" customHeight="1" thickBot="1">
      <c r="D748" s="665"/>
      <c r="E748" s="665"/>
      <c r="F748" s="665"/>
      <c r="G748" s="665"/>
      <c r="H748" s="665"/>
      <c r="I748" s="665"/>
      <c r="J748" s="665"/>
      <c r="K748" s="665"/>
      <c r="L748" s="665"/>
      <c r="M748" s="665"/>
    </row>
    <row r="749" spans="1:42" ht="14.25" customHeight="1" thickBot="1">
      <c r="D749" s="1887" t="s">
        <v>131</v>
      </c>
      <c r="E749" s="1888"/>
      <c r="F749" s="1888"/>
      <c r="G749" s="1888"/>
      <c r="H749" s="1888"/>
      <c r="I749" s="1888"/>
      <c r="J749" s="1888"/>
      <c r="K749" s="1888"/>
      <c r="L749" s="1888"/>
      <c r="M749" s="1889"/>
      <c r="N749" s="1877" t="s">
        <v>2</v>
      </c>
      <c r="O749" s="1878"/>
      <c r="P749" s="1878"/>
      <c r="Q749" s="1878"/>
      <c r="R749" s="1878"/>
      <c r="S749" s="1878"/>
      <c r="T749" s="1878"/>
      <c r="U749" s="1878"/>
      <c r="V749" s="1878"/>
      <c r="W749" s="1878"/>
      <c r="X749" s="1877" t="s">
        <v>3</v>
      </c>
      <c r="Y749" s="1878"/>
      <c r="Z749" s="1878"/>
      <c r="AA749" s="1878"/>
      <c r="AB749" s="1878"/>
      <c r="AC749" s="1878"/>
      <c r="AD749" s="1878"/>
      <c r="AE749" s="1878"/>
      <c r="AF749" s="1878"/>
      <c r="AG749" s="1881"/>
    </row>
    <row r="750" spans="1:42" ht="14.25" customHeight="1" thickTop="1" thickBot="1">
      <c r="D750" s="1887"/>
      <c r="E750" s="1888"/>
      <c r="F750" s="1888"/>
      <c r="G750" s="1888"/>
      <c r="H750" s="1888"/>
      <c r="I750" s="1888"/>
      <c r="J750" s="1888"/>
      <c r="K750" s="1888"/>
      <c r="L750" s="1888"/>
      <c r="M750" s="1889"/>
      <c r="N750" s="1879"/>
      <c r="O750" s="1880"/>
      <c r="P750" s="1880"/>
      <c r="Q750" s="1880"/>
      <c r="R750" s="1880"/>
      <c r="S750" s="1880"/>
      <c r="T750" s="1880"/>
      <c r="U750" s="1880"/>
      <c r="V750" s="1880"/>
      <c r="W750" s="1880"/>
      <c r="X750" s="1879"/>
      <c r="Y750" s="1880"/>
      <c r="Z750" s="1880"/>
      <c r="AA750" s="1880"/>
      <c r="AB750" s="1880"/>
      <c r="AC750" s="1880"/>
      <c r="AD750" s="1880"/>
      <c r="AE750" s="1880"/>
      <c r="AF750" s="1880"/>
      <c r="AG750" s="1882"/>
      <c r="AL750" s="656" t="s">
        <v>2</v>
      </c>
      <c r="AM750" s="658" t="s">
        <v>3</v>
      </c>
      <c r="AO750" s="656" t="s">
        <v>2</v>
      </c>
      <c r="AP750" s="658" t="s">
        <v>3</v>
      </c>
    </row>
    <row r="751" spans="1:42" ht="26.25" customHeight="1">
      <c r="D751" s="1883" t="s">
        <v>297</v>
      </c>
      <c r="E751" s="1884"/>
      <c r="F751" s="1884"/>
      <c r="G751" s="1884"/>
      <c r="H751" s="1884"/>
      <c r="I751" s="1884"/>
      <c r="J751" s="1884"/>
      <c r="K751" s="1884"/>
      <c r="L751" s="1884"/>
      <c r="M751" s="1885"/>
      <c r="N751" s="1832">
        <v>2877161</v>
      </c>
      <c r="O751" s="1832"/>
      <c r="P751" s="1832"/>
      <c r="Q751" s="1832"/>
      <c r="R751" s="1832"/>
      <c r="S751" s="1832"/>
      <c r="T751" s="1832"/>
      <c r="U751" s="1832"/>
      <c r="V751" s="1832"/>
      <c r="W751" s="1832"/>
      <c r="X751" s="1832">
        <v>2645663</v>
      </c>
      <c r="Y751" s="1832"/>
      <c r="Z751" s="1832"/>
      <c r="AA751" s="1832"/>
      <c r="AB751" s="1832"/>
      <c r="AC751" s="1832"/>
      <c r="AD751" s="1832"/>
      <c r="AE751" s="1832"/>
      <c r="AF751" s="1832"/>
      <c r="AG751" s="1832"/>
      <c r="AL751" s="640"/>
      <c r="AM751" s="638"/>
      <c r="AO751" s="630">
        <f>N751-'P&amp;L'!$D$12</f>
        <v>0</v>
      </c>
      <c r="AP751" s="614">
        <f>X751-'P&amp;L'!$E$12</f>
        <v>0</v>
      </c>
    </row>
    <row r="752" spans="1:42" ht="26.25" customHeight="1">
      <c r="D752" s="1825" t="s">
        <v>298</v>
      </c>
      <c r="E752" s="1826"/>
      <c r="F752" s="1826"/>
      <c r="G752" s="1826"/>
      <c r="H752" s="1826"/>
      <c r="I752" s="1826"/>
      <c r="J752" s="1826"/>
      <c r="K752" s="1826"/>
      <c r="L752" s="1826"/>
      <c r="M752" s="1827"/>
      <c r="N752" s="1792">
        <v>178722</v>
      </c>
      <c r="O752" s="1792"/>
      <c r="P752" s="1792"/>
      <c r="Q752" s="1792"/>
      <c r="R752" s="1792"/>
      <c r="S752" s="1792"/>
      <c r="T752" s="1792"/>
      <c r="U752" s="1792"/>
      <c r="V752" s="1792"/>
      <c r="W752" s="1792"/>
      <c r="X752" s="1792">
        <v>167741</v>
      </c>
      <c r="Y752" s="1792"/>
      <c r="Z752" s="1792"/>
      <c r="AA752" s="1792"/>
      <c r="AB752" s="1792"/>
      <c r="AC752" s="1792"/>
      <c r="AD752" s="1792"/>
      <c r="AE752" s="1792"/>
      <c r="AF752" s="1792"/>
      <c r="AG752" s="1792"/>
      <c r="AL752" s="357"/>
      <c r="AM752" s="356"/>
      <c r="AO752" s="621">
        <f>N752-'P&amp;L'!$D$13</f>
        <v>0</v>
      </c>
      <c r="AP752" s="608">
        <f>X752-'P&amp;L'!$E$13</f>
        <v>0</v>
      </c>
    </row>
    <row r="753" spans="1:42" ht="26.25" customHeight="1">
      <c r="D753" s="1825" t="s">
        <v>299</v>
      </c>
      <c r="E753" s="1826"/>
      <c r="F753" s="1826"/>
      <c r="G753" s="1826"/>
      <c r="H753" s="1826"/>
      <c r="I753" s="1826"/>
      <c r="J753" s="1826"/>
      <c r="K753" s="1826"/>
      <c r="L753" s="1826"/>
      <c r="M753" s="1827"/>
      <c r="N753" s="1792">
        <v>2422675</v>
      </c>
      <c r="O753" s="1792"/>
      <c r="P753" s="1792"/>
      <c r="Q753" s="1792"/>
      <c r="R753" s="1792"/>
      <c r="S753" s="1792"/>
      <c r="T753" s="1792"/>
      <c r="U753" s="1792"/>
      <c r="V753" s="1792"/>
      <c r="W753" s="1792"/>
      <c r="X753" s="1792">
        <v>2493976</v>
      </c>
      <c r="Y753" s="1792"/>
      <c r="Z753" s="1792"/>
      <c r="AA753" s="1792"/>
      <c r="AB753" s="1792"/>
      <c r="AC753" s="1792"/>
      <c r="AD753" s="1792"/>
      <c r="AE753" s="1792"/>
      <c r="AF753" s="1792"/>
      <c r="AG753" s="1792"/>
      <c r="AL753" s="357"/>
      <c r="AM753" s="356"/>
      <c r="AO753" s="621">
        <f>N753-'P&amp;L'!$D$11</f>
        <v>0</v>
      </c>
      <c r="AP753" s="608">
        <f>X753-'P&amp;L'!$E$11</f>
        <v>0</v>
      </c>
    </row>
    <row r="754" spans="1:42" ht="26.25" customHeight="1">
      <c r="D754" s="1825" t="s">
        <v>300</v>
      </c>
      <c r="E754" s="1826"/>
      <c r="F754" s="1826"/>
      <c r="G754" s="1826"/>
      <c r="H754" s="1826"/>
      <c r="I754" s="1826"/>
      <c r="J754" s="1826"/>
      <c r="K754" s="1826"/>
      <c r="L754" s="1826"/>
      <c r="M754" s="1827"/>
      <c r="N754" s="1843">
        <v>0</v>
      </c>
      <c r="O754" s="1843"/>
      <c r="P754" s="1843"/>
      <c r="Q754" s="1843"/>
      <c r="R754" s="1843"/>
      <c r="S754" s="1843"/>
      <c r="T754" s="1843"/>
      <c r="U754" s="1843"/>
      <c r="V754" s="1843"/>
      <c r="W754" s="1843"/>
      <c r="X754" s="1843">
        <v>0</v>
      </c>
      <c r="Y754" s="1843"/>
      <c r="Z754" s="1843"/>
      <c r="AA754" s="1843"/>
      <c r="AB754" s="1843"/>
      <c r="AC754" s="1843"/>
      <c r="AD754" s="1843"/>
      <c r="AE754" s="1843"/>
      <c r="AF754" s="1843"/>
      <c r="AG754" s="1843"/>
      <c r="AL754" s="357"/>
      <c r="AM754" s="356"/>
      <c r="AO754" s="668"/>
      <c r="AP754" s="669"/>
    </row>
    <row r="755" spans="1:42" ht="26.25" customHeight="1">
      <c r="D755" s="1825" t="s">
        <v>301</v>
      </c>
      <c r="E755" s="1826"/>
      <c r="F755" s="1826"/>
      <c r="G755" s="1826"/>
      <c r="H755" s="1826"/>
      <c r="I755" s="1826"/>
      <c r="J755" s="1826"/>
      <c r="K755" s="1826"/>
      <c r="L755" s="1826"/>
      <c r="M755" s="1827"/>
      <c r="N755" s="1843">
        <v>0</v>
      </c>
      <c r="O755" s="1843"/>
      <c r="P755" s="1843"/>
      <c r="Q755" s="1843"/>
      <c r="R755" s="1843"/>
      <c r="S755" s="1843"/>
      <c r="T755" s="1843"/>
      <c r="U755" s="1843"/>
      <c r="V755" s="1843"/>
      <c r="W755" s="1843"/>
      <c r="X755" s="1843">
        <v>0</v>
      </c>
      <c r="Y755" s="1843"/>
      <c r="Z755" s="1843"/>
      <c r="AA755" s="1843"/>
      <c r="AB755" s="1843"/>
      <c r="AC755" s="1843"/>
      <c r="AD755" s="1843"/>
      <c r="AE755" s="1843"/>
      <c r="AF755" s="1843"/>
      <c r="AG755" s="1843"/>
      <c r="AL755" s="357"/>
      <c r="AM755" s="356"/>
      <c r="AO755" s="621"/>
      <c r="AP755" s="608"/>
    </row>
    <row r="756" spans="1:42" ht="26.25" customHeight="1">
      <c r="D756" s="1825" t="s">
        <v>302</v>
      </c>
      <c r="E756" s="1826"/>
      <c r="F756" s="1826"/>
      <c r="G756" s="1826"/>
      <c r="H756" s="1826"/>
      <c r="I756" s="1826"/>
      <c r="J756" s="1826"/>
      <c r="K756" s="1826"/>
      <c r="L756" s="1826"/>
      <c r="M756" s="1827"/>
      <c r="N756" s="1847">
        <v>0</v>
      </c>
      <c r="O756" s="1847"/>
      <c r="P756" s="1847"/>
      <c r="Q756" s="1847"/>
      <c r="R756" s="1847"/>
      <c r="S756" s="1847"/>
      <c r="T756" s="1847"/>
      <c r="U756" s="1847"/>
      <c r="V756" s="1847"/>
      <c r="W756" s="1847"/>
      <c r="X756" s="1847">
        <v>0</v>
      </c>
      <c r="Y756" s="1847"/>
      <c r="Z756" s="1847"/>
      <c r="AA756" s="1847"/>
      <c r="AB756" s="1847"/>
      <c r="AC756" s="1847"/>
      <c r="AD756" s="1847"/>
      <c r="AE756" s="1847"/>
      <c r="AF756" s="1847"/>
      <c r="AG756" s="1847"/>
      <c r="AL756" s="357"/>
      <c r="AM756" s="356"/>
      <c r="AO756" s="668"/>
      <c r="AP756" s="669"/>
    </row>
    <row r="757" spans="1:42" ht="26.25" customHeight="1" thickBot="1">
      <c r="D757" s="1844" t="s">
        <v>303</v>
      </c>
      <c r="E757" s="1845"/>
      <c r="F757" s="1845"/>
      <c r="G757" s="1845"/>
      <c r="H757" s="1845"/>
      <c r="I757" s="1845"/>
      <c r="J757" s="1845"/>
      <c r="K757" s="1845"/>
      <c r="L757" s="1845"/>
      <c r="M757" s="1846"/>
      <c r="N757" s="1848">
        <f>SUM(N751:W756)</f>
        <v>5478558</v>
      </c>
      <c r="O757" s="1848"/>
      <c r="P757" s="1848"/>
      <c r="Q757" s="1848"/>
      <c r="R757" s="1848"/>
      <c r="S757" s="1848"/>
      <c r="T757" s="1848"/>
      <c r="U757" s="1848"/>
      <c r="V757" s="1848"/>
      <c r="W757" s="1848"/>
      <c r="X757" s="1848">
        <f>SUM(X751:AG756)</f>
        <v>5307380</v>
      </c>
      <c r="Y757" s="1848"/>
      <c r="Z757" s="1848"/>
      <c r="AA757" s="1848"/>
      <c r="AB757" s="1848"/>
      <c r="AC757" s="1848"/>
      <c r="AD757" s="1848"/>
      <c r="AE757" s="1848"/>
      <c r="AF757" s="1848"/>
      <c r="AG757" s="1848"/>
      <c r="AL757" s="670">
        <f>SUM(N751:W756)-N757</f>
        <v>0</v>
      </c>
      <c r="AM757" s="639">
        <f>SUM(X751:AG756)-X757</f>
        <v>0</v>
      </c>
      <c r="AO757" s="789">
        <f>N757-'P&amp;L'!D9</f>
        <v>0</v>
      </c>
      <c r="AP757" s="790">
        <f>X757-'P&amp;L'!E9</f>
        <v>0</v>
      </c>
    </row>
    <row r="759" spans="1:42" ht="14.25" customHeight="1">
      <c r="C759" s="786"/>
      <c r="D759" s="786"/>
      <c r="E759" s="786"/>
      <c r="F759" s="786"/>
      <c r="G759" s="786"/>
      <c r="H759" s="786"/>
      <c r="I759" s="786"/>
      <c r="J759" s="786"/>
      <c r="K759" s="786"/>
      <c r="L759" s="786"/>
      <c r="M759" s="786"/>
      <c r="N759" s="786"/>
      <c r="O759" s="786"/>
      <c r="P759" s="786"/>
      <c r="Q759" s="786"/>
      <c r="R759" s="786"/>
      <c r="S759" s="786"/>
      <c r="T759" s="786"/>
      <c r="U759" s="786"/>
      <c r="V759" s="786"/>
      <c r="W759" s="786"/>
      <c r="X759" s="786"/>
      <c r="Y759" s="786"/>
      <c r="Z759" s="786"/>
      <c r="AA759" s="786"/>
      <c r="AB759" s="786"/>
      <c r="AC759" s="786"/>
      <c r="AD759" s="786"/>
      <c r="AE759" s="786"/>
      <c r="AF759" s="786"/>
      <c r="AG759" s="786"/>
      <c r="AH759" s="786"/>
    </row>
    <row r="760" spans="1:42" s="1430" customFormat="1" ht="14.25" customHeight="1">
      <c r="A760" s="1431"/>
      <c r="D760" s="1869" t="s">
        <v>1387</v>
      </c>
      <c r="E760" s="1869"/>
      <c r="F760" s="1869"/>
      <c r="G760" s="1869"/>
      <c r="H760" s="1869"/>
      <c r="I760" s="1869"/>
      <c r="J760" s="1869"/>
      <c r="K760" s="1869"/>
      <c r="L760" s="1869"/>
      <c r="M760" s="1869"/>
      <c r="N760" s="1869"/>
      <c r="O760" s="1869"/>
      <c r="P760" s="1869"/>
      <c r="Q760" s="1869"/>
      <c r="R760" s="1869"/>
      <c r="S760" s="1869"/>
      <c r="T760" s="1869"/>
      <c r="U760" s="1869"/>
      <c r="V760" s="1869"/>
      <c r="W760" s="1869"/>
      <c r="X760" s="1869"/>
      <c r="Y760" s="1869"/>
      <c r="Z760" s="1869"/>
      <c r="AA760" s="1869"/>
      <c r="AB760" s="1869"/>
      <c r="AC760" s="1869"/>
      <c r="AD760" s="1869"/>
      <c r="AE760" s="1869"/>
      <c r="AF760" s="1869"/>
      <c r="AG760" s="1869"/>
    </row>
    <row r="761" spans="1:42" s="1430" customFormat="1" ht="14.25" customHeight="1">
      <c r="A761" s="1431"/>
    </row>
    <row r="762" spans="1:42" s="1430" customFormat="1" ht="14.25" customHeight="1">
      <c r="A762" s="1431"/>
      <c r="D762" s="2005" t="s">
        <v>1388</v>
      </c>
      <c r="E762" s="2005"/>
      <c r="F762" s="2005"/>
      <c r="G762" s="2005"/>
      <c r="H762" s="2005"/>
      <c r="I762" s="2005"/>
      <c r="J762" s="2005"/>
      <c r="K762" s="2005"/>
      <c r="L762" s="2005"/>
      <c r="M762" s="2005"/>
      <c r="N762" s="2005"/>
      <c r="O762" s="2005"/>
      <c r="P762" s="2005"/>
      <c r="Q762" s="2005"/>
      <c r="R762" s="2005"/>
      <c r="S762" s="2005"/>
      <c r="T762" s="2005"/>
      <c r="U762" s="2005"/>
      <c r="V762" s="2005"/>
      <c r="W762" s="2005"/>
      <c r="X762" s="2005"/>
      <c r="Y762" s="2005"/>
      <c r="Z762" s="2005"/>
      <c r="AA762" s="2005"/>
      <c r="AB762" s="2005"/>
      <c r="AC762" s="2005"/>
      <c r="AD762" s="2005"/>
      <c r="AE762" s="2005"/>
      <c r="AF762" s="2005"/>
      <c r="AG762" s="2005"/>
    </row>
    <row r="763" spans="1:42" s="1430" customFormat="1" ht="14.25" customHeight="1" thickBot="1">
      <c r="A763" s="1431"/>
    </row>
    <row r="764" spans="1:42" s="1430" customFormat="1" ht="14.25" customHeight="1" thickBot="1">
      <c r="A764" s="1431"/>
      <c r="D764" s="2275" t="s">
        <v>131</v>
      </c>
      <c r="E764" s="2276"/>
      <c r="F764" s="2276"/>
      <c r="G764" s="2276"/>
      <c r="H764" s="2276"/>
      <c r="I764" s="2276"/>
      <c r="J764" s="2276"/>
      <c r="K764" s="2276"/>
      <c r="L764" s="2276"/>
      <c r="M764" s="2277"/>
      <c r="N764" s="1877" t="s">
        <v>2</v>
      </c>
      <c r="O764" s="1878"/>
      <c r="P764" s="1878"/>
      <c r="Q764" s="1878"/>
      <c r="R764" s="1878"/>
      <c r="S764" s="1878"/>
      <c r="T764" s="1878"/>
      <c r="U764" s="1878"/>
      <c r="V764" s="1878"/>
      <c r="W764" s="1878"/>
      <c r="X764" s="1877" t="s">
        <v>3</v>
      </c>
      <c r="Y764" s="1878"/>
      <c r="Z764" s="1878"/>
      <c r="AA764" s="1878"/>
      <c r="AB764" s="1878"/>
      <c r="AC764" s="1878"/>
      <c r="AD764" s="1878"/>
      <c r="AE764" s="1878"/>
      <c r="AF764" s="1878"/>
      <c r="AG764" s="1881"/>
    </row>
    <row r="765" spans="1:42" s="1430" customFormat="1" ht="14.25" customHeight="1" thickTop="1" thickBot="1">
      <c r="A765" s="1431"/>
      <c r="D765" s="2278"/>
      <c r="E765" s="2279"/>
      <c r="F765" s="2279"/>
      <c r="G765" s="2279"/>
      <c r="H765" s="2279"/>
      <c r="I765" s="2279"/>
      <c r="J765" s="2279"/>
      <c r="K765" s="2279"/>
      <c r="L765" s="2279"/>
      <c r="M765" s="2280"/>
      <c r="N765" s="1879"/>
      <c r="O765" s="1880"/>
      <c r="P765" s="1880"/>
      <c r="Q765" s="1880"/>
      <c r="R765" s="1880"/>
      <c r="S765" s="1880"/>
      <c r="T765" s="1880"/>
      <c r="U765" s="1880"/>
      <c r="V765" s="1880"/>
      <c r="W765" s="1880"/>
      <c r="X765" s="1879"/>
      <c r="Y765" s="1880"/>
      <c r="Z765" s="1880"/>
      <c r="AA765" s="1880"/>
      <c r="AB765" s="1880"/>
      <c r="AC765" s="1880"/>
      <c r="AD765" s="1880"/>
      <c r="AE765" s="1880"/>
      <c r="AF765" s="1880"/>
      <c r="AG765" s="1882"/>
      <c r="AL765" s="1423" t="s">
        <v>2</v>
      </c>
      <c r="AM765" s="1425" t="s">
        <v>3</v>
      </c>
      <c r="AO765" s="1423" t="s">
        <v>2</v>
      </c>
      <c r="AP765" s="1425" t="s">
        <v>3</v>
      </c>
    </row>
    <row r="766" spans="1:42" s="1441" customFormat="1" ht="29.25" customHeight="1">
      <c r="A766" s="1440"/>
      <c r="D766" s="1959" t="s">
        <v>305</v>
      </c>
      <c r="E766" s="1960"/>
      <c r="F766" s="1960"/>
      <c r="G766" s="1960"/>
      <c r="H766" s="1960"/>
      <c r="I766" s="1960"/>
      <c r="J766" s="1960"/>
      <c r="K766" s="1960"/>
      <c r="L766" s="1960"/>
      <c r="M766" s="1961"/>
      <c r="N766" s="2187">
        <v>323531</v>
      </c>
      <c r="O766" s="2188"/>
      <c r="P766" s="2188"/>
      <c r="Q766" s="2188"/>
      <c r="R766" s="2188"/>
      <c r="S766" s="2188"/>
      <c r="T766" s="2188"/>
      <c r="U766" s="2188"/>
      <c r="V766" s="2188"/>
      <c r="W766" s="2189"/>
      <c r="X766" s="2187">
        <v>441930</v>
      </c>
      <c r="Y766" s="2188"/>
      <c r="Z766" s="2188"/>
      <c r="AA766" s="2188"/>
      <c r="AB766" s="2188"/>
      <c r="AC766" s="2188"/>
      <c r="AD766" s="2188"/>
      <c r="AE766" s="2188"/>
      <c r="AF766" s="2188"/>
      <c r="AG766" s="2189"/>
      <c r="AL766" s="1442">
        <f>N766-N767-N773</f>
        <v>0</v>
      </c>
      <c r="AM766" s="1442">
        <f>SUM(O767:O782)-O766-O773</f>
        <v>0</v>
      </c>
      <c r="AO766" s="1442">
        <f>N766-'P&amp;L'!$D$22</f>
        <v>0</v>
      </c>
      <c r="AP766" s="1443">
        <f>X766-'P&amp;L'!$E$22</f>
        <v>0</v>
      </c>
    </row>
    <row r="767" spans="1:42" s="1441" customFormat="1" ht="29.25" customHeight="1">
      <c r="A767" s="1440"/>
      <c r="D767" s="1908" t="s">
        <v>1733</v>
      </c>
      <c r="E767" s="1909"/>
      <c r="F767" s="1909"/>
      <c r="G767" s="1909"/>
      <c r="H767" s="1909"/>
      <c r="I767" s="1909"/>
      <c r="J767" s="1909"/>
      <c r="K767" s="1909"/>
      <c r="L767" s="1909"/>
      <c r="M767" s="1910"/>
      <c r="N767" s="1833">
        <f>N768+N771</f>
        <v>16600</v>
      </c>
      <c r="O767" s="1834"/>
      <c r="P767" s="1834"/>
      <c r="Q767" s="1834"/>
      <c r="R767" s="1834"/>
      <c r="S767" s="1834"/>
      <c r="T767" s="1834"/>
      <c r="U767" s="1834"/>
      <c r="V767" s="1834"/>
      <c r="W767" s="1835"/>
      <c r="X767" s="1833">
        <f>X768+X771</f>
        <v>16000</v>
      </c>
      <c r="Y767" s="1834"/>
      <c r="Z767" s="1834"/>
      <c r="AA767" s="1834"/>
      <c r="AB767" s="1834"/>
      <c r="AC767" s="1834"/>
      <c r="AD767" s="1834"/>
      <c r="AE767" s="1834"/>
      <c r="AF767" s="1834"/>
      <c r="AG767" s="1835"/>
      <c r="AJ767" s="1515"/>
      <c r="AL767" s="1444"/>
      <c r="AM767" s="1445"/>
      <c r="AO767" s="1444"/>
      <c r="AP767" s="1445"/>
    </row>
    <row r="768" spans="1:42" s="1441" customFormat="1" ht="29.25" customHeight="1">
      <c r="A768" s="1440"/>
      <c r="D768" s="1908" t="s">
        <v>307</v>
      </c>
      <c r="E768" s="1909"/>
      <c r="F768" s="1909"/>
      <c r="G768" s="1909"/>
      <c r="H768" s="1909"/>
      <c r="I768" s="1909"/>
      <c r="J768" s="1909"/>
      <c r="K768" s="1909"/>
      <c r="L768" s="1909"/>
      <c r="M768" s="1910"/>
      <c r="N768" s="1833">
        <v>16600</v>
      </c>
      <c r="O768" s="1834"/>
      <c r="P768" s="1834"/>
      <c r="Q768" s="1834"/>
      <c r="R768" s="1834"/>
      <c r="S768" s="1834"/>
      <c r="T768" s="1834"/>
      <c r="U768" s="1834"/>
      <c r="V768" s="1834"/>
      <c r="W768" s="1835"/>
      <c r="X768" s="1833">
        <v>16000</v>
      </c>
      <c r="Y768" s="1834"/>
      <c r="Z768" s="1834"/>
      <c r="AA768" s="1834"/>
      <c r="AB768" s="1834"/>
      <c r="AC768" s="1834"/>
      <c r="AD768" s="1834"/>
      <c r="AE768" s="1834"/>
      <c r="AF768" s="1834"/>
      <c r="AG768" s="1835"/>
      <c r="AL768" s="1446"/>
      <c r="AM768" s="1445"/>
      <c r="AO768" s="1447"/>
      <c r="AP768" s="1448"/>
    </row>
    <row r="769" spans="1:42" s="1441" customFormat="1" ht="29.25" customHeight="1">
      <c r="A769" s="1440"/>
      <c r="D769" s="1908" t="s">
        <v>308</v>
      </c>
      <c r="E769" s="1909"/>
      <c r="F769" s="1909"/>
      <c r="G769" s="1909"/>
      <c r="H769" s="1909"/>
      <c r="I769" s="1909"/>
      <c r="J769" s="1909"/>
      <c r="K769" s="1909"/>
      <c r="L769" s="1909"/>
      <c r="M769" s="1910"/>
      <c r="N769" s="1833">
        <v>0</v>
      </c>
      <c r="O769" s="1834"/>
      <c r="P769" s="1834"/>
      <c r="Q769" s="1834"/>
      <c r="R769" s="1834"/>
      <c r="S769" s="1834"/>
      <c r="T769" s="1834"/>
      <c r="U769" s="1834"/>
      <c r="V769" s="1834"/>
      <c r="W769" s="1835"/>
      <c r="X769" s="1833">
        <v>0</v>
      </c>
      <c r="Y769" s="1834"/>
      <c r="Z769" s="1834"/>
      <c r="AA769" s="1834"/>
      <c r="AB769" s="1834"/>
      <c r="AC769" s="1834"/>
      <c r="AD769" s="1834"/>
      <c r="AE769" s="1834"/>
      <c r="AF769" s="1834"/>
      <c r="AG769" s="1835"/>
      <c r="AL769" s="1446"/>
      <c r="AM769" s="1445"/>
      <c r="AO769" s="1449"/>
      <c r="AP769" s="1450"/>
    </row>
    <row r="770" spans="1:42" s="1441" customFormat="1" ht="29.25" customHeight="1">
      <c r="A770" s="1440"/>
      <c r="D770" s="1908" t="s">
        <v>309</v>
      </c>
      <c r="E770" s="1909"/>
      <c r="F770" s="1909"/>
      <c r="G770" s="1909"/>
      <c r="H770" s="1909"/>
      <c r="I770" s="1909"/>
      <c r="J770" s="1909"/>
      <c r="K770" s="1909"/>
      <c r="L770" s="1909"/>
      <c r="M770" s="1910"/>
      <c r="N770" s="1833">
        <v>0</v>
      </c>
      <c r="O770" s="1834"/>
      <c r="P770" s="1834"/>
      <c r="Q770" s="1834"/>
      <c r="R770" s="1834"/>
      <c r="S770" s="1834"/>
      <c r="T770" s="1834"/>
      <c r="U770" s="1834"/>
      <c r="V770" s="1834"/>
      <c r="W770" s="1835"/>
      <c r="X770" s="1833">
        <v>0</v>
      </c>
      <c r="Y770" s="1834"/>
      <c r="Z770" s="1834"/>
      <c r="AA770" s="1834"/>
      <c r="AB770" s="1834"/>
      <c r="AC770" s="1834"/>
      <c r="AD770" s="1834"/>
      <c r="AE770" s="1834"/>
      <c r="AF770" s="1834"/>
      <c r="AG770" s="1835"/>
      <c r="AL770" s="1446"/>
      <c r="AM770" s="1445"/>
      <c r="AO770" s="1447"/>
      <c r="AP770" s="1448"/>
    </row>
    <row r="771" spans="1:42" s="1441" customFormat="1" ht="29.25" customHeight="1">
      <c r="A771" s="1440"/>
      <c r="D771" s="1908" t="s">
        <v>310</v>
      </c>
      <c r="E771" s="1909"/>
      <c r="F771" s="1909"/>
      <c r="G771" s="1909"/>
      <c r="H771" s="1909"/>
      <c r="I771" s="1909"/>
      <c r="J771" s="1909"/>
      <c r="K771" s="1909"/>
      <c r="L771" s="1909"/>
      <c r="M771" s="1910"/>
      <c r="N771" s="1833">
        <v>0</v>
      </c>
      <c r="O771" s="1834"/>
      <c r="P771" s="1834"/>
      <c r="Q771" s="1834"/>
      <c r="R771" s="1834"/>
      <c r="S771" s="1834"/>
      <c r="T771" s="1834"/>
      <c r="U771" s="1834"/>
      <c r="V771" s="1834"/>
      <c r="W771" s="1835"/>
      <c r="X771" s="1833">
        <v>0</v>
      </c>
      <c r="Y771" s="1834"/>
      <c r="Z771" s="1834"/>
      <c r="AA771" s="1834"/>
      <c r="AB771" s="1834"/>
      <c r="AC771" s="1834"/>
      <c r="AD771" s="1834"/>
      <c r="AE771" s="1834"/>
      <c r="AF771" s="1834"/>
      <c r="AG771" s="1835"/>
      <c r="AL771" s="1446"/>
      <c r="AM771" s="1445"/>
      <c r="AO771" s="1449"/>
      <c r="AP771" s="1450"/>
    </row>
    <row r="772" spans="1:42" s="1441" customFormat="1" ht="29.25" customHeight="1" thickBot="1">
      <c r="A772" s="1440"/>
      <c r="D772" s="2053" t="s">
        <v>311</v>
      </c>
      <c r="E772" s="2064"/>
      <c r="F772" s="2064"/>
      <c r="G772" s="2064"/>
      <c r="H772" s="2064"/>
      <c r="I772" s="2064"/>
      <c r="J772" s="2064"/>
      <c r="K772" s="2064"/>
      <c r="L772" s="2064"/>
      <c r="M772" s="2065"/>
      <c r="N772" s="1833">
        <v>0</v>
      </c>
      <c r="O772" s="1834"/>
      <c r="P772" s="1834"/>
      <c r="Q772" s="1834"/>
      <c r="R772" s="1834"/>
      <c r="S772" s="1834"/>
      <c r="T772" s="1834"/>
      <c r="U772" s="1834"/>
      <c r="V772" s="1834"/>
      <c r="W772" s="1835"/>
      <c r="X772" s="1833">
        <v>0</v>
      </c>
      <c r="Y772" s="1834"/>
      <c r="Z772" s="1834"/>
      <c r="AA772" s="1834"/>
      <c r="AB772" s="1834"/>
      <c r="AC772" s="1834"/>
      <c r="AD772" s="1834"/>
      <c r="AE772" s="1834"/>
      <c r="AF772" s="1834"/>
      <c r="AG772" s="1835"/>
      <c r="AL772" s="1444"/>
      <c r="AM772" s="1445"/>
      <c r="AO772" s="1449"/>
      <c r="AP772" s="1450"/>
    </row>
    <row r="773" spans="1:42" s="1441" customFormat="1" ht="29.25" customHeight="1">
      <c r="A773" s="1440"/>
      <c r="D773" s="1959" t="s">
        <v>2749</v>
      </c>
      <c r="E773" s="1960"/>
      <c r="F773" s="1960"/>
      <c r="G773" s="1960"/>
      <c r="H773" s="1960"/>
      <c r="I773" s="1960"/>
      <c r="J773" s="1960"/>
      <c r="K773" s="1960"/>
      <c r="L773" s="1960"/>
      <c r="M773" s="1961"/>
      <c r="N773" s="1833">
        <f>N766-N767</f>
        <v>306931</v>
      </c>
      <c r="O773" s="1834"/>
      <c r="P773" s="1834"/>
      <c r="Q773" s="1834"/>
      <c r="R773" s="1834"/>
      <c r="S773" s="1834"/>
      <c r="T773" s="1834"/>
      <c r="U773" s="1834"/>
      <c r="V773" s="1834"/>
      <c r="W773" s="1835"/>
      <c r="X773" s="1833">
        <f>SUM(X774:AG782)</f>
        <v>425930</v>
      </c>
      <c r="Y773" s="1834"/>
      <c r="Z773" s="1834"/>
      <c r="AA773" s="1834"/>
      <c r="AB773" s="1834"/>
      <c r="AC773" s="1834"/>
      <c r="AD773" s="1834"/>
      <c r="AE773" s="1834"/>
      <c r="AF773" s="1834"/>
      <c r="AG773" s="1835"/>
      <c r="AI773" s="1515"/>
      <c r="AJ773" s="1515"/>
      <c r="AL773" s="1444"/>
      <c r="AM773" s="1445"/>
      <c r="AO773" s="1447"/>
      <c r="AP773" s="1448"/>
    </row>
    <row r="774" spans="1:42" s="1441" customFormat="1" ht="29.25" customHeight="1">
      <c r="A774" s="1440"/>
      <c r="D774" s="1908" t="s">
        <v>2751</v>
      </c>
      <c r="E774" s="1909"/>
      <c r="F774" s="1909"/>
      <c r="G774" s="1909"/>
      <c r="H774" s="1909"/>
      <c r="I774" s="1909"/>
      <c r="J774" s="1909"/>
      <c r="K774" s="1909"/>
      <c r="L774" s="1909"/>
      <c r="M774" s="1910"/>
      <c r="N774" s="1833">
        <v>14740</v>
      </c>
      <c r="O774" s="1834"/>
      <c r="P774" s="1834"/>
      <c r="Q774" s="1834"/>
      <c r="R774" s="1834"/>
      <c r="S774" s="1834"/>
      <c r="T774" s="1834"/>
      <c r="U774" s="1834"/>
      <c r="V774" s="1834"/>
      <c r="W774" s="1835"/>
      <c r="X774" s="2202">
        <v>23798</v>
      </c>
      <c r="Y774" s="2203"/>
      <c r="Z774" s="2203"/>
      <c r="AA774" s="2203"/>
      <c r="AB774" s="2203"/>
      <c r="AC774" s="2203"/>
      <c r="AD774" s="2203"/>
      <c r="AE774" s="2203"/>
      <c r="AF774" s="2203"/>
      <c r="AG774" s="2204"/>
      <c r="AJ774" s="1515"/>
      <c r="AL774" s="1446"/>
      <c r="AM774" s="1445"/>
      <c r="AO774" s="1446"/>
      <c r="AP774" s="1451"/>
    </row>
    <row r="775" spans="1:42" s="1441" customFormat="1" ht="29.25" customHeight="1">
      <c r="A775" s="1440"/>
      <c r="D775" s="1908" t="s">
        <v>2752</v>
      </c>
      <c r="E775" s="1909"/>
      <c r="F775" s="1909"/>
      <c r="G775" s="1909"/>
      <c r="H775" s="1909"/>
      <c r="I775" s="1909"/>
      <c r="J775" s="1909"/>
      <c r="K775" s="1909"/>
      <c r="L775" s="1909"/>
      <c r="M775" s="1910"/>
      <c r="N775" s="1833">
        <v>7460</v>
      </c>
      <c r="O775" s="1834"/>
      <c r="P775" s="1834"/>
      <c r="Q775" s="1834"/>
      <c r="R775" s="1834"/>
      <c r="S775" s="1834"/>
      <c r="T775" s="1834"/>
      <c r="U775" s="1834"/>
      <c r="V775" s="1834"/>
      <c r="W775" s="1835"/>
      <c r="X775" s="2202">
        <v>9822</v>
      </c>
      <c r="Y775" s="2203"/>
      <c r="Z775" s="2203"/>
      <c r="AA775" s="2203"/>
      <c r="AB775" s="2203"/>
      <c r="AC775" s="2203"/>
      <c r="AD775" s="2203"/>
      <c r="AE775" s="2203"/>
      <c r="AF775" s="2203"/>
      <c r="AG775" s="2204"/>
      <c r="AL775" s="1446"/>
      <c r="AM775" s="1445"/>
      <c r="AO775" s="1446"/>
      <c r="AP775" s="1451"/>
    </row>
    <row r="776" spans="1:42" s="1441" customFormat="1" ht="29.25" customHeight="1">
      <c r="A776" s="1440"/>
      <c r="D776" s="2270" t="s">
        <v>285</v>
      </c>
      <c r="E776" s="2271"/>
      <c r="F776" s="2271"/>
      <c r="G776" s="2271"/>
      <c r="H776" s="2271"/>
      <c r="I776" s="2271"/>
      <c r="J776" s="2271"/>
      <c r="K776" s="2271"/>
      <c r="L776" s="2271"/>
      <c r="M776" s="2272"/>
      <c r="N776" s="1833">
        <v>6141</v>
      </c>
      <c r="O776" s="1834"/>
      <c r="P776" s="1834"/>
      <c r="Q776" s="1834"/>
      <c r="R776" s="1834"/>
      <c r="S776" s="1834"/>
      <c r="T776" s="1834"/>
      <c r="U776" s="1834"/>
      <c r="V776" s="1834"/>
      <c r="W776" s="1835"/>
      <c r="X776" s="1833">
        <v>6643</v>
      </c>
      <c r="Y776" s="1834"/>
      <c r="Z776" s="1834"/>
      <c r="AA776" s="1834"/>
      <c r="AB776" s="1834"/>
      <c r="AC776" s="1834"/>
      <c r="AD776" s="1834"/>
      <c r="AE776" s="1834"/>
      <c r="AF776" s="1834"/>
      <c r="AG776" s="1835"/>
      <c r="AL776" s="1446"/>
      <c r="AM776" s="1445"/>
      <c r="AO776" s="1446"/>
      <c r="AP776" s="1451"/>
    </row>
    <row r="777" spans="1:42" s="1441" customFormat="1" ht="29.25" customHeight="1">
      <c r="A777" s="1440"/>
      <c r="D777" s="1908" t="s">
        <v>2750</v>
      </c>
      <c r="E777" s="1909"/>
      <c r="F777" s="1909"/>
      <c r="G777" s="1909"/>
      <c r="H777" s="1909"/>
      <c r="I777" s="1909"/>
      <c r="J777" s="1909"/>
      <c r="K777" s="1909"/>
      <c r="L777" s="1909"/>
      <c r="M777" s="1910"/>
      <c r="N777" s="1833">
        <v>37555</v>
      </c>
      <c r="O777" s="1834"/>
      <c r="P777" s="1834"/>
      <c r="Q777" s="1834"/>
      <c r="R777" s="1834"/>
      <c r="S777" s="1834"/>
      <c r="T777" s="1834"/>
      <c r="U777" s="1834"/>
      <c r="V777" s="1834"/>
      <c r="W777" s="1835"/>
      <c r="X777" s="1833">
        <v>46928</v>
      </c>
      <c r="Y777" s="1834"/>
      <c r="Z777" s="1834"/>
      <c r="AA777" s="1834"/>
      <c r="AB777" s="1834"/>
      <c r="AC777" s="1834"/>
      <c r="AD777" s="1834"/>
      <c r="AE777" s="1834"/>
      <c r="AF777" s="1834"/>
      <c r="AG777" s="1835"/>
      <c r="AL777" s="1446"/>
      <c r="AM777" s="1445"/>
      <c r="AO777" s="1446"/>
      <c r="AP777" s="1451"/>
    </row>
    <row r="778" spans="1:42" s="1441" customFormat="1" ht="29.25" customHeight="1">
      <c r="A778" s="1440"/>
      <c r="D778" s="1908" t="s">
        <v>2753</v>
      </c>
      <c r="E778" s="1909"/>
      <c r="F778" s="1909"/>
      <c r="G778" s="1909"/>
      <c r="H778" s="1909"/>
      <c r="I778" s="1909"/>
      <c r="J778" s="1909"/>
      <c r="K778" s="1909"/>
      <c r="L778" s="1909"/>
      <c r="M778" s="1910"/>
      <c r="N778" s="1833">
        <v>30550</v>
      </c>
      <c r="O778" s="1834"/>
      <c r="P778" s="1834"/>
      <c r="Q778" s="1834"/>
      <c r="R778" s="1834"/>
      <c r="S778" s="1834"/>
      <c r="T778" s="1834"/>
      <c r="U778" s="1834"/>
      <c r="V778" s="1834"/>
      <c r="W778" s="1835"/>
      <c r="X778" s="1833">
        <v>37056</v>
      </c>
      <c r="Y778" s="1834"/>
      <c r="Z778" s="1834"/>
      <c r="AA778" s="1834"/>
      <c r="AB778" s="1834"/>
      <c r="AC778" s="1834"/>
      <c r="AD778" s="1834"/>
      <c r="AE778" s="1834"/>
      <c r="AF778" s="1834"/>
      <c r="AG778" s="1835"/>
      <c r="AL778" s="1446"/>
      <c r="AM778" s="1445"/>
      <c r="AO778" s="1446"/>
      <c r="AP778" s="1451"/>
    </row>
    <row r="779" spans="1:42" s="1441" customFormat="1" ht="29.25" customHeight="1">
      <c r="A779" s="1440"/>
      <c r="D779" s="1908" t="s">
        <v>2754</v>
      </c>
      <c r="E779" s="1909"/>
      <c r="F779" s="1909"/>
      <c r="G779" s="1909"/>
      <c r="H779" s="1909"/>
      <c r="I779" s="1909"/>
      <c r="J779" s="1909"/>
      <c r="K779" s="1909"/>
      <c r="L779" s="1909"/>
      <c r="M779" s="1910"/>
      <c r="N779" s="1833">
        <v>3444</v>
      </c>
      <c r="O779" s="1834"/>
      <c r="P779" s="1834"/>
      <c r="Q779" s="1834"/>
      <c r="R779" s="1834"/>
      <c r="S779" s="1834"/>
      <c r="T779" s="1834"/>
      <c r="U779" s="1834"/>
      <c r="V779" s="1834"/>
      <c r="W779" s="1835"/>
      <c r="X779" s="1833">
        <v>766</v>
      </c>
      <c r="Y779" s="1834"/>
      <c r="Z779" s="1834"/>
      <c r="AA779" s="1834"/>
      <c r="AB779" s="1834"/>
      <c r="AC779" s="1834"/>
      <c r="AD779" s="1834"/>
      <c r="AE779" s="1834"/>
      <c r="AF779" s="1834"/>
      <c r="AG779" s="1835"/>
      <c r="AL779" s="1446"/>
      <c r="AM779" s="1445"/>
      <c r="AO779" s="1446"/>
      <c r="AP779" s="1451"/>
    </row>
    <row r="780" spans="1:42" s="1441" customFormat="1" ht="29.25" customHeight="1">
      <c r="A780" s="1440"/>
      <c r="D780" s="1908" t="s">
        <v>2755</v>
      </c>
      <c r="E780" s="1909"/>
      <c r="F780" s="1909"/>
      <c r="G780" s="1909"/>
      <c r="H780" s="1909"/>
      <c r="I780" s="1909"/>
      <c r="J780" s="1909"/>
      <c r="K780" s="1909"/>
      <c r="L780" s="1909"/>
      <c r="M780" s="1910"/>
      <c r="N780" s="1833">
        <v>112009</v>
      </c>
      <c r="O780" s="1834"/>
      <c r="P780" s="1834"/>
      <c r="Q780" s="1834"/>
      <c r="R780" s="1834"/>
      <c r="S780" s="1834"/>
      <c r="T780" s="1834"/>
      <c r="U780" s="1834"/>
      <c r="V780" s="1834"/>
      <c r="W780" s="1835"/>
      <c r="X780" s="1833">
        <v>236407</v>
      </c>
      <c r="Y780" s="1834"/>
      <c r="Z780" s="1834"/>
      <c r="AA780" s="1834"/>
      <c r="AB780" s="1834"/>
      <c r="AC780" s="1834"/>
      <c r="AD780" s="1834"/>
      <c r="AE780" s="1834"/>
      <c r="AF780" s="1834"/>
      <c r="AG780" s="1835"/>
      <c r="AL780" s="1446"/>
      <c r="AM780" s="1445"/>
      <c r="AO780" s="1446"/>
      <c r="AP780" s="1451"/>
    </row>
    <row r="781" spans="1:42" s="1441" customFormat="1" ht="29.25" customHeight="1">
      <c r="A781" s="1440"/>
      <c r="D781" s="1908" t="s">
        <v>2760</v>
      </c>
      <c r="E781" s="1909"/>
      <c r="F781" s="1909"/>
      <c r="G781" s="1909"/>
      <c r="H781" s="1909"/>
      <c r="I781" s="1909"/>
      <c r="J781" s="1909"/>
      <c r="K781" s="1909"/>
      <c r="L781" s="1909"/>
      <c r="M781" s="1910"/>
      <c r="N781" s="1833">
        <v>1606</v>
      </c>
      <c r="O781" s="1834"/>
      <c r="P781" s="1834"/>
      <c r="Q781" s="1834"/>
      <c r="R781" s="1834"/>
      <c r="S781" s="1834"/>
      <c r="T781" s="1834"/>
      <c r="U781" s="1834"/>
      <c r="V781" s="1834"/>
      <c r="W781" s="1835"/>
      <c r="X781" s="1833">
        <v>3146</v>
      </c>
      <c r="Y781" s="1834"/>
      <c r="Z781" s="1834"/>
      <c r="AA781" s="1834"/>
      <c r="AB781" s="1834"/>
      <c r="AC781" s="1834"/>
      <c r="AD781" s="1834"/>
      <c r="AE781" s="1834"/>
      <c r="AF781" s="1834"/>
      <c r="AG781" s="1835"/>
      <c r="AL781" s="1446"/>
      <c r="AM781" s="1445"/>
      <c r="AO781" s="1446"/>
      <c r="AP781" s="1451"/>
    </row>
    <row r="782" spans="1:42" s="1441" customFormat="1" ht="29.25" customHeight="1">
      <c r="A782" s="1440"/>
      <c r="D782" s="1908" t="s">
        <v>2741</v>
      </c>
      <c r="E782" s="1909"/>
      <c r="F782" s="1909"/>
      <c r="G782" s="1909"/>
      <c r="H782" s="1909"/>
      <c r="I782" s="1909"/>
      <c r="J782" s="1909"/>
      <c r="K782" s="1909"/>
      <c r="L782" s="1909"/>
      <c r="M782" s="1910"/>
      <c r="N782" s="1833">
        <f>N773-N774-N775-N776-N777-N778-N779-N780-N781</f>
        <v>93426</v>
      </c>
      <c r="O782" s="1834"/>
      <c r="P782" s="1834"/>
      <c r="Q782" s="1834"/>
      <c r="R782" s="1834"/>
      <c r="S782" s="1834"/>
      <c r="T782" s="1834"/>
      <c r="U782" s="1834"/>
      <c r="V782" s="1834"/>
      <c r="W782" s="1835"/>
      <c r="X782" s="1833">
        <v>61364</v>
      </c>
      <c r="Y782" s="1834"/>
      <c r="Z782" s="1834"/>
      <c r="AA782" s="1834"/>
      <c r="AB782" s="1834"/>
      <c r="AC782" s="1834"/>
      <c r="AD782" s="1834"/>
      <c r="AE782" s="1834"/>
      <c r="AF782" s="1834"/>
      <c r="AG782" s="1835"/>
      <c r="AL782" s="1444">
        <f>N766-N767-N773</f>
        <v>0</v>
      </c>
      <c r="AM782" s="1445">
        <f>O766-O767-O773</f>
        <v>0</v>
      </c>
      <c r="AO782" s="1446"/>
      <c r="AP782" s="1451"/>
    </row>
    <row r="783" spans="1:42" s="1441" customFormat="1" ht="29.25" customHeight="1">
      <c r="A783" s="1440"/>
      <c r="D783" s="1890" t="s">
        <v>313</v>
      </c>
      <c r="E783" s="1890"/>
      <c r="F783" s="1890"/>
      <c r="G783" s="1890"/>
      <c r="H783" s="1890"/>
      <c r="I783" s="1890"/>
      <c r="J783" s="1890"/>
      <c r="K783" s="1890"/>
      <c r="L783" s="1890"/>
      <c r="M783" s="1890"/>
      <c r="N783" s="1847">
        <f>SUM(N784:W789)</f>
        <v>903493</v>
      </c>
      <c r="O783" s="1847"/>
      <c r="P783" s="1847"/>
      <c r="Q783" s="1847"/>
      <c r="R783" s="1847"/>
      <c r="S783" s="1847"/>
      <c r="T783" s="1847"/>
      <c r="U783" s="1847"/>
      <c r="V783" s="1847"/>
      <c r="W783" s="1847"/>
      <c r="X783" s="1847">
        <f>SUM(X784:AG789)</f>
        <v>86546</v>
      </c>
      <c r="Y783" s="1847"/>
      <c r="Z783" s="1847"/>
      <c r="AA783" s="1847"/>
      <c r="AB783" s="1847"/>
      <c r="AC783" s="1847"/>
      <c r="AD783" s="1847"/>
      <c r="AE783" s="1847"/>
      <c r="AF783" s="1847"/>
      <c r="AG783" s="1847"/>
      <c r="AL783" s="1446"/>
      <c r="AM783" s="1445"/>
      <c r="AO783" s="1446"/>
      <c r="AP783" s="1451"/>
    </row>
    <row r="784" spans="1:42" s="1441" customFormat="1" ht="29.25" customHeight="1">
      <c r="A784" s="1440"/>
      <c r="D784" s="1908" t="s">
        <v>2756</v>
      </c>
      <c r="E784" s="1909"/>
      <c r="F784" s="1909"/>
      <c r="G784" s="1909"/>
      <c r="H784" s="1909"/>
      <c r="I784" s="1909"/>
      <c r="J784" s="1909"/>
      <c r="K784" s="1909"/>
      <c r="L784" s="1909"/>
      <c r="M784" s="1910"/>
      <c r="N784" s="1847">
        <v>0</v>
      </c>
      <c r="O784" s="1847"/>
      <c r="P784" s="1847"/>
      <c r="Q784" s="1847"/>
      <c r="R784" s="1847"/>
      <c r="S784" s="1847"/>
      <c r="T784" s="1847"/>
      <c r="U784" s="1847"/>
      <c r="V784" s="1847"/>
      <c r="W784" s="1847"/>
      <c r="X784" s="1847">
        <v>0</v>
      </c>
      <c r="Y784" s="1847"/>
      <c r="Z784" s="1847"/>
      <c r="AA784" s="1847"/>
      <c r="AB784" s="1847"/>
      <c r="AC784" s="1847"/>
      <c r="AD784" s="1847"/>
      <c r="AE784" s="1847"/>
      <c r="AF784" s="1847"/>
      <c r="AG784" s="1847"/>
      <c r="AL784" s="1446"/>
      <c r="AM784" s="1445"/>
      <c r="AO784" s="1446"/>
      <c r="AP784" s="1451"/>
    </row>
    <row r="785" spans="1:42" s="1441" customFormat="1" ht="29.25" customHeight="1">
      <c r="A785" s="1440"/>
      <c r="D785" s="1908" t="s">
        <v>286</v>
      </c>
      <c r="E785" s="1909"/>
      <c r="F785" s="1909"/>
      <c r="G785" s="1909"/>
      <c r="H785" s="1909"/>
      <c r="I785" s="1909"/>
      <c r="J785" s="1909"/>
      <c r="K785" s="1909"/>
      <c r="L785" s="1909"/>
      <c r="M785" s="1910"/>
      <c r="N785" s="2202">
        <v>0</v>
      </c>
      <c r="O785" s="2203"/>
      <c r="P785" s="2203"/>
      <c r="Q785" s="2203"/>
      <c r="R785" s="2203"/>
      <c r="S785" s="2203"/>
      <c r="T785" s="2203"/>
      <c r="U785" s="2203"/>
      <c r="V785" s="2203"/>
      <c r="W785" s="2204"/>
      <c r="X785" s="2202">
        <v>0</v>
      </c>
      <c r="Y785" s="2203"/>
      <c r="Z785" s="2203"/>
      <c r="AA785" s="2203"/>
      <c r="AB785" s="2203"/>
      <c r="AC785" s="2203"/>
      <c r="AD785" s="2203"/>
      <c r="AE785" s="2203"/>
      <c r="AF785" s="2203"/>
      <c r="AG785" s="2204"/>
      <c r="AL785" s="1446"/>
      <c r="AM785" s="1445"/>
      <c r="AO785" s="1446"/>
      <c r="AP785" s="1451"/>
    </row>
    <row r="786" spans="1:42" s="1441" customFormat="1" ht="29.25" customHeight="1">
      <c r="A786" s="1440"/>
      <c r="D786" s="1908" t="s">
        <v>2757</v>
      </c>
      <c r="E786" s="1909"/>
      <c r="F786" s="1909"/>
      <c r="G786" s="1909"/>
      <c r="H786" s="1909"/>
      <c r="I786" s="1909"/>
      <c r="J786" s="1909"/>
      <c r="K786" s="1909"/>
      <c r="L786" s="1909"/>
      <c r="M786" s="1910"/>
      <c r="N786" s="2202">
        <v>14</v>
      </c>
      <c r="O786" s="2203"/>
      <c r="P786" s="2203"/>
      <c r="Q786" s="2203"/>
      <c r="R786" s="2203"/>
      <c r="S786" s="2203"/>
      <c r="T786" s="2203"/>
      <c r="U786" s="2203"/>
      <c r="V786" s="2203"/>
      <c r="W786" s="2204"/>
      <c r="X786" s="2202">
        <v>428</v>
      </c>
      <c r="Y786" s="2203"/>
      <c r="Z786" s="2203"/>
      <c r="AA786" s="2203"/>
      <c r="AB786" s="2203"/>
      <c r="AC786" s="2203"/>
      <c r="AD786" s="2203"/>
      <c r="AE786" s="2203"/>
      <c r="AF786" s="2203"/>
      <c r="AG786" s="2204"/>
      <c r="AL786" s="1446"/>
      <c r="AM786" s="1445"/>
      <c r="AO786" s="1446"/>
      <c r="AP786" s="1451"/>
    </row>
    <row r="787" spans="1:42" s="1441" customFormat="1" ht="29.25" customHeight="1">
      <c r="A787" s="1440"/>
      <c r="D787" s="1908" t="s">
        <v>2758</v>
      </c>
      <c r="E787" s="1909"/>
      <c r="F787" s="1909"/>
      <c r="G787" s="1909"/>
      <c r="H787" s="1909"/>
      <c r="I787" s="1909"/>
      <c r="J787" s="1909"/>
      <c r="K787" s="1909"/>
      <c r="L787" s="1909"/>
      <c r="M787" s="1910"/>
      <c r="N787" s="2202">
        <v>409</v>
      </c>
      <c r="O787" s="2203"/>
      <c r="P787" s="2203"/>
      <c r="Q787" s="2203"/>
      <c r="R787" s="2203"/>
      <c r="S787" s="2203"/>
      <c r="T787" s="2203"/>
      <c r="U787" s="2203"/>
      <c r="V787" s="2203"/>
      <c r="W787" s="2204"/>
      <c r="X787" s="2202">
        <v>326</v>
      </c>
      <c r="Y787" s="2203"/>
      <c r="Z787" s="2203"/>
      <c r="AA787" s="2203"/>
      <c r="AB787" s="2203"/>
      <c r="AC787" s="2203"/>
      <c r="AD787" s="2203"/>
      <c r="AE787" s="2203"/>
      <c r="AF787" s="2203"/>
      <c r="AG787" s="2204"/>
      <c r="AL787" s="1446"/>
      <c r="AM787" s="1445"/>
      <c r="AO787" s="1446"/>
      <c r="AP787" s="1451"/>
    </row>
    <row r="788" spans="1:42" s="1441" customFormat="1" ht="29.25" customHeight="1">
      <c r="A788" s="1440"/>
      <c r="D788" s="1908" t="s">
        <v>2857</v>
      </c>
      <c r="E788" s="1909"/>
      <c r="F788" s="1909"/>
      <c r="G788" s="1909"/>
      <c r="H788" s="1909"/>
      <c r="I788" s="1909"/>
      <c r="J788" s="1909"/>
      <c r="K788" s="1909"/>
      <c r="L788" s="1909"/>
      <c r="M788" s="1910"/>
      <c r="N788" s="2202">
        <v>892451</v>
      </c>
      <c r="O788" s="2203"/>
      <c r="P788" s="2203"/>
      <c r="Q788" s="2203"/>
      <c r="R788" s="2203"/>
      <c r="S788" s="2203"/>
      <c r="T788" s="2203"/>
      <c r="U788" s="2203"/>
      <c r="V788" s="2203"/>
      <c r="W788" s="2204"/>
      <c r="X788" s="2202">
        <v>65210</v>
      </c>
      <c r="Y788" s="2203"/>
      <c r="Z788" s="2203"/>
      <c r="AA788" s="2203"/>
      <c r="AB788" s="2203"/>
      <c r="AC788" s="2203"/>
      <c r="AD788" s="2203"/>
      <c r="AE788" s="2203"/>
      <c r="AF788" s="2203"/>
      <c r="AG788" s="2204"/>
      <c r="AL788" s="1446"/>
      <c r="AM788" s="1445"/>
      <c r="AO788" s="1446"/>
      <c r="AP788" s="1451"/>
    </row>
    <row r="789" spans="1:42" s="1441" customFormat="1" ht="29.25" customHeight="1">
      <c r="A789" s="1440"/>
      <c r="D789" s="1908" t="s">
        <v>2759</v>
      </c>
      <c r="E789" s="1909"/>
      <c r="F789" s="1909"/>
      <c r="G789" s="1909"/>
      <c r="H789" s="1909"/>
      <c r="I789" s="1909"/>
      <c r="J789" s="1909"/>
      <c r="K789" s="1909"/>
      <c r="L789" s="1909"/>
      <c r="M789" s="1910"/>
      <c r="N789" s="1833">
        <v>10619</v>
      </c>
      <c r="O789" s="1834"/>
      <c r="P789" s="1834"/>
      <c r="Q789" s="1834"/>
      <c r="R789" s="1834"/>
      <c r="S789" s="1834"/>
      <c r="T789" s="1834"/>
      <c r="U789" s="1834"/>
      <c r="V789" s="1834"/>
      <c r="W789" s="1835"/>
      <c r="X789" s="2202">
        <v>20582</v>
      </c>
      <c r="Y789" s="2203"/>
      <c r="Z789" s="2203"/>
      <c r="AA789" s="2203"/>
      <c r="AB789" s="2203"/>
      <c r="AC789" s="2203"/>
      <c r="AD789" s="2203"/>
      <c r="AE789" s="2203"/>
      <c r="AF789" s="2203"/>
      <c r="AG789" s="2204"/>
      <c r="AL789" s="1444"/>
      <c r="AM789" s="1445"/>
      <c r="AO789" s="1446"/>
      <c r="AP789" s="1451"/>
    </row>
    <row r="790" spans="1:42" s="1441" customFormat="1" ht="29.25" customHeight="1">
      <c r="A790" s="1440"/>
      <c r="D790" s="2246" t="s">
        <v>314</v>
      </c>
      <c r="E790" s="2247"/>
      <c r="F790" s="2247"/>
      <c r="G790" s="2247"/>
      <c r="H790" s="2247"/>
      <c r="I790" s="2247"/>
      <c r="J790" s="2247"/>
      <c r="K790" s="2247"/>
      <c r="L790" s="2247"/>
      <c r="M790" s="2337"/>
      <c r="N790" s="1847">
        <f>SUM(N791,N793)</f>
        <v>55608</v>
      </c>
      <c r="O790" s="1847"/>
      <c r="P790" s="1847"/>
      <c r="Q790" s="1847"/>
      <c r="R790" s="1847"/>
      <c r="S790" s="1847"/>
      <c r="T790" s="1847"/>
      <c r="U790" s="1847"/>
      <c r="V790" s="1847"/>
      <c r="W790" s="1847"/>
      <c r="X790" s="2202">
        <f>SUM(X791,X793)</f>
        <v>33910</v>
      </c>
      <c r="Y790" s="2203"/>
      <c r="Z790" s="2203"/>
      <c r="AA790" s="2203"/>
      <c r="AB790" s="2203"/>
      <c r="AC790" s="2203"/>
      <c r="AD790" s="2203"/>
      <c r="AE790" s="2203"/>
      <c r="AF790" s="2203"/>
      <c r="AG790" s="2204"/>
      <c r="AL790" s="1444">
        <f>SUM(N791,N793)-N790</f>
        <v>0</v>
      </c>
      <c r="AM790" s="1445">
        <f>SUM(X791,X793)-X790</f>
        <v>0</v>
      </c>
      <c r="AO790" s="1444">
        <f>N790-SUM('P&amp;L'!$D$54,'P&amp;L'!$D$55,'P&amp;L'!$D$61,'P&amp;L'!$D$56,'P&amp;L'!$D$58,'P&amp;L'!$D$59,'P&amp;L'!$D$60,'P&amp;L'!$D$62)</f>
        <v>0</v>
      </c>
      <c r="AP790" s="1445">
        <f>X790-SUM('P&amp;L'!$E$54,'P&amp;L'!$E$55,'P&amp;L'!$E$61,'P&amp;L'!$E$56,'P&amp;L'!$E$58,'P&amp;L'!$E$59,'P&amp;L'!$E$60,'P&amp;L'!$E$62)</f>
        <v>0</v>
      </c>
    </row>
    <row r="791" spans="1:42" s="1441" customFormat="1" ht="29.25" customHeight="1">
      <c r="A791" s="1440"/>
      <c r="D791" s="1864" t="s">
        <v>315</v>
      </c>
      <c r="E791" s="1865"/>
      <c r="F791" s="1865"/>
      <c r="G791" s="1865"/>
      <c r="H791" s="1865"/>
      <c r="I791" s="1865"/>
      <c r="J791" s="1865"/>
      <c r="K791" s="1865"/>
      <c r="L791" s="1865"/>
      <c r="M791" s="1866"/>
      <c r="N791" s="1847">
        <f>SUM(N792)</f>
        <v>47236</v>
      </c>
      <c r="O791" s="1847"/>
      <c r="P791" s="1847"/>
      <c r="Q791" s="1847"/>
      <c r="R791" s="1847"/>
      <c r="S791" s="1847"/>
      <c r="T791" s="1847"/>
      <c r="U791" s="1847"/>
      <c r="V791" s="1847"/>
      <c r="W791" s="1847"/>
      <c r="X791" s="1847">
        <f>SUM(X792)</f>
        <v>28482</v>
      </c>
      <c r="Y791" s="1847"/>
      <c r="Z791" s="1847"/>
      <c r="AA791" s="1847"/>
      <c r="AB791" s="1847"/>
      <c r="AC791" s="1847"/>
      <c r="AD791" s="1847"/>
      <c r="AE791" s="1847"/>
      <c r="AF791" s="1847"/>
      <c r="AG791" s="1847"/>
      <c r="AL791" s="1444"/>
      <c r="AM791" s="1445"/>
      <c r="AO791" s="1444">
        <f>N791-'P&amp;L'!$D$60</f>
        <v>0</v>
      </c>
      <c r="AP791" s="1445">
        <f>X791-'P&amp;L'!$E$60</f>
        <v>0</v>
      </c>
    </row>
    <row r="792" spans="1:42" s="1441" customFormat="1" ht="29.25" customHeight="1">
      <c r="A792" s="1440"/>
      <c r="D792" s="1908" t="s">
        <v>316</v>
      </c>
      <c r="E792" s="1909"/>
      <c r="F792" s="1909"/>
      <c r="G792" s="1909"/>
      <c r="H792" s="1909"/>
      <c r="I792" s="1909"/>
      <c r="J792" s="1909"/>
      <c r="K792" s="1909"/>
      <c r="L792" s="1909"/>
      <c r="M792" s="1910"/>
      <c r="N792" s="1907">
        <v>47236</v>
      </c>
      <c r="O792" s="1907"/>
      <c r="P792" s="1907"/>
      <c r="Q792" s="1907"/>
      <c r="R792" s="1907"/>
      <c r="S792" s="1907"/>
      <c r="T792" s="1907"/>
      <c r="U792" s="1907"/>
      <c r="V792" s="1907"/>
      <c r="W792" s="1907"/>
      <c r="X792" s="1907">
        <v>28482</v>
      </c>
      <c r="Y792" s="1907"/>
      <c r="Z792" s="1907"/>
      <c r="AA792" s="1907"/>
      <c r="AB792" s="1907"/>
      <c r="AC792" s="1907"/>
      <c r="AD792" s="1907"/>
      <c r="AE792" s="1907"/>
      <c r="AF792" s="1907"/>
      <c r="AG792" s="1907"/>
      <c r="AL792" s="1446"/>
      <c r="AM792" s="1445"/>
      <c r="AO792" s="1446"/>
      <c r="AP792" s="1451"/>
    </row>
    <row r="793" spans="1:42" s="1441" customFormat="1" ht="29.25" customHeight="1">
      <c r="A793" s="1440"/>
      <c r="D793" s="1864" t="s">
        <v>317</v>
      </c>
      <c r="E793" s="1865"/>
      <c r="F793" s="1865"/>
      <c r="G793" s="1865"/>
      <c r="H793" s="1865"/>
      <c r="I793" s="1865"/>
      <c r="J793" s="1865"/>
      <c r="K793" s="1865"/>
      <c r="L793" s="1865"/>
      <c r="M793" s="1866"/>
      <c r="N793" s="1847">
        <f>SUM(N794)</f>
        <v>8372</v>
      </c>
      <c r="O793" s="1847"/>
      <c r="P793" s="1847"/>
      <c r="Q793" s="1847"/>
      <c r="R793" s="1847"/>
      <c r="S793" s="1847"/>
      <c r="T793" s="1847"/>
      <c r="U793" s="1847"/>
      <c r="V793" s="1847"/>
      <c r="W793" s="1847"/>
      <c r="X793" s="1847">
        <f>SUM(X794)</f>
        <v>5428</v>
      </c>
      <c r="Y793" s="1847"/>
      <c r="Z793" s="1847"/>
      <c r="AA793" s="1847"/>
      <c r="AB793" s="1847"/>
      <c r="AC793" s="1847"/>
      <c r="AD793" s="1847"/>
      <c r="AE793" s="1847"/>
      <c r="AF793" s="1847"/>
      <c r="AG793" s="1847"/>
      <c r="AL793" s="1444">
        <f>SUM(N794:W794)-N793</f>
        <v>0</v>
      </c>
      <c r="AM793" s="1445">
        <f>SUM(X794:AG794)-X793</f>
        <v>0</v>
      </c>
      <c r="AO793" s="1446"/>
      <c r="AP793" s="1451"/>
    </row>
    <row r="794" spans="1:42" s="1441" customFormat="1" ht="29.25" customHeight="1">
      <c r="A794" s="1440"/>
      <c r="D794" s="1908" t="s">
        <v>2858</v>
      </c>
      <c r="E794" s="1909"/>
      <c r="F794" s="1909"/>
      <c r="G794" s="1909"/>
      <c r="H794" s="1909"/>
      <c r="I794" s="1909"/>
      <c r="J794" s="1909"/>
      <c r="K794" s="1909"/>
      <c r="L794" s="1909"/>
      <c r="M794" s="1910"/>
      <c r="N794" s="1847">
        <v>8372</v>
      </c>
      <c r="O794" s="1847"/>
      <c r="P794" s="1847"/>
      <c r="Q794" s="1847"/>
      <c r="R794" s="1847"/>
      <c r="S794" s="1847"/>
      <c r="T794" s="1847"/>
      <c r="U794" s="1847"/>
      <c r="V794" s="1847"/>
      <c r="W794" s="1847"/>
      <c r="X794" s="1847">
        <v>5428</v>
      </c>
      <c r="Y794" s="1847"/>
      <c r="Z794" s="1847"/>
      <c r="AA794" s="1847"/>
      <c r="AB794" s="1847"/>
      <c r="AC794" s="1847"/>
      <c r="AD794" s="1847"/>
      <c r="AE794" s="1847"/>
      <c r="AF794" s="1847"/>
      <c r="AG794" s="1847"/>
      <c r="AL794" s="1446"/>
      <c r="AM794" s="1445"/>
      <c r="AO794" s="1446"/>
      <c r="AP794" s="1451"/>
    </row>
    <row r="795" spans="1:42" s="1430" customFormat="1" ht="14.25" customHeight="1">
      <c r="A795" s="1431"/>
      <c r="D795" s="671"/>
      <c r="E795" s="671"/>
      <c r="F795" s="671"/>
      <c r="G795" s="671"/>
      <c r="H795" s="671"/>
      <c r="I795" s="671"/>
      <c r="J795" s="671"/>
      <c r="K795" s="671"/>
      <c r="L795" s="671"/>
      <c r="M795" s="671"/>
      <c r="N795" s="1454"/>
      <c r="O795" s="1454"/>
      <c r="P795" s="1454"/>
      <c r="Q795" s="1454"/>
      <c r="R795" s="1454"/>
      <c r="S795" s="1454"/>
      <c r="T795" s="1454"/>
      <c r="U795" s="1454"/>
      <c r="V795" s="1454"/>
      <c r="W795" s="1454"/>
      <c r="X795" s="1454"/>
      <c r="Y795" s="1454"/>
      <c r="Z795" s="1454"/>
      <c r="AA795" s="1454"/>
      <c r="AB795" s="1454"/>
      <c r="AC795" s="1454"/>
      <c r="AD795" s="1454"/>
      <c r="AE795" s="1454"/>
      <c r="AF795" s="1454"/>
      <c r="AG795" s="1454"/>
    </row>
    <row r="796" spans="1:42" s="1430" customFormat="1" ht="14.25" customHeight="1">
      <c r="A796" s="1527"/>
      <c r="D796" s="2005" t="s">
        <v>2880</v>
      </c>
      <c r="E796" s="2005"/>
      <c r="F796" s="2005"/>
      <c r="G796" s="2005"/>
      <c r="H796" s="2005"/>
      <c r="I796" s="2005"/>
      <c r="J796" s="2005"/>
      <c r="K796" s="2005"/>
      <c r="L796" s="2005"/>
      <c r="M796" s="2005"/>
      <c r="N796" s="2005"/>
      <c r="O796" s="2005"/>
      <c r="P796" s="2005"/>
      <c r="Q796" s="2005"/>
      <c r="R796" s="2005"/>
      <c r="S796" s="2005"/>
      <c r="T796" s="2005"/>
      <c r="U796" s="2005"/>
      <c r="V796" s="2005"/>
      <c r="W796" s="2005"/>
      <c r="X796" s="2005"/>
      <c r="Y796" s="2005"/>
      <c r="Z796" s="2005"/>
      <c r="AA796" s="2005"/>
      <c r="AB796" s="2005"/>
      <c r="AC796" s="2005"/>
      <c r="AD796" s="2005"/>
      <c r="AE796" s="2005"/>
      <c r="AF796" s="2005"/>
      <c r="AG796" s="2005"/>
    </row>
    <row r="797" spans="1:42" s="1430" customFormat="1" ht="9.25" customHeight="1" thickBot="1">
      <c r="A797" s="1527"/>
      <c r="D797" s="1525"/>
      <c r="E797" s="1525"/>
      <c r="F797" s="1525"/>
      <c r="G797" s="1525"/>
      <c r="H797" s="1525"/>
      <c r="I797" s="1525"/>
      <c r="J797" s="1525"/>
      <c r="K797" s="1525"/>
      <c r="L797" s="1525"/>
      <c r="M797" s="1525"/>
      <c r="N797" s="1525"/>
      <c r="O797" s="1525"/>
      <c r="P797" s="1525"/>
      <c r="Q797" s="1525"/>
      <c r="R797" s="1525"/>
      <c r="S797" s="1525"/>
      <c r="T797" s="1525"/>
      <c r="U797" s="1525"/>
      <c r="V797" s="1525"/>
      <c r="W797" s="1525"/>
      <c r="X797" s="1525"/>
      <c r="Y797" s="1525"/>
      <c r="Z797" s="1525"/>
      <c r="AA797" s="1525"/>
      <c r="AB797" s="1525"/>
      <c r="AC797" s="1525"/>
      <c r="AD797" s="1525"/>
      <c r="AE797" s="1525"/>
      <c r="AF797" s="1525"/>
      <c r="AG797" s="1525"/>
    </row>
    <row r="798" spans="1:42" s="1430" customFormat="1" ht="14.25" customHeight="1">
      <c r="A798" s="1527"/>
      <c r="D798" s="2275" t="s">
        <v>131</v>
      </c>
      <c r="E798" s="2276"/>
      <c r="F798" s="2276"/>
      <c r="G798" s="2276"/>
      <c r="H798" s="2276"/>
      <c r="I798" s="2276"/>
      <c r="J798" s="2276"/>
      <c r="K798" s="2276"/>
      <c r="L798" s="2276"/>
      <c r="M798" s="2277"/>
      <c r="N798" s="1877" t="s">
        <v>2</v>
      </c>
      <c r="O798" s="1878"/>
      <c r="P798" s="1878"/>
      <c r="Q798" s="1878"/>
      <c r="R798" s="1878"/>
      <c r="S798" s="1878"/>
      <c r="T798" s="1878"/>
      <c r="U798" s="1878"/>
      <c r="V798" s="1878"/>
      <c r="W798" s="1878"/>
      <c r="X798" s="1877" t="s">
        <v>3</v>
      </c>
      <c r="Y798" s="1878"/>
      <c r="Z798" s="1878"/>
      <c r="AA798" s="1878"/>
      <c r="AB798" s="1878"/>
      <c r="AC798" s="1878"/>
      <c r="AD798" s="1878"/>
      <c r="AE798" s="1878"/>
      <c r="AF798" s="1878"/>
      <c r="AG798" s="1881"/>
    </row>
    <row r="799" spans="1:42" s="1430" customFormat="1" ht="14.25" customHeight="1" thickBot="1">
      <c r="A799" s="1527"/>
      <c r="D799" s="2278"/>
      <c r="E799" s="2279"/>
      <c r="F799" s="2279"/>
      <c r="G799" s="2279"/>
      <c r="H799" s="2279"/>
      <c r="I799" s="2279"/>
      <c r="J799" s="2279"/>
      <c r="K799" s="2279"/>
      <c r="L799" s="2279"/>
      <c r="M799" s="2280"/>
      <c r="N799" s="1879"/>
      <c r="O799" s="1880"/>
      <c r="P799" s="1880"/>
      <c r="Q799" s="1880"/>
      <c r="R799" s="1880"/>
      <c r="S799" s="1880"/>
      <c r="T799" s="1880"/>
      <c r="U799" s="1880"/>
      <c r="V799" s="1880"/>
      <c r="W799" s="1880"/>
      <c r="X799" s="1879"/>
      <c r="Y799" s="1880"/>
      <c r="Z799" s="1880"/>
      <c r="AA799" s="1880"/>
      <c r="AB799" s="1880"/>
      <c r="AC799" s="1880"/>
      <c r="AD799" s="1880"/>
      <c r="AE799" s="1880"/>
      <c r="AF799" s="1880"/>
      <c r="AG799" s="1882"/>
    </row>
    <row r="800" spans="1:42" s="1430" customFormat="1" ht="14.25" customHeight="1">
      <c r="A800" s="1527"/>
      <c r="D800" s="1959" t="s">
        <v>2881</v>
      </c>
      <c r="E800" s="1960"/>
      <c r="F800" s="1960"/>
      <c r="G800" s="1960"/>
      <c r="H800" s="1960"/>
      <c r="I800" s="1960"/>
      <c r="J800" s="1960"/>
      <c r="K800" s="1960"/>
      <c r="L800" s="1960"/>
      <c r="M800" s="1961"/>
      <c r="N800" s="2328">
        <f>SUM(N801:W803)</f>
        <v>1238578</v>
      </c>
      <c r="O800" s="2329"/>
      <c r="P800" s="2329"/>
      <c r="Q800" s="2329"/>
      <c r="R800" s="2329"/>
      <c r="S800" s="2329"/>
      <c r="T800" s="2329"/>
      <c r="U800" s="2329"/>
      <c r="V800" s="2329"/>
      <c r="W800" s="2330"/>
      <c r="X800" s="2328">
        <f>SUM(X801:AG803)</f>
        <v>1097102</v>
      </c>
      <c r="Y800" s="2329"/>
      <c r="Z800" s="2329"/>
      <c r="AA800" s="2329"/>
      <c r="AB800" s="2329"/>
      <c r="AC800" s="2329"/>
      <c r="AD800" s="2329"/>
      <c r="AE800" s="2329"/>
      <c r="AF800" s="2329"/>
      <c r="AG800" s="2330"/>
    </row>
    <row r="801" spans="1:42" s="1430" customFormat="1" ht="14.25" customHeight="1">
      <c r="A801" s="1527"/>
      <c r="D801" s="1908" t="s">
        <v>2882</v>
      </c>
      <c r="E801" s="1909"/>
      <c r="F801" s="1909"/>
      <c r="G801" s="1909"/>
      <c r="H801" s="1909"/>
      <c r="I801" s="1909"/>
      <c r="J801" s="1909"/>
      <c r="K801" s="1909"/>
      <c r="L801" s="1909"/>
      <c r="M801" s="1910"/>
      <c r="N801" s="1833">
        <v>888993</v>
      </c>
      <c r="O801" s="1834"/>
      <c r="P801" s="1834"/>
      <c r="Q801" s="1834"/>
      <c r="R801" s="1834"/>
      <c r="S801" s="1834"/>
      <c r="T801" s="1834"/>
      <c r="U801" s="1834"/>
      <c r="V801" s="1834"/>
      <c r="W801" s="1835"/>
      <c r="X801" s="1833">
        <v>781249</v>
      </c>
      <c r="Y801" s="1834"/>
      <c r="Z801" s="1834"/>
      <c r="AA801" s="1834"/>
      <c r="AB801" s="1834"/>
      <c r="AC801" s="1834"/>
      <c r="AD801" s="1834"/>
      <c r="AE801" s="1834"/>
      <c r="AF801" s="1834"/>
      <c r="AG801" s="1835"/>
    </row>
    <row r="802" spans="1:42" s="1430" customFormat="1" ht="14.25" customHeight="1">
      <c r="A802" s="1527"/>
      <c r="D802" s="1908" t="s">
        <v>2884</v>
      </c>
      <c r="E802" s="1909"/>
      <c r="F802" s="1909"/>
      <c r="G802" s="1909"/>
      <c r="H802" s="1909"/>
      <c r="I802" s="1909"/>
      <c r="J802" s="1909"/>
      <c r="K802" s="1909"/>
      <c r="L802" s="1909"/>
      <c r="M802" s="1910"/>
      <c r="N802" s="1833">
        <v>297289</v>
      </c>
      <c r="O802" s="1834"/>
      <c r="P802" s="1834"/>
      <c r="Q802" s="1834"/>
      <c r="R802" s="1834"/>
      <c r="S802" s="1834"/>
      <c r="T802" s="1834"/>
      <c r="U802" s="1834"/>
      <c r="V802" s="1834"/>
      <c r="W802" s="1835"/>
      <c r="X802" s="1833">
        <v>266859</v>
      </c>
      <c r="Y802" s="1834"/>
      <c r="Z802" s="1834"/>
      <c r="AA802" s="1834"/>
      <c r="AB802" s="1834"/>
      <c r="AC802" s="1834"/>
      <c r="AD802" s="1834"/>
      <c r="AE802" s="1834"/>
      <c r="AF802" s="1834"/>
      <c r="AG802" s="1835"/>
    </row>
    <row r="803" spans="1:42" s="1430" customFormat="1" ht="14.25" customHeight="1" thickBot="1">
      <c r="A803" s="1527"/>
      <c r="D803" s="2053" t="s">
        <v>2883</v>
      </c>
      <c r="E803" s="2064"/>
      <c r="F803" s="2064"/>
      <c r="G803" s="2064"/>
      <c r="H803" s="2064"/>
      <c r="I803" s="2064"/>
      <c r="J803" s="2064"/>
      <c r="K803" s="2064"/>
      <c r="L803" s="2064"/>
      <c r="M803" s="2065"/>
      <c r="N803" s="2338">
        <v>52296</v>
      </c>
      <c r="O803" s="2339"/>
      <c r="P803" s="2339"/>
      <c r="Q803" s="2339"/>
      <c r="R803" s="2339"/>
      <c r="S803" s="2339"/>
      <c r="T803" s="2339"/>
      <c r="U803" s="2339"/>
      <c r="V803" s="2339"/>
      <c r="W803" s="2340"/>
      <c r="X803" s="2338">
        <v>48994</v>
      </c>
      <c r="Y803" s="2339"/>
      <c r="Z803" s="2339"/>
      <c r="AA803" s="2339"/>
      <c r="AB803" s="2339"/>
      <c r="AC803" s="2339"/>
      <c r="AD803" s="2339"/>
      <c r="AE803" s="2339"/>
      <c r="AF803" s="2339"/>
      <c r="AG803" s="2340"/>
    </row>
    <row r="804" spans="1:42" s="1522" customFormat="1" ht="14.25" customHeight="1">
      <c r="A804" s="1529"/>
      <c r="D804" s="1533"/>
      <c r="E804" s="1533"/>
      <c r="F804" s="1533"/>
      <c r="G804" s="1533"/>
      <c r="H804" s="1533"/>
      <c r="I804" s="1533"/>
      <c r="J804" s="1533"/>
      <c r="K804" s="1533"/>
      <c r="L804" s="1533"/>
      <c r="M804" s="1533"/>
      <c r="N804" s="1534"/>
      <c r="O804" s="1534"/>
      <c r="P804" s="1534"/>
      <c r="Q804" s="1534"/>
      <c r="R804" s="1534"/>
      <c r="S804" s="1534"/>
      <c r="T804" s="1534"/>
      <c r="U804" s="1534"/>
      <c r="V804" s="1534"/>
      <c r="W804" s="1534"/>
      <c r="X804" s="1534"/>
      <c r="Y804" s="1534"/>
      <c r="Z804" s="1534"/>
      <c r="AA804" s="1534"/>
      <c r="AB804" s="1534"/>
      <c r="AC804" s="1534"/>
      <c r="AD804" s="1534"/>
      <c r="AE804" s="1534"/>
      <c r="AF804" s="1534"/>
      <c r="AG804" s="1534"/>
    </row>
    <row r="805" spans="1:42" s="1430" customFormat="1" ht="14.25" hidden="1" customHeight="1">
      <c r="A805" s="1431"/>
      <c r="D805" s="2275" t="s">
        <v>131</v>
      </c>
      <c r="E805" s="2276"/>
      <c r="F805" s="2276"/>
      <c r="G805" s="2276"/>
      <c r="H805" s="2276"/>
      <c r="I805" s="2276"/>
      <c r="J805" s="2276"/>
      <c r="K805" s="2276"/>
      <c r="L805" s="2276"/>
      <c r="M805" s="2277"/>
      <c r="N805" s="1877" t="s">
        <v>2</v>
      </c>
      <c r="O805" s="1878"/>
      <c r="P805" s="1878"/>
      <c r="Q805" s="1878"/>
      <c r="R805" s="1878"/>
      <c r="S805" s="1878"/>
      <c r="T805" s="1878"/>
      <c r="U805" s="1878"/>
      <c r="V805" s="1878"/>
      <c r="W805" s="1881"/>
      <c r="X805" s="1877" t="s">
        <v>3</v>
      </c>
      <c r="Y805" s="1878"/>
      <c r="Z805" s="1878"/>
      <c r="AA805" s="1878"/>
      <c r="AB805" s="1878"/>
      <c r="AC805" s="1878"/>
      <c r="AD805" s="1878"/>
      <c r="AE805" s="1878"/>
      <c r="AF805" s="1878"/>
      <c r="AG805" s="1881"/>
    </row>
    <row r="806" spans="1:42" s="1430" customFormat="1" ht="14.25" hidden="1" customHeight="1" thickBot="1">
      <c r="A806" s="1431"/>
      <c r="D806" s="2278"/>
      <c r="E806" s="2279"/>
      <c r="F806" s="2279"/>
      <c r="G806" s="2279"/>
      <c r="H806" s="2279"/>
      <c r="I806" s="2279"/>
      <c r="J806" s="2279"/>
      <c r="K806" s="2279"/>
      <c r="L806" s="2279"/>
      <c r="M806" s="2280"/>
      <c r="N806" s="1879"/>
      <c r="O806" s="1880"/>
      <c r="P806" s="1880"/>
      <c r="Q806" s="1880"/>
      <c r="R806" s="1880"/>
      <c r="S806" s="1880"/>
      <c r="T806" s="1880"/>
      <c r="U806" s="1880"/>
      <c r="V806" s="1880"/>
      <c r="W806" s="1882"/>
      <c r="X806" s="1879"/>
      <c r="Y806" s="1880"/>
      <c r="Z806" s="1880"/>
      <c r="AA806" s="1880"/>
      <c r="AB806" s="1880"/>
      <c r="AC806" s="1880"/>
      <c r="AD806" s="1880"/>
      <c r="AE806" s="1880"/>
      <c r="AF806" s="1880"/>
      <c r="AG806" s="1882"/>
      <c r="AL806" s="1423" t="s">
        <v>2</v>
      </c>
      <c r="AM806" s="1425" t="s">
        <v>3</v>
      </c>
      <c r="AO806" s="1423" t="s">
        <v>2</v>
      </c>
      <c r="AP806" s="1425" t="s">
        <v>3</v>
      </c>
    </row>
    <row r="807" spans="1:42" s="1441" customFormat="1" ht="29.25" hidden="1" customHeight="1" thickTop="1" thickBot="1">
      <c r="A807" s="1440"/>
      <c r="D807" s="1959" t="s">
        <v>1732</v>
      </c>
      <c r="E807" s="1960"/>
      <c r="F807" s="1960"/>
      <c r="G807" s="1960"/>
      <c r="H807" s="1960"/>
      <c r="I807" s="1960"/>
      <c r="J807" s="1960"/>
      <c r="K807" s="1960"/>
      <c r="L807" s="1960"/>
      <c r="M807" s="1961"/>
      <c r="N807" s="1847"/>
      <c r="O807" s="1847"/>
      <c r="P807" s="1847"/>
      <c r="Q807" s="1847"/>
      <c r="R807" s="1847"/>
      <c r="S807" s="1847"/>
      <c r="T807" s="1847"/>
      <c r="U807" s="1847"/>
      <c r="V807" s="1847"/>
      <c r="W807" s="1847"/>
      <c r="X807" s="1847"/>
      <c r="Y807" s="1847"/>
      <c r="Z807" s="1847"/>
      <c r="AA807" s="1847"/>
      <c r="AB807" s="1847"/>
      <c r="AC807" s="1847"/>
      <c r="AD807" s="1847"/>
      <c r="AE807" s="1847"/>
      <c r="AF807" s="1847"/>
      <c r="AG807" s="1847"/>
      <c r="AL807" s="1442">
        <f>SUM(N808:W812)-N807</f>
        <v>0</v>
      </c>
      <c r="AM807" s="1443">
        <f>SUM(X808:AG812)-X807</f>
        <v>0</v>
      </c>
      <c r="AO807" s="1442">
        <f>N807-N767</f>
        <v>-16600</v>
      </c>
      <c r="AP807" s="1442">
        <f>X807-X767</f>
        <v>-16000</v>
      </c>
    </row>
    <row r="808" spans="1:42" s="1441" customFormat="1" ht="29.25" hidden="1" customHeight="1">
      <c r="A808" s="1440"/>
      <c r="D808" s="1908" t="s">
        <v>307</v>
      </c>
      <c r="E808" s="1909"/>
      <c r="F808" s="1909"/>
      <c r="G808" s="1909"/>
      <c r="H808" s="1909"/>
      <c r="I808" s="1909"/>
      <c r="J808" s="1909"/>
      <c r="K808" s="1909"/>
      <c r="L808" s="1909"/>
      <c r="M808" s="1910"/>
      <c r="N808" s="1891"/>
      <c r="O808" s="1891"/>
      <c r="P808" s="1891"/>
      <c r="Q808" s="1891"/>
      <c r="R808" s="1891"/>
      <c r="S808" s="1891"/>
      <c r="T808" s="1891"/>
      <c r="U808" s="1891"/>
      <c r="V808" s="1891"/>
      <c r="W808" s="1891"/>
      <c r="X808" s="1891"/>
      <c r="Y808" s="1891"/>
      <c r="Z808" s="1891"/>
      <c r="AA808" s="1891"/>
      <c r="AB808" s="1891"/>
      <c r="AC808" s="1891"/>
      <c r="AD808" s="1891"/>
      <c r="AE808" s="1891"/>
      <c r="AF808" s="1891"/>
      <c r="AG808" s="1891"/>
      <c r="AL808" s="1446"/>
      <c r="AM808" s="1445"/>
      <c r="AO808" s="1447"/>
      <c r="AP808" s="1448"/>
    </row>
    <row r="809" spans="1:42" s="1441" customFormat="1" ht="29.25" hidden="1" customHeight="1">
      <c r="A809" s="1440"/>
      <c r="D809" s="1908" t="s">
        <v>308</v>
      </c>
      <c r="E809" s="1909"/>
      <c r="F809" s="1909"/>
      <c r="G809" s="1909"/>
      <c r="H809" s="1909"/>
      <c r="I809" s="1909"/>
      <c r="J809" s="1909"/>
      <c r="K809" s="1909"/>
      <c r="L809" s="1909"/>
      <c r="M809" s="1910"/>
      <c r="N809" s="1847"/>
      <c r="O809" s="1847"/>
      <c r="P809" s="1847"/>
      <c r="Q809" s="1847"/>
      <c r="R809" s="1847"/>
      <c r="S809" s="1847"/>
      <c r="T809" s="1847"/>
      <c r="U809" s="1847"/>
      <c r="V809" s="1847"/>
      <c r="W809" s="1847"/>
      <c r="X809" s="1847"/>
      <c r="Y809" s="1847"/>
      <c r="Z809" s="1847"/>
      <c r="AA809" s="1847"/>
      <c r="AB809" s="1847"/>
      <c r="AC809" s="1847"/>
      <c r="AD809" s="1847"/>
      <c r="AE809" s="1847"/>
      <c r="AF809" s="1847"/>
      <c r="AG809" s="1847"/>
      <c r="AL809" s="1446"/>
      <c r="AM809" s="1445"/>
      <c r="AO809" s="1449"/>
      <c r="AP809" s="1450"/>
    </row>
    <row r="810" spans="1:42" s="1441" customFormat="1" ht="29.25" hidden="1" customHeight="1">
      <c r="A810" s="1440"/>
      <c r="D810" s="1908" t="s">
        <v>309</v>
      </c>
      <c r="E810" s="1909"/>
      <c r="F810" s="1909"/>
      <c r="G810" s="1909"/>
      <c r="H810" s="1909"/>
      <c r="I810" s="1909"/>
      <c r="J810" s="1909"/>
      <c r="K810" s="1909"/>
      <c r="L810" s="1909"/>
      <c r="M810" s="1910"/>
      <c r="N810" s="1847"/>
      <c r="O810" s="1847"/>
      <c r="P810" s="1847"/>
      <c r="Q810" s="1847"/>
      <c r="R810" s="1847"/>
      <c r="S810" s="1847"/>
      <c r="T810" s="1847"/>
      <c r="U810" s="1847"/>
      <c r="V810" s="1847"/>
      <c r="W810" s="1847"/>
      <c r="X810" s="1847"/>
      <c r="Y810" s="1847"/>
      <c r="Z810" s="1847"/>
      <c r="AA810" s="1847"/>
      <c r="AB810" s="1847"/>
      <c r="AC810" s="1847"/>
      <c r="AD810" s="1847"/>
      <c r="AE810" s="1847"/>
      <c r="AF810" s="1847"/>
      <c r="AG810" s="1847"/>
      <c r="AL810" s="1446"/>
      <c r="AM810" s="1445"/>
      <c r="AO810" s="1447"/>
      <c r="AP810" s="1448"/>
    </row>
    <row r="811" spans="1:42" s="1441" customFormat="1" ht="29.25" hidden="1" customHeight="1">
      <c r="A811" s="1440"/>
      <c r="D811" s="1908" t="s">
        <v>310</v>
      </c>
      <c r="E811" s="1909"/>
      <c r="F811" s="1909"/>
      <c r="G811" s="1909"/>
      <c r="H811" s="1909"/>
      <c r="I811" s="1909"/>
      <c r="J811" s="1909"/>
      <c r="K811" s="1909"/>
      <c r="L811" s="1909"/>
      <c r="M811" s="1910"/>
      <c r="N811" s="1847"/>
      <c r="O811" s="1847"/>
      <c r="P811" s="1847"/>
      <c r="Q811" s="1847"/>
      <c r="R811" s="1847"/>
      <c r="S811" s="1847"/>
      <c r="T811" s="1847"/>
      <c r="U811" s="1847"/>
      <c r="V811" s="1847"/>
      <c r="W811" s="1847"/>
      <c r="X811" s="1847"/>
      <c r="Y811" s="1847"/>
      <c r="Z811" s="1847"/>
      <c r="AA811" s="1847"/>
      <c r="AB811" s="1847"/>
      <c r="AC811" s="1847"/>
      <c r="AD811" s="1847"/>
      <c r="AE811" s="1847"/>
      <c r="AF811" s="1847"/>
      <c r="AG811" s="1847"/>
      <c r="AL811" s="1446"/>
      <c r="AM811" s="1445"/>
      <c r="AO811" s="1449"/>
      <c r="AP811" s="1450"/>
    </row>
    <row r="812" spans="1:42" s="1441" customFormat="1" ht="29.25" hidden="1" customHeight="1">
      <c r="A812" s="1440"/>
      <c r="D812" s="2053" t="s">
        <v>311</v>
      </c>
      <c r="E812" s="2064"/>
      <c r="F812" s="2064"/>
      <c r="G812" s="2064"/>
      <c r="H812" s="2064"/>
      <c r="I812" s="2064"/>
      <c r="J812" s="2064"/>
      <c r="K812" s="2064"/>
      <c r="L812" s="2064"/>
      <c r="M812" s="2065"/>
      <c r="N812" s="1903"/>
      <c r="O812" s="1903"/>
      <c r="P812" s="1903"/>
      <c r="Q812" s="1903"/>
      <c r="R812" s="1903"/>
      <c r="S812" s="1903"/>
      <c r="T812" s="1903"/>
      <c r="U812" s="1903"/>
      <c r="V812" s="1903"/>
      <c r="W812" s="1903"/>
      <c r="X812" s="1903"/>
      <c r="Y812" s="1903"/>
      <c r="Z812" s="1903"/>
      <c r="AA812" s="1903"/>
      <c r="AB812" s="1903"/>
      <c r="AC812" s="1903"/>
      <c r="AD812" s="1903"/>
      <c r="AE812" s="1903"/>
      <c r="AF812" s="1903"/>
      <c r="AG812" s="1903"/>
      <c r="AL812" s="1444"/>
      <c r="AM812" s="1445"/>
      <c r="AO812" s="1449"/>
      <c r="AP812" s="1450"/>
    </row>
    <row r="813" spans="1:42" s="1430" customFormat="1" ht="14.25" hidden="1" customHeight="1" thickBot="1">
      <c r="A813" s="1431"/>
      <c r="D813" s="671"/>
      <c r="E813" s="671"/>
      <c r="F813" s="671"/>
      <c r="G813" s="671"/>
      <c r="H813" s="671"/>
      <c r="I813" s="671"/>
      <c r="J813" s="671"/>
      <c r="K813" s="671"/>
      <c r="L813" s="671"/>
      <c r="M813" s="671"/>
      <c r="N813" s="1454"/>
      <c r="O813" s="1454"/>
      <c r="P813" s="1454"/>
      <c r="Q813" s="1454"/>
      <c r="R813" s="1454"/>
      <c r="S813" s="1454"/>
      <c r="T813" s="1454"/>
      <c r="U813" s="1454"/>
      <c r="V813" s="1454"/>
      <c r="W813" s="1454"/>
      <c r="X813" s="1454"/>
      <c r="Y813" s="1454"/>
      <c r="Z813" s="1454"/>
      <c r="AA813" s="1454"/>
      <c r="AB813" s="1454"/>
      <c r="AC813" s="1454"/>
      <c r="AD813" s="1454"/>
      <c r="AE813" s="1454"/>
      <c r="AF813" s="1454"/>
      <c r="AG813" s="1454"/>
    </row>
    <row r="814" spans="1:42" s="1430" customFormat="1" ht="14.25" hidden="1" customHeight="1">
      <c r="A814" s="1431"/>
      <c r="D814" s="671"/>
      <c r="E814" s="671"/>
      <c r="F814" s="671"/>
      <c r="G814" s="671"/>
      <c r="H814" s="671"/>
      <c r="I814" s="671"/>
      <c r="J814" s="671"/>
      <c r="K814" s="671"/>
      <c r="L814" s="671"/>
      <c r="M814" s="671"/>
      <c r="N814" s="1454"/>
      <c r="O814" s="1454"/>
      <c r="P814" s="1454"/>
      <c r="Q814" s="1454"/>
      <c r="R814" s="1454"/>
      <c r="S814" s="1454"/>
      <c r="T814" s="1454"/>
      <c r="U814" s="1454"/>
      <c r="V814" s="1454"/>
      <c r="W814" s="1454"/>
      <c r="X814" s="1454"/>
      <c r="Y814" s="1454"/>
      <c r="Z814" s="1454"/>
      <c r="AA814" s="1454"/>
      <c r="AB814" s="1454"/>
      <c r="AC814" s="1454"/>
      <c r="AD814" s="1454"/>
      <c r="AE814" s="1454"/>
      <c r="AF814" s="1454"/>
      <c r="AG814" s="1454"/>
    </row>
    <row r="815" spans="1:42" s="1430" customFormat="1" ht="14.25" customHeight="1">
      <c r="A815" s="1431"/>
      <c r="D815" s="1978" t="s">
        <v>1389</v>
      </c>
      <c r="E815" s="1978"/>
      <c r="F815" s="1978"/>
      <c r="G815" s="1978"/>
      <c r="H815" s="1978"/>
      <c r="I815" s="1978"/>
      <c r="J815" s="1978"/>
      <c r="K815" s="1978"/>
      <c r="L815" s="1978"/>
      <c r="M815" s="1978"/>
      <c r="N815" s="1978"/>
      <c r="O815" s="1978"/>
      <c r="P815" s="1978"/>
      <c r="Q815" s="1978"/>
      <c r="R815" s="1978"/>
      <c r="S815" s="1978"/>
      <c r="T815" s="1978"/>
      <c r="U815" s="1978"/>
      <c r="V815" s="1978"/>
      <c r="W815" s="1978"/>
      <c r="X815" s="1978"/>
      <c r="Y815" s="1978"/>
      <c r="Z815" s="1978"/>
      <c r="AA815" s="1978"/>
      <c r="AB815" s="1978"/>
      <c r="AC815" s="1978"/>
      <c r="AD815" s="1978"/>
      <c r="AE815" s="1978"/>
      <c r="AF815" s="1978"/>
      <c r="AG815" s="1978"/>
    </row>
    <row r="816" spans="1:42" s="1430" customFormat="1" ht="14.25" customHeight="1">
      <c r="A816" s="1431"/>
    </row>
    <row r="817" spans="1:42" s="1430" customFormat="1" ht="14.25" customHeight="1" thickBot="1">
      <c r="A817" s="1514"/>
      <c r="D817" s="2005" t="s">
        <v>2839</v>
      </c>
      <c r="E817" s="2005"/>
      <c r="F817" s="2005"/>
      <c r="G817" s="2005"/>
      <c r="H817" s="2005"/>
      <c r="I817" s="2005"/>
      <c r="J817" s="2005"/>
      <c r="K817" s="2005"/>
      <c r="L817" s="2005"/>
      <c r="M817" s="2005"/>
      <c r="N817" s="2005"/>
      <c r="O817" s="2005"/>
      <c r="P817" s="2005"/>
      <c r="Q817" s="2005"/>
      <c r="R817" s="2005"/>
      <c r="S817" s="2005"/>
      <c r="T817" s="2005"/>
      <c r="U817" s="2005"/>
      <c r="V817" s="2005"/>
      <c r="W817" s="2005"/>
      <c r="X817" s="2005"/>
      <c r="Y817" s="2005"/>
      <c r="Z817" s="2005"/>
      <c r="AA817" s="2005"/>
      <c r="AB817" s="2005"/>
      <c r="AC817" s="2005"/>
      <c r="AD817" s="2005"/>
      <c r="AE817" s="2005"/>
      <c r="AF817" s="2005"/>
      <c r="AG817" s="2005"/>
    </row>
    <row r="818" spans="1:42" s="1430" customFormat="1" ht="28.5" customHeight="1" thickBot="1">
      <c r="A818" s="1514"/>
      <c r="D818" s="1851" t="s">
        <v>131</v>
      </c>
      <c r="E818" s="1851"/>
      <c r="F818" s="1851"/>
      <c r="G818" s="1851"/>
      <c r="H818" s="1851"/>
      <c r="I818" s="1851"/>
      <c r="J818" s="1851"/>
      <c r="K818" s="1851"/>
      <c r="L818" s="1851"/>
      <c r="M818" s="1851"/>
      <c r="N818" s="1851"/>
      <c r="O818" s="1851"/>
      <c r="P818" s="1851" t="s">
        <v>2</v>
      </c>
      <c r="Q818" s="1851"/>
      <c r="R818" s="1851"/>
      <c r="S818" s="1851"/>
      <c r="T818" s="1851"/>
      <c r="U818" s="1851"/>
      <c r="V818" s="1851"/>
      <c r="W818" s="1851"/>
      <c r="X818" s="1851"/>
      <c r="Y818" s="1851" t="s">
        <v>3</v>
      </c>
      <c r="Z818" s="1851"/>
      <c r="AA818" s="1851"/>
      <c r="AB818" s="1851"/>
      <c r="AC818" s="1851"/>
      <c r="AD818" s="1851"/>
      <c r="AE818" s="1851"/>
      <c r="AF818" s="1851"/>
      <c r="AG818" s="1851"/>
    </row>
    <row r="819" spans="1:42" s="1430" customFormat="1" ht="46.5" customHeight="1">
      <c r="A819" s="1514"/>
      <c r="D819" s="2322" t="s">
        <v>320</v>
      </c>
      <c r="E819" s="2322"/>
      <c r="F819" s="2322"/>
      <c r="G819" s="2322"/>
      <c r="H819" s="2322"/>
      <c r="I819" s="2322"/>
      <c r="J819" s="2322"/>
      <c r="K819" s="2322"/>
      <c r="L819" s="2322"/>
      <c r="M819" s="2322"/>
      <c r="N819" s="2322"/>
      <c r="O819" s="2322"/>
      <c r="P819" s="1829">
        <v>0</v>
      </c>
      <c r="Q819" s="1829"/>
      <c r="R819" s="1829"/>
      <c r="S819" s="1829"/>
      <c r="T819" s="1829"/>
      <c r="U819" s="1829"/>
      <c r="V819" s="1829"/>
      <c r="W819" s="1829"/>
      <c r="X819" s="1829"/>
      <c r="Y819" s="2146">
        <v>0</v>
      </c>
      <c r="Z819" s="2146"/>
      <c r="AA819" s="2146"/>
      <c r="AB819" s="2146"/>
      <c r="AC819" s="2146"/>
      <c r="AD819" s="2146"/>
      <c r="AE819" s="2146"/>
      <c r="AF819" s="2146"/>
      <c r="AG819" s="2146"/>
    </row>
    <row r="820" spans="1:42" s="1430" customFormat="1" ht="45.75" customHeight="1">
      <c r="A820" s="1514"/>
      <c r="D820" s="1867" t="s">
        <v>321</v>
      </c>
      <c r="E820" s="1867"/>
      <c r="F820" s="1867"/>
      <c r="G820" s="1867"/>
      <c r="H820" s="1867"/>
      <c r="I820" s="1867"/>
      <c r="J820" s="1867"/>
      <c r="K820" s="1867"/>
      <c r="L820" s="1867"/>
      <c r="M820" s="1867"/>
      <c r="N820" s="1867"/>
      <c r="O820" s="1867"/>
      <c r="P820" s="1793">
        <v>0</v>
      </c>
      <c r="Q820" s="1793"/>
      <c r="R820" s="1793"/>
      <c r="S820" s="1793"/>
      <c r="T820" s="1793"/>
      <c r="U820" s="1793"/>
      <c r="V820" s="1793"/>
      <c r="W820" s="1793"/>
      <c r="X820" s="1793"/>
      <c r="Y820" s="1793">
        <v>0</v>
      </c>
      <c r="Z820" s="1793"/>
      <c r="AA820" s="1793"/>
      <c r="AB820" s="1793"/>
      <c r="AC820" s="1793"/>
      <c r="AD820" s="1793"/>
      <c r="AE820" s="1793"/>
      <c r="AF820" s="1793"/>
      <c r="AG820" s="1793"/>
    </row>
    <row r="821" spans="1:42" s="1430" customFormat="1" ht="72" customHeight="1">
      <c r="A821" s="1514"/>
      <c r="D821" s="1867" t="s">
        <v>322</v>
      </c>
      <c r="E821" s="1867"/>
      <c r="F821" s="1867"/>
      <c r="G821" s="1867"/>
      <c r="H821" s="1867"/>
      <c r="I821" s="1867"/>
      <c r="J821" s="1867"/>
      <c r="K821" s="1867"/>
      <c r="L821" s="1867"/>
      <c r="M821" s="1867"/>
      <c r="N821" s="1867"/>
      <c r="O821" s="1867"/>
      <c r="P821" s="1793">
        <v>0</v>
      </c>
      <c r="Q821" s="1793"/>
      <c r="R821" s="1793"/>
      <c r="S821" s="1793"/>
      <c r="T821" s="1793"/>
      <c r="U821" s="1793"/>
      <c r="V821" s="1793"/>
      <c r="W821" s="1793"/>
      <c r="X821" s="1793"/>
      <c r="Y821" s="1901">
        <v>0</v>
      </c>
      <c r="Z821" s="1901"/>
      <c r="AA821" s="1901"/>
      <c r="AB821" s="1901"/>
      <c r="AC821" s="1901"/>
      <c r="AD821" s="1901"/>
      <c r="AE821" s="1901"/>
      <c r="AF821" s="1901"/>
      <c r="AG821" s="1901"/>
    </row>
    <row r="822" spans="1:42" s="1430" customFormat="1" ht="55.5" customHeight="1">
      <c r="A822" s="1514"/>
      <c r="D822" s="1867" t="s">
        <v>323</v>
      </c>
      <c r="E822" s="1867"/>
      <c r="F822" s="1867"/>
      <c r="G822" s="1867"/>
      <c r="H822" s="1867"/>
      <c r="I822" s="1867"/>
      <c r="J822" s="1867"/>
      <c r="K822" s="1867"/>
      <c r="L822" s="1867"/>
      <c r="M822" s="1867"/>
      <c r="N822" s="1867"/>
      <c r="O822" s="1867"/>
      <c r="P822" s="1793">
        <v>0</v>
      </c>
      <c r="Q822" s="1793"/>
      <c r="R822" s="1793"/>
      <c r="S822" s="1793"/>
      <c r="T822" s="1793"/>
      <c r="U822" s="1793"/>
      <c r="V822" s="1793"/>
      <c r="W822" s="1793"/>
      <c r="X822" s="1793"/>
      <c r="Y822" s="1901">
        <v>0</v>
      </c>
      <c r="Z822" s="1901"/>
      <c r="AA822" s="1901"/>
      <c r="AB822" s="1901"/>
      <c r="AC822" s="1901"/>
      <c r="AD822" s="1901"/>
      <c r="AE822" s="1901"/>
      <c r="AF822" s="1901"/>
      <c r="AG822" s="1901"/>
    </row>
    <row r="823" spans="1:42" s="1430" customFormat="1" ht="55.5" customHeight="1">
      <c r="A823" s="1514"/>
      <c r="D823" s="1867" t="s">
        <v>324</v>
      </c>
      <c r="E823" s="1867"/>
      <c r="F823" s="1867"/>
      <c r="G823" s="1867"/>
      <c r="H823" s="1867"/>
      <c r="I823" s="1867"/>
      <c r="J823" s="1867"/>
      <c r="K823" s="1867"/>
      <c r="L823" s="1867"/>
      <c r="M823" s="1867"/>
      <c r="N823" s="1867"/>
      <c r="O823" s="1867"/>
      <c r="P823" s="1793">
        <v>0</v>
      </c>
      <c r="Q823" s="1793"/>
      <c r="R823" s="1793"/>
      <c r="S823" s="1793"/>
      <c r="T823" s="1793"/>
      <c r="U823" s="1793"/>
      <c r="V823" s="1793"/>
      <c r="W823" s="1793"/>
      <c r="X823" s="1793"/>
      <c r="Y823" s="1901">
        <v>0</v>
      </c>
      <c r="Z823" s="1901"/>
      <c r="AA823" s="1901"/>
      <c r="AB823" s="1901"/>
      <c r="AC823" s="1901"/>
      <c r="AD823" s="1901"/>
      <c r="AE823" s="1901"/>
      <c r="AF823" s="1901"/>
      <c r="AG823" s="1901"/>
    </row>
    <row r="824" spans="1:42" s="1430" customFormat="1" ht="44.25" customHeight="1" thickBot="1">
      <c r="A824" s="1514"/>
      <c r="D824" s="2320" t="s">
        <v>325</v>
      </c>
      <c r="E824" s="2320"/>
      <c r="F824" s="2320"/>
      <c r="G824" s="2320"/>
      <c r="H824" s="2320"/>
      <c r="I824" s="2320"/>
      <c r="J824" s="2320"/>
      <c r="K824" s="2320"/>
      <c r="L824" s="2320"/>
      <c r="M824" s="2320"/>
      <c r="N824" s="2320"/>
      <c r="O824" s="2320"/>
      <c r="P824" s="2321">
        <v>0</v>
      </c>
      <c r="Q824" s="2321"/>
      <c r="R824" s="2321"/>
      <c r="S824" s="2321"/>
      <c r="T824" s="2321"/>
      <c r="U824" s="2321"/>
      <c r="V824" s="2321"/>
      <c r="W824" s="2321"/>
      <c r="X824" s="2321"/>
      <c r="Y824" s="2128">
        <v>0</v>
      </c>
      <c r="Z824" s="2128"/>
      <c r="AA824" s="2128"/>
      <c r="AB824" s="2128"/>
      <c r="AC824" s="2128"/>
      <c r="AD824" s="2128"/>
      <c r="AE824" s="2128"/>
      <c r="AF824" s="2128"/>
      <c r="AG824" s="2128"/>
    </row>
    <row r="825" spans="1:42" s="1430" customFormat="1" ht="14.25" customHeight="1">
      <c r="A825" s="1431"/>
      <c r="D825" s="2178"/>
      <c r="E825" s="2178"/>
      <c r="F825" s="2178"/>
      <c r="G825" s="2178"/>
      <c r="H825" s="2178"/>
      <c r="I825" s="2178"/>
      <c r="J825" s="2178"/>
      <c r="K825" s="2178"/>
      <c r="L825" s="2178"/>
      <c r="M825" s="2178"/>
      <c r="N825" s="2178"/>
      <c r="O825" s="2178"/>
      <c r="P825" s="2178"/>
      <c r="Q825" s="2178"/>
      <c r="R825" s="2178"/>
      <c r="S825" s="2178"/>
      <c r="T825" s="2178"/>
      <c r="U825" s="2178"/>
      <c r="V825" s="2178"/>
      <c r="W825" s="2178"/>
      <c r="X825" s="2178"/>
      <c r="Y825" s="2178"/>
      <c r="Z825" s="2178"/>
      <c r="AA825" s="2178"/>
      <c r="AB825" s="2178"/>
      <c r="AC825" s="2178"/>
      <c r="AD825" s="2178"/>
      <c r="AE825" s="2178"/>
      <c r="AF825" s="2178"/>
      <c r="AG825" s="2178"/>
    </row>
    <row r="826" spans="1:42" s="1430" customFormat="1" ht="14.25" customHeight="1" thickBot="1">
      <c r="A826" s="1431"/>
      <c r="D826" s="2005" t="s">
        <v>2839</v>
      </c>
      <c r="E826" s="2005"/>
      <c r="F826" s="2005"/>
      <c r="G826" s="2005"/>
      <c r="H826" s="2005"/>
      <c r="I826" s="2005"/>
      <c r="J826" s="2005"/>
      <c r="K826" s="2005"/>
      <c r="L826" s="2005"/>
      <c r="M826" s="2005"/>
      <c r="N826" s="2005"/>
      <c r="O826" s="2005"/>
      <c r="P826" s="2005"/>
      <c r="Q826" s="2005"/>
      <c r="R826" s="2005"/>
      <c r="S826" s="2005"/>
      <c r="T826" s="2005"/>
      <c r="U826" s="2005"/>
      <c r="V826" s="2005"/>
      <c r="W826" s="2005"/>
      <c r="X826" s="2005"/>
      <c r="Y826" s="2005"/>
      <c r="Z826" s="2005"/>
      <c r="AA826" s="2005"/>
      <c r="AB826" s="2005"/>
      <c r="AC826" s="2005"/>
      <c r="AD826" s="2005"/>
      <c r="AE826" s="2005"/>
      <c r="AF826" s="2005"/>
      <c r="AG826" s="2005"/>
    </row>
    <row r="827" spans="1:42" s="1430" customFormat="1" ht="14.25" customHeight="1" thickBot="1">
      <c r="A827" s="1431"/>
      <c r="D827" s="1921" t="s">
        <v>1</v>
      </c>
      <c r="E827" s="1921"/>
      <c r="F827" s="1921"/>
      <c r="G827" s="1921"/>
      <c r="H827" s="1921"/>
      <c r="I827" s="1921"/>
      <c r="J827" s="2281" t="s">
        <v>2</v>
      </c>
      <c r="K827" s="2282"/>
      <c r="L827" s="2282"/>
      <c r="M827" s="2282"/>
      <c r="N827" s="2282"/>
      <c r="O827" s="2282"/>
      <c r="P827" s="2282"/>
      <c r="Q827" s="2282"/>
      <c r="R827" s="2282"/>
      <c r="S827" s="2282"/>
      <c r="T827" s="2282"/>
      <c r="U827" s="2283"/>
      <c r="V827" s="1877" t="s">
        <v>3</v>
      </c>
      <c r="W827" s="1878"/>
      <c r="X827" s="1878"/>
      <c r="Y827" s="1878"/>
      <c r="Z827" s="1878"/>
      <c r="AA827" s="1878"/>
      <c r="AB827" s="1878"/>
      <c r="AC827" s="1878"/>
      <c r="AD827" s="1878"/>
      <c r="AE827" s="1878"/>
      <c r="AF827" s="1878"/>
      <c r="AG827" s="1881"/>
    </row>
    <row r="828" spans="1:42" s="1430" customFormat="1" ht="14.25" customHeight="1" thickTop="1" thickBot="1">
      <c r="A828" s="1431"/>
      <c r="D828" s="1921"/>
      <c r="E828" s="1921"/>
      <c r="F828" s="1921"/>
      <c r="G828" s="1921"/>
      <c r="H828" s="1921"/>
      <c r="I828" s="1921"/>
      <c r="J828" s="2284"/>
      <c r="K828" s="2285"/>
      <c r="L828" s="2285"/>
      <c r="M828" s="2285"/>
      <c r="N828" s="2285"/>
      <c r="O828" s="2285"/>
      <c r="P828" s="2285"/>
      <c r="Q828" s="2285"/>
      <c r="R828" s="2285"/>
      <c r="S828" s="2285"/>
      <c r="T828" s="2285"/>
      <c r="U828" s="2286"/>
      <c r="V828" s="1879"/>
      <c r="W828" s="1880"/>
      <c r="X828" s="1880"/>
      <c r="Y828" s="1880"/>
      <c r="Z828" s="1880"/>
      <c r="AA828" s="1880"/>
      <c r="AB828" s="1880"/>
      <c r="AC828" s="1880"/>
      <c r="AD828" s="1880"/>
      <c r="AE828" s="1880"/>
      <c r="AF828" s="1880"/>
      <c r="AG828" s="1882"/>
      <c r="AO828" s="1424" t="s">
        <v>2</v>
      </c>
      <c r="AP828" s="1423" t="s">
        <v>3</v>
      </c>
    </row>
    <row r="829" spans="1:42" s="1430" customFormat="1" ht="14.25" customHeight="1" thickBot="1">
      <c r="A829" s="1431"/>
      <c r="D829" s="1921"/>
      <c r="E829" s="1921"/>
      <c r="F829" s="1921"/>
      <c r="G829" s="1921"/>
      <c r="H829" s="1921"/>
      <c r="I829" s="1921"/>
      <c r="J829" s="1851" t="s">
        <v>327</v>
      </c>
      <c r="K829" s="1851"/>
      <c r="L829" s="1851"/>
      <c r="M829" s="1851"/>
      <c r="N829" s="1851" t="s">
        <v>328</v>
      </c>
      <c r="O829" s="1851"/>
      <c r="P829" s="1851"/>
      <c r="Q829" s="1851"/>
      <c r="R829" s="1851" t="s">
        <v>1390</v>
      </c>
      <c r="S829" s="1851"/>
      <c r="T829" s="1851"/>
      <c r="U829" s="1851"/>
      <c r="V829" s="1851" t="s">
        <v>327</v>
      </c>
      <c r="W829" s="1851"/>
      <c r="X829" s="1851"/>
      <c r="Y829" s="1851"/>
      <c r="Z829" s="1851" t="s">
        <v>328</v>
      </c>
      <c r="AA829" s="1851"/>
      <c r="AB829" s="1851"/>
      <c r="AC829" s="1851"/>
      <c r="AD829" s="1851" t="s">
        <v>1390</v>
      </c>
      <c r="AE829" s="1851"/>
      <c r="AF829" s="1851"/>
      <c r="AG829" s="1851"/>
      <c r="AO829" s="1455"/>
      <c r="AP829" s="1456"/>
    </row>
    <row r="830" spans="1:42" s="1430" customFormat="1" ht="34.75" customHeight="1">
      <c r="A830" s="1431"/>
      <c r="D830" s="2073" t="s">
        <v>330</v>
      </c>
      <c r="E830" s="2313"/>
      <c r="F830" s="2313"/>
      <c r="G830" s="2313"/>
      <c r="H830" s="2313"/>
      <c r="I830" s="2313"/>
      <c r="J830" s="1829">
        <f>'P&amp;L'!D64</f>
        <v>497111</v>
      </c>
      <c r="K830" s="1829"/>
      <c r="L830" s="1829"/>
      <c r="M830" s="2312"/>
      <c r="N830" s="2257" t="s">
        <v>18</v>
      </c>
      <c r="O830" s="2258"/>
      <c r="P830" s="2258"/>
      <c r="Q830" s="2259"/>
      <c r="R830" s="2260" t="s">
        <v>18</v>
      </c>
      <c r="S830" s="2258"/>
      <c r="T830" s="2258"/>
      <c r="U830" s="2258"/>
      <c r="V830" s="2146">
        <f>'P&amp;L'!E64</f>
        <v>212837</v>
      </c>
      <c r="W830" s="2146"/>
      <c r="X830" s="2146"/>
      <c r="Y830" s="2261"/>
      <c r="Z830" s="2262" t="s">
        <v>18</v>
      </c>
      <c r="AA830" s="2238"/>
      <c r="AB830" s="2238"/>
      <c r="AC830" s="2263"/>
      <c r="AD830" s="2273" t="s">
        <v>18</v>
      </c>
      <c r="AE830" s="2238"/>
      <c r="AF830" s="2238"/>
      <c r="AG830" s="2238"/>
      <c r="AO830" s="1444">
        <f>J830-('P&amp;L'!$D$35+'P&amp;L'!$D$63)</f>
        <v>0</v>
      </c>
      <c r="AP830" s="1445">
        <f>V830-('P&amp;L'!$E$35+'P&amp;L'!$E$63)</f>
        <v>0</v>
      </c>
    </row>
    <row r="831" spans="1:42" s="1430" customFormat="1" ht="27.75" customHeight="1">
      <c r="A831" s="1431"/>
      <c r="D831" s="1908" t="s">
        <v>331</v>
      </c>
      <c r="E831" s="1909"/>
      <c r="F831" s="1909"/>
      <c r="G831" s="1909"/>
      <c r="H831" s="1909"/>
      <c r="I831" s="1909"/>
      <c r="J831" s="2221" t="s">
        <v>18</v>
      </c>
      <c r="K831" s="2221"/>
      <c r="L831" s="2221"/>
      <c r="M831" s="2222"/>
      <c r="N831" s="2205">
        <f>J830*21%</f>
        <v>104393.31</v>
      </c>
      <c r="O831" s="1793"/>
      <c r="P831" s="1793"/>
      <c r="Q831" s="2206"/>
      <c r="R831" s="2216">
        <v>21</v>
      </c>
      <c r="S831" s="2217"/>
      <c r="T831" s="2217"/>
      <c r="U831" s="2217"/>
      <c r="V831" s="2225" t="s">
        <v>18</v>
      </c>
      <c r="W831" s="2225"/>
      <c r="X831" s="2225"/>
      <c r="Y831" s="2226"/>
      <c r="Z831" s="2218">
        <f>V830*21%</f>
        <v>44695.77</v>
      </c>
      <c r="AA831" s="1901"/>
      <c r="AB831" s="1901"/>
      <c r="AC831" s="2209"/>
      <c r="AD831" s="2219">
        <v>21</v>
      </c>
      <c r="AE831" s="2220"/>
      <c r="AF831" s="2220"/>
      <c r="AG831" s="2220"/>
      <c r="AO831" s="1446"/>
      <c r="AP831" s="1451"/>
    </row>
    <row r="832" spans="1:42" s="1430" customFormat="1" ht="27.75" customHeight="1">
      <c r="A832" s="1431"/>
      <c r="D832" s="1908" t="s">
        <v>332</v>
      </c>
      <c r="E832" s="1909"/>
      <c r="F832" s="1909"/>
      <c r="G832" s="1909"/>
      <c r="H832" s="1909"/>
      <c r="I832" s="1909"/>
      <c r="J832" s="2206">
        <v>20968</v>
      </c>
      <c r="K832" s="1815"/>
      <c r="L832" s="1815"/>
      <c r="M832" s="1815"/>
      <c r="N832" s="2205">
        <f>J832*0.21</f>
        <v>4403.28</v>
      </c>
      <c r="O832" s="1793"/>
      <c r="P832" s="1793"/>
      <c r="Q832" s="2206"/>
      <c r="R832" s="2264"/>
      <c r="S832" s="2217"/>
      <c r="T832" s="2217"/>
      <c r="U832" s="2217"/>
      <c r="V832" s="2209">
        <v>20565</v>
      </c>
      <c r="W832" s="2210"/>
      <c r="X832" s="2210"/>
      <c r="Y832" s="2210"/>
      <c r="Z832" s="2265">
        <f>V832*0.21</f>
        <v>4318.6499999999996</v>
      </c>
      <c r="AA832" s="2266"/>
      <c r="AB832" s="2266"/>
      <c r="AC832" s="2267"/>
      <c r="AD832" s="2274"/>
      <c r="AE832" s="2220"/>
      <c r="AF832" s="2220"/>
      <c r="AG832" s="2220"/>
      <c r="AO832" s="1446"/>
      <c r="AP832" s="1451"/>
    </row>
    <row r="833" spans="1:42" s="1430" customFormat="1" ht="27.75" customHeight="1">
      <c r="A833" s="1431"/>
      <c r="D833" s="1908" t="s">
        <v>333</v>
      </c>
      <c r="E833" s="1909"/>
      <c r="F833" s="1909"/>
      <c r="G833" s="1909"/>
      <c r="H833" s="1909"/>
      <c r="I833" s="1909"/>
      <c r="J833" s="2206"/>
      <c r="K833" s="1815"/>
      <c r="L833" s="1815"/>
      <c r="M833" s="1815"/>
      <c r="N833" s="2205"/>
      <c r="O833" s="1793"/>
      <c r="P833" s="1793"/>
      <c r="Q833" s="2206"/>
      <c r="R833" s="2207"/>
      <c r="S833" s="2208"/>
      <c r="T833" s="2208"/>
      <c r="U833" s="2208"/>
      <c r="V833" s="2209"/>
      <c r="W833" s="2210"/>
      <c r="X833" s="2210"/>
      <c r="Y833" s="2210"/>
      <c r="Z833" s="2211"/>
      <c r="AA833" s="2212"/>
      <c r="AB833" s="2212"/>
      <c r="AC833" s="2213"/>
      <c r="AD833" s="2214"/>
      <c r="AE833" s="2215"/>
      <c r="AF833" s="2215"/>
      <c r="AG833" s="2215"/>
      <c r="AO833" s="1446"/>
      <c r="AP833" s="1451"/>
    </row>
    <row r="834" spans="1:42" s="1430" customFormat="1" ht="35.25" customHeight="1">
      <c r="A834" s="1431"/>
      <c r="D834" s="1908" t="s">
        <v>1729</v>
      </c>
      <c r="E834" s="1909"/>
      <c r="F834" s="1909"/>
      <c r="G834" s="1909"/>
      <c r="H834" s="1909"/>
      <c r="I834" s="1909"/>
      <c r="J834" s="1793"/>
      <c r="K834" s="1793"/>
      <c r="L834" s="1793"/>
      <c r="M834" s="1928"/>
      <c r="N834" s="2205"/>
      <c r="O834" s="1793"/>
      <c r="P834" s="1793"/>
      <c r="Q834" s="2206"/>
      <c r="R834" s="2216"/>
      <c r="S834" s="2217"/>
      <c r="T834" s="2217"/>
      <c r="U834" s="2217"/>
      <c r="V834" s="1901"/>
      <c r="W834" s="1901"/>
      <c r="X834" s="1901"/>
      <c r="Y834" s="1949"/>
      <c r="Z834" s="2218"/>
      <c r="AA834" s="1901"/>
      <c r="AB834" s="1901"/>
      <c r="AC834" s="2209"/>
      <c r="AD834" s="2219"/>
      <c r="AE834" s="2220"/>
      <c r="AF834" s="2220"/>
      <c r="AG834" s="2220"/>
      <c r="AO834" s="1446"/>
      <c r="AP834" s="1451"/>
    </row>
    <row r="835" spans="1:42" s="1430" customFormat="1" ht="27.75" customHeight="1">
      <c r="A835" s="1431"/>
      <c r="D835" s="1908" t="s">
        <v>334</v>
      </c>
      <c r="E835" s="1909"/>
      <c r="F835" s="1909"/>
      <c r="G835" s="1909"/>
      <c r="H835" s="1909"/>
      <c r="I835" s="1909"/>
      <c r="J835" s="1793"/>
      <c r="K835" s="1793"/>
      <c r="L835" s="1793"/>
      <c r="M835" s="1928"/>
      <c r="N835" s="2205"/>
      <c r="O835" s="1793"/>
      <c r="P835" s="1793"/>
      <c r="Q835" s="2206"/>
      <c r="R835" s="2216"/>
      <c r="S835" s="2217"/>
      <c r="T835" s="2217"/>
      <c r="U835" s="2217"/>
      <c r="V835" s="1901"/>
      <c r="W835" s="1901"/>
      <c r="X835" s="1901"/>
      <c r="Y835" s="1949"/>
      <c r="Z835" s="2218"/>
      <c r="AA835" s="1901"/>
      <c r="AB835" s="1901"/>
      <c r="AC835" s="2209"/>
      <c r="AD835" s="2219"/>
      <c r="AE835" s="2220"/>
      <c r="AF835" s="2220"/>
      <c r="AG835" s="2220"/>
      <c r="AO835" s="1446"/>
      <c r="AP835" s="1451"/>
    </row>
    <row r="836" spans="1:42" s="1430" customFormat="1" ht="27.75" customHeight="1">
      <c r="A836" s="1431"/>
      <c r="D836" s="1908" t="s">
        <v>1730</v>
      </c>
      <c r="E836" s="1909"/>
      <c r="F836" s="1909"/>
      <c r="G836" s="1909"/>
      <c r="H836" s="1909"/>
      <c r="I836" s="1909"/>
      <c r="J836" s="1793"/>
      <c r="K836" s="1793"/>
      <c r="L836" s="1793"/>
      <c r="M836" s="1928"/>
      <c r="N836" s="2205"/>
      <c r="O836" s="1793"/>
      <c r="P836" s="1793"/>
      <c r="Q836" s="2206"/>
      <c r="R836" s="2216"/>
      <c r="S836" s="2217"/>
      <c r="T836" s="2217"/>
      <c r="U836" s="2217"/>
      <c r="V836" s="1901"/>
      <c r="W836" s="1901"/>
      <c r="X836" s="1901"/>
      <c r="Y836" s="1949"/>
      <c r="Z836" s="2218"/>
      <c r="AA836" s="1901"/>
      <c r="AB836" s="1901"/>
      <c r="AC836" s="2209"/>
      <c r="AD836" s="2219"/>
      <c r="AE836" s="2220"/>
      <c r="AF836" s="2220"/>
      <c r="AG836" s="2220"/>
      <c r="AO836" s="1446"/>
      <c r="AP836" s="1451"/>
    </row>
    <row r="837" spans="1:42" s="1430" customFormat="1" ht="27.75" customHeight="1">
      <c r="A837" s="1431"/>
      <c r="D837" s="1908" t="s">
        <v>287</v>
      </c>
      <c r="E837" s="1909"/>
      <c r="F837" s="1909"/>
      <c r="G837" s="1909"/>
      <c r="H837" s="1909"/>
      <c r="I837" s="1909"/>
      <c r="J837" s="1793">
        <v>-19619</v>
      </c>
      <c r="K837" s="1793"/>
      <c r="L837" s="1793"/>
      <c r="M837" s="1928"/>
      <c r="N837" s="2205">
        <f>J837*0.21</f>
        <v>-4119.99</v>
      </c>
      <c r="O837" s="1793"/>
      <c r="P837" s="1793"/>
      <c r="Q837" s="2206"/>
      <c r="R837" s="2207"/>
      <c r="S837" s="2208"/>
      <c r="T837" s="2208"/>
      <c r="U837" s="2208"/>
      <c r="V837" s="1901">
        <v>20229</v>
      </c>
      <c r="W837" s="1901"/>
      <c r="X837" s="1901"/>
      <c r="Y837" s="1949"/>
      <c r="Z837" s="2218">
        <f>V837*21%-1</f>
        <v>4247.09</v>
      </c>
      <c r="AA837" s="1901"/>
      <c r="AB837" s="1901"/>
      <c r="AC837" s="2209"/>
      <c r="AD837" s="1951"/>
      <c r="AE837" s="2220"/>
      <c r="AF837" s="2220"/>
      <c r="AG837" s="2220"/>
      <c r="AO837" s="1446"/>
      <c r="AP837" s="1451"/>
    </row>
    <row r="838" spans="1:42" s="1430" customFormat="1" ht="27.75" customHeight="1">
      <c r="A838" s="1431"/>
      <c r="D838" s="2246" t="s">
        <v>14</v>
      </c>
      <c r="E838" s="2247"/>
      <c r="F838" s="2247"/>
      <c r="G838" s="2247"/>
      <c r="H838" s="2247"/>
      <c r="I838" s="2247"/>
      <c r="J838" s="2221" t="s">
        <v>18</v>
      </c>
      <c r="K838" s="2221"/>
      <c r="L838" s="2221"/>
      <c r="M838" s="2222"/>
      <c r="N838" s="2241">
        <f>SUM(N831:Q837)</f>
        <v>104676.59999999999</v>
      </c>
      <c r="O838" s="2003"/>
      <c r="P838" s="2003"/>
      <c r="Q838" s="2242"/>
      <c r="R838" s="2041">
        <f>N838/J830*100</f>
        <v>21.056987272460272</v>
      </c>
      <c r="S838" s="2003"/>
      <c r="T838" s="2003"/>
      <c r="U838" s="2003"/>
      <c r="V838" s="2225" t="s">
        <v>18</v>
      </c>
      <c r="W838" s="2225"/>
      <c r="X838" s="2225"/>
      <c r="Y838" s="2226"/>
      <c r="Z838" s="2243">
        <f>SUM(Z831:AC837)</f>
        <v>53261.509999999995</v>
      </c>
      <c r="AA838" s="2244"/>
      <c r="AB838" s="2244"/>
      <c r="AC838" s="2245"/>
      <c r="AD838" s="2038">
        <f>Z838/V830*100</f>
        <v>25.024554001418924</v>
      </c>
      <c r="AE838" s="2244"/>
      <c r="AF838" s="2244"/>
      <c r="AG838" s="2244"/>
      <c r="AO838" s="1446"/>
      <c r="AP838" s="1451"/>
    </row>
    <row r="839" spans="1:42" s="1430" customFormat="1" ht="27.75" customHeight="1">
      <c r="A839" s="1431"/>
      <c r="D839" s="1908" t="s">
        <v>335</v>
      </c>
      <c r="E839" s="1909"/>
      <c r="F839" s="1909"/>
      <c r="G839" s="1909"/>
      <c r="H839" s="1909"/>
      <c r="I839" s="1909"/>
      <c r="J839" s="2221" t="s">
        <v>18</v>
      </c>
      <c r="K839" s="2221"/>
      <c r="L839" s="2221"/>
      <c r="M839" s="2222"/>
      <c r="N839" s="2205">
        <f>'P&amp;L'!D66</f>
        <v>188721</v>
      </c>
      <c r="O839" s="1793"/>
      <c r="P839" s="1793"/>
      <c r="Q839" s="2206"/>
      <c r="R839" s="2223">
        <f>N839/J830*100</f>
        <v>37.963553411612295</v>
      </c>
      <c r="S839" s="2224"/>
      <c r="T839" s="2224"/>
      <c r="U839" s="2224"/>
      <c r="V839" s="2225" t="s">
        <v>18</v>
      </c>
      <c r="W839" s="2225"/>
      <c r="X839" s="2225"/>
      <c r="Y839" s="2226"/>
      <c r="Z839" s="2218">
        <f>'P&amp;L'!E66</f>
        <v>125102</v>
      </c>
      <c r="AA839" s="1901"/>
      <c r="AB839" s="1901"/>
      <c r="AC839" s="2209"/>
      <c r="AD839" s="1951">
        <f>Z839/V830*100</f>
        <v>58.778313920981788</v>
      </c>
      <c r="AE839" s="1901"/>
      <c r="AF839" s="1901"/>
      <c r="AG839" s="1901"/>
      <c r="AO839" s="1444">
        <f>N839-'P&amp;L'!$D$66</f>
        <v>0</v>
      </c>
      <c r="AP839" s="1445">
        <f>Z839-'P&amp;L'!$E$66</f>
        <v>0</v>
      </c>
    </row>
    <row r="840" spans="1:42" s="1430" customFormat="1" ht="27.75" customHeight="1">
      <c r="A840" s="1431"/>
      <c r="D840" s="1908" t="s">
        <v>336</v>
      </c>
      <c r="E840" s="1909"/>
      <c r="F840" s="1909"/>
      <c r="G840" s="1909"/>
      <c r="H840" s="1909"/>
      <c r="I840" s="1909"/>
      <c r="J840" s="2221" t="s">
        <v>18</v>
      </c>
      <c r="K840" s="2221"/>
      <c r="L840" s="2221"/>
      <c r="M840" s="2222"/>
      <c r="N840" s="2205">
        <v>-84044</v>
      </c>
      <c r="O840" s="1793"/>
      <c r="P840" s="1793"/>
      <c r="Q840" s="2206"/>
      <c r="R840" s="1930">
        <f>N840/J830*100</f>
        <v>-16.906485674225678</v>
      </c>
      <c r="S840" s="1793"/>
      <c r="T840" s="1793"/>
      <c r="U840" s="1793"/>
      <c r="V840" s="2225" t="s">
        <v>18</v>
      </c>
      <c r="W840" s="2225"/>
      <c r="X840" s="2225"/>
      <c r="Y840" s="2226"/>
      <c r="Z840" s="2218">
        <f>'P&amp;L'!E67</f>
        <v>-71840</v>
      </c>
      <c r="AA840" s="1901"/>
      <c r="AB840" s="1901"/>
      <c r="AC840" s="2209"/>
      <c r="AD840" s="1930">
        <f>Z840/V830*100</f>
        <v>-33.753529696434356</v>
      </c>
      <c r="AE840" s="1793"/>
      <c r="AF840" s="1793"/>
      <c r="AG840" s="1793"/>
      <c r="AO840" s="1444">
        <f>N840-'P&amp;L'!$D$67</f>
        <v>0</v>
      </c>
      <c r="AP840" s="1445">
        <f>Z840-'P&amp;L'!$E$67</f>
        <v>0</v>
      </c>
    </row>
    <row r="841" spans="1:42" s="1430" customFormat="1" ht="27.75" customHeight="1" thickBot="1">
      <c r="A841" s="1431"/>
      <c r="D841" s="1955" t="s">
        <v>337</v>
      </c>
      <c r="E841" s="1956"/>
      <c r="F841" s="1956"/>
      <c r="G841" s="1956"/>
      <c r="H841" s="1956"/>
      <c r="I841" s="1956"/>
      <c r="J841" s="2239" t="s">
        <v>18</v>
      </c>
      <c r="K841" s="2239"/>
      <c r="L841" s="2239"/>
      <c r="M841" s="2240"/>
      <c r="N841" s="2304">
        <f>N839+N840</f>
        <v>104677</v>
      </c>
      <c r="O841" s="2305"/>
      <c r="P841" s="2305"/>
      <c r="Q841" s="2306"/>
      <c r="R841" s="2227">
        <f>SUM(R839:U840)</f>
        <v>21.057067737386618</v>
      </c>
      <c r="S841" s="2228"/>
      <c r="T841" s="2228"/>
      <c r="U841" s="2228"/>
      <c r="V841" s="2229" t="s">
        <v>18</v>
      </c>
      <c r="W841" s="2229"/>
      <c r="X841" s="2229"/>
      <c r="Y841" s="2230"/>
      <c r="Z841" s="2304">
        <f>Z839+Z840</f>
        <v>53262</v>
      </c>
      <c r="AA841" s="2305"/>
      <c r="AB841" s="2305"/>
      <c r="AC841" s="2306"/>
      <c r="AD841" s="2310">
        <f>SUM(AD839:AG840)</f>
        <v>25.024784224547432</v>
      </c>
      <c r="AE841" s="2311"/>
      <c r="AF841" s="2311"/>
      <c r="AG841" s="2311"/>
      <c r="AO841" s="1457">
        <f>N841-'P&amp;L'!$D$65</f>
        <v>0</v>
      </c>
      <c r="AP841" s="1453">
        <f>Z841-'P&amp;L'!$E$65</f>
        <v>0</v>
      </c>
    </row>
    <row r="842" spans="1:42" s="1430" customFormat="1" ht="14.25" customHeight="1">
      <c r="A842" s="1431"/>
    </row>
    <row r="843" spans="1:42" s="1430" customFormat="1" ht="14.25" customHeight="1">
      <c r="A843" s="1431"/>
    </row>
    <row r="844" spans="1:42" s="1430" customFormat="1" ht="14.25" customHeight="1">
      <c r="A844" s="1431"/>
      <c r="D844" s="1978" t="s">
        <v>1391</v>
      </c>
      <c r="E844" s="1978"/>
      <c r="F844" s="1978"/>
      <c r="G844" s="1978"/>
      <c r="H844" s="1978"/>
      <c r="I844" s="1978"/>
      <c r="J844" s="1978"/>
      <c r="K844" s="1978"/>
      <c r="L844" s="1978"/>
      <c r="M844" s="1978"/>
      <c r="N844" s="1978"/>
      <c r="O844" s="1978"/>
      <c r="P844" s="1978"/>
      <c r="Q844" s="1978"/>
      <c r="R844" s="1978"/>
      <c r="S844" s="1978"/>
      <c r="T844" s="1978"/>
      <c r="U844" s="1978"/>
      <c r="V844" s="1978"/>
      <c r="W844" s="1978"/>
      <c r="X844" s="1978"/>
      <c r="Y844" s="1978"/>
      <c r="Z844" s="1978"/>
      <c r="AA844" s="1978"/>
      <c r="AB844" s="1978"/>
      <c r="AC844" s="1978"/>
      <c r="AD844" s="1978"/>
      <c r="AE844" s="1978"/>
      <c r="AF844" s="1978"/>
      <c r="AG844" s="1978"/>
    </row>
    <row r="845" spans="1:42" s="1430" customFormat="1" ht="14.25" customHeight="1">
      <c r="A845" s="1431"/>
    </row>
    <row r="846" spans="1:42" s="1430" customFormat="1" ht="26.25" customHeight="1">
      <c r="A846" s="1431"/>
      <c r="C846" s="908"/>
      <c r="D846" s="2028" t="s">
        <v>3003</v>
      </c>
      <c r="E846" s="2028"/>
      <c r="F846" s="2028"/>
      <c r="G846" s="2028"/>
      <c r="H846" s="2028"/>
      <c r="I846" s="2028"/>
      <c r="J846" s="2028"/>
      <c r="K846" s="2028"/>
      <c r="L846" s="2028"/>
      <c r="M846" s="2028"/>
      <c r="N846" s="2028"/>
      <c r="O846" s="2028"/>
      <c r="P846" s="2028"/>
      <c r="Q846" s="2028"/>
      <c r="R846" s="2028"/>
      <c r="S846" s="2028"/>
      <c r="T846" s="2028"/>
      <c r="U846" s="2028"/>
      <c r="V846" s="2028"/>
      <c r="W846" s="2028"/>
      <c r="X846" s="2028"/>
      <c r="Y846" s="2028"/>
      <c r="Z846" s="2028"/>
      <c r="AA846" s="2028"/>
      <c r="AB846" s="2028"/>
      <c r="AC846" s="2028"/>
      <c r="AD846" s="2028"/>
      <c r="AE846" s="2028"/>
      <c r="AF846" s="2028"/>
      <c r="AG846" s="2028"/>
    </row>
    <row r="847" spans="1:42" s="1522" customFormat="1" ht="13.5" customHeight="1">
      <c r="A847" s="1529"/>
      <c r="C847" s="1521"/>
      <c r="D847" s="1528"/>
      <c r="E847" s="1528"/>
      <c r="F847" s="1528"/>
      <c r="G847" s="1528"/>
      <c r="H847" s="1528"/>
      <c r="I847" s="1528"/>
      <c r="J847" s="1528"/>
      <c r="K847" s="1528"/>
      <c r="L847" s="1528"/>
      <c r="M847" s="1528"/>
      <c r="N847" s="1528"/>
      <c r="O847" s="1528"/>
      <c r="P847" s="1528"/>
      <c r="Q847" s="1528"/>
      <c r="R847" s="1528"/>
      <c r="S847" s="1528"/>
      <c r="T847" s="1528"/>
      <c r="U847" s="1528"/>
      <c r="V847" s="1528"/>
      <c r="W847" s="1528"/>
      <c r="X847" s="1528"/>
      <c r="Y847" s="1528"/>
      <c r="Z847" s="1528"/>
      <c r="AA847" s="1528"/>
      <c r="AB847" s="1528"/>
      <c r="AC847" s="1528"/>
      <c r="AD847" s="1528"/>
      <c r="AE847" s="1528"/>
      <c r="AF847" s="1528"/>
      <c r="AG847" s="1528"/>
    </row>
    <row r="848" spans="1:42" s="1430" customFormat="1" ht="14.25" customHeight="1">
      <c r="A848" s="1431"/>
      <c r="D848" s="582" t="s">
        <v>2943</v>
      </c>
    </row>
    <row r="849" spans="1:33" s="1430" customFormat="1" ht="14.25" customHeight="1">
      <c r="A849" s="1431"/>
    </row>
    <row r="850" spans="1:33" s="1430" customFormat="1" ht="27.25" customHeight="1">
      <c r="A850" s="1431"/>
      <c r="D850" s="2126" t="s">
        <v>1734</v>
      </c>
      <c r="E850" s="2126"/>
      <c r="F850" s="2126"/>
      <c r="G850" s="2126"/>
      <c r="H850" s="2126"/>
      <c r="I850" s="2126"/>
      <c r="J850" s="2126"/>
      <c r="K850" s="2126"/>
      <c r="L850" s="2126"/>
      <c r="M850" s="2126"/>
      <c r="N850" s="2126"/>
      <c r="O850" s="2126"/>
      <c r="P850" s="2126"/>
      <c r="Q850" s="2126"/>
      <c r="R850" s="2126"/>
      <c r="S850" s="2126"/>
      <c r="T850" s="2126"/>
      <c r="U850" s="2126"/>
      <c r="V850" s="2126"/>
      <c r="W850" s="2126"/>
      <c r="X850" s="2126"/>
      <c r="Y850" s="2126"/>
      <c r="Z850" s="2126"/>
      <c r="AA850" s="2126"/>
      <c r="AB850" s="2126"/>
      <c r="AC850" s="2126"/>
      <c r="AD850" s="2126"/>
      <c r="AE850" s="2126"/>
      <c r="AF850" s="2126"/>
      <c r="AG850" s="2126"/>
    </row>
    <row r="851" spans="1:33" s="1430" customFormat="1" ht="14.25" customHeight="1" thickBot="1">
      <c r="A851" s="1431"/>
    </row>
    <row r="852" spans="1:33" s="1430" customFormat="1" ht="14.25" customHeight="1" thickBot="1">
      <c r="A852" s="1431"/>
      <c r="D852" s="1921" t="s">
        <v>387</v>
      </c>
      <c r="E852" s="1921"/>
      <c r="F852" s="1921"/>
      <c r="G852" s="1921"/>
      <c r="H852" s="1921"/>
      <c r="I852" s="1921"/>
      <c r="J852" s="1921"/>
      <c r="K852" s="1921"/>
      <c r="L852" s="1921"/>
      <c r="M852" s="1851" t="s">
        <v>388</v>
      </c>
      <c r="N852" s="1851"/>
      <c r="O852" s="1851"/>
      <c r="P852" s="1851"/>
      <c r="Q852" s="1851"/>
      <c r="R852" s="1851" t="s">
        <v>389</v>
      </c>
      <c r="S852" s="1851"/>
      <c r="T852" s="1851"/>
      <c r="U852" s="1851"/>
      <c r="V852" s="1851"/>
      <c r="W852" s="1851"/>
      <c r="X852" s="1851"/>
      <c r="Y852" s="1851"/>
      <c r="Z852" s="1851"/>
      <c r="AA852" s="1851"/>
      <c r="AB852" s="1851"/>
      <c r="AC852" s="1851"/>
      <c r="AD852" s="1851"/>
      <c r="AE852" s="1851"/>
      <c r="AF852" s="1851"/>
      <c r="AG852" s="1851"/>
    </row>
    <row r="853" spans="1:33" s="1430" customFormat="1" ht="26.25" customHeight="1" thickBot="1">
      <c r="A853" s="1431"/>
      <c r="D853" s="1921"/>
      <c r="E853" s="1921"/>
      <c r="F853" s="1921"/>
      <c r="G853" s="1921"/>
      <c r="H853" s="1921"/>
      <c r="I853" s="1921"/>
      <c r="J853" s="1921"/>
      <c r="K853" s="1921"/>
      <c r="L853" s="1921"/>
      <c r="M853" s="1851"/>
      <c r="N853" s="1851"/>
      <c r="O853" s="1851"/>
      <c r="P853" s="1851"/>
      <c r="Q853" s="1851"/>
      <c r="R853" s="1851" t="s">
        <v>2</v>
      </c>
      <c r="S853" s="1851"/>
      <c r="T853" s="1851"/>
      <c r="U853" s="1851"/>
      <c r="V853" s="1851"/>
      <c r="W853" s="1851"/>
      <c r="X853" s="1851"/>
      <c r="Y853" s="1851"/>
      <c r="Z853" s="1851" t="s">
        <v>390</v>
      </c>
      <c r="AA853" s="1851"/>
      <c r="AB853" s="1851"/>
      <c r="AC853" s="1851"/>
      <c r="AD853" s="1851"/>
      <c r="AE853" s="1851"/>
      <c r="AF853" s="1851"/>
      <c r="AG853" s="1851"/>
    </row>
    <row r="854" spans="1:33" s="1430" customFormat="1" ht="18.75" customHeight="1">
      <c r="A854" s="1431"/>
      <c r="D854" s="2301" t="s">
        <v>2761</v>
      </c>
      <c r="E854" s="2302"/>
      <c r="F854" s="2302"/>
      <c r="G854" s="2302"/>
      <c r="H854" s="2302"/>
      <c r="I854" s="2302"/>
      <c r="J854" s="2302"/>
      <c r="K854" s="2302"/>
      <c r="L854" s="2303"/>
      <c r="M854" s="2238">
        <v>1</v>
      </c>
      <c r="N854" s="2238"/>
      <c r="O854" s="2238"/>
      <c r="P854" s="2238"/>
      <c r="Q854" s="2238"/>
      <c r="R854" s="2232">
        <v>192822</v>
      </c>
      <c r="S854" s="2233"/>
      <c r="T854" s="2233"/>
      <c r="U854" s="2233"/>
      <c r="V854" s="2233"/>
      <c r="W854" s="2233"/>
      <c r="X854" s="2233"/>
      <c r="Y854" s="2234"/>
      <c r="Z854" s="2232">
        <v>283032</v>
      </c>
      <c r="AA854" s="2233"/>
      <c r="AB854" s="2233"/>
      <c r="AC854" s="2233"/>
      <c r="AD854" s="2233"/>
      <c r="AE854" s="2233"/>
      <c r="AF854" s="2233"/>
      <c r="AG854" s="2234"/>
    </row>
    <row r="855" spans="1:33" s="1430" customFormat="1" ht="18.75" customHeight="1">
      <c r="A855" s="1431"/>
      <c r="D855" s="1946" t="s">
        <v>2761</v>
      </c>
      <c r="E855" s="1947"/>
      <c r="F855" s="1947"/>
      <c r="G855" s="1947"/>
      <c r="H855" s="1947"/>
      <c r="I855" s="1947"/>
      <c r="J855" s="1947"/>
      <c r="K855" s="1947"/>
      <c r="L855" s="1948"/>
      <c r="M855" s="2225">
        <v>2</v>
      </c>
      <c r="N855" s="2225"/>
      <c r="O855" s="2225"/>
      <c r="P855" s="2225"/>
      <c r="Q855" s="2225"/>
      <c r="R855" s="2235">
        <v>627617</v>
      </c>
      <c r="S855" s="2236"/>
      <c r="T855" s="2236"/>
      <c r="U855" s="2236"/>
      <c r="V855" s="2236"/>
      <c r="W855" s="2236"/>
      <c r="X855" s="2236"/>
      <c r="Y855" s="2237"/>
      <c r="Z855" s="2235">
        <v>1054240</v>
      </c>
      <c r="AA855" s="2236"/>
      <c r="AB855" s="2236"/>
      <c r="AC855" s="2236"/>
      <c r="AD855" s="2236"/>
      <c r="AE855" s="2236"/>
      <c r="AF855" s="2236"/>
      <c r="AG855" s="2237"/>
    </row>
    <row r="856" spans="1:33" s="1430" customFormat="1" ht="23.25" customHeight="1">
      <c r="A856" s="1431"/>
      <c r="D856" s="2307" t="s">
        <v>2761</v>
      </c>
      <c r="E856" s="2308"/>
      <c r="F856" s="2308"/>
      <c r="G856" s="2308"/>
      <c r="H856" s="2308"/>
      <c r="I856" s="2308"/>
      <c r="J856" s="2308"/>
      <c r="K856" s="2308"/>
      <c r="L856" s="2309"/>
      <c r="M856" s="2318" t="s">
        <v>2878</v>
      </c>
      <c r="N856" s="2318"/>
      <c r="O856" s="2318"/>
      <c r="P856" s="2318"/>
      <c r="Q856" s="2318"/>
      <c r="R856" s="1793">
        <v>0</v>
      </c>
      <c r="S856" s="1793"/>
      <c r="T856" s="1793"/>
      <c r="U856" s="1793"/>
      <c r="V856" s="1793"/>
      <c r="W856" s="1793"/>
      <c r="X856" s="1793"/>
      <c r="Y856" s="1793"/>
      <c r="Z856" s="1793">
        <v>134342</v>
      </c>
      <c r="AA856" s="1793"/>
      <c r="AB856" s="1793"/>
      <c r="AC856" s="1793"/>
      <c r="AD856" s="1793"/>
      <c r="AE856" s="1793"/>
      <c r="AF856" s="1793"/>
      <c r="AG856" s="1793"/>
    </row>
    <row r="857" spans="1:33" s="1430" customFormat="1" ht="18.75" customHeight="1">
      <c r="A857" s="1431"/>
      <c r="D857" s="2307" t="s">
        <v>2761</v>
      </c>
      <c r="E857" s="2308"/>
      <c r="F857" s="2308"/>
      <c r="G857" s="2308"/>
      <c r="H857" s="2308"/>
      <c r="I857" s="2308"/>
      <c r="J857" s="2308"/>
      <c r="K857" s="2308"/>
      <c r="L857" s="2309"/>
      <c r="M857" s="2318" t="s">
        <v>2879</v>
      </c>
      <c r="N857" s="2318"/>
      <c r="O857" s="2318"/>
      <c r="P857" s="2318"/>
      <c r="Q857" s="2318"/>
      <c r="R857" s="1793">
        <v>0</v>
      </c>
      <c r="S857" s="1793"/>
      <c r="T857" s="1793"/>
      <c r="U857" s="1793"/>
      <c r="V857" s="1793"/>
      <c r="W857" s="1793"/>
      <c r="X857" s="1793"/>
      <c r="Y857" s="1793"/>
      <c r="Z857" s="1793">
        <v>19992</v>
      </c>
      <c r="AA857" s="1793"/>
      <c r="AB857" s="1793"/>
      <c r="AC857" s="1793"/>
      <c r="AD857" s="1793"/>
      <c r="AE857" s="1793"/>
      <c r="AF857" s="1793"/>
      <c r="AG857" s="1793"/>
    </row>
    <row r="858" spans="1:33" s="1430" customFormat="1" ht="18.75" customHeight="1">
      <c r="A858" s="1431"/>
      <c r="D858" s="2225"/>
      <c r="E858" s="2225"/>
      <c r="F858" s="2225"/>
      <c r="G858" s="2225"/>
      <c r="H858" s="2225"/>
      <c r="I858" s="2225"/>
      <c r="J858" s="2225"/>
      <c r="K858" s="2225"/>
      <c r="L858" s="2225"/>
      <c r="M858" s="2225"/>
      <c r="N858" s="2225"/>
      <c r="O858" s="2225"/>
      <c r="P858" s="2225"/>
      <c r="Q858" s="2225"/>
      <c r="R858" s="1901"/>
      <c r="S858" s="1901"/>
      <c r="T858" s="1901"/>
      <c r="U858" s="1901"/>
      <c r="V858" s="1901"/>
      <c r="W858" s="1901"/>
      <c r="X858" s="1901"/>
      <c r="Y858" s="1901"/>
      <c r="Z858" s="1901"/>
      <c r="AA858" s="1901"/>
      <c r="AB858" s="1901"/>
      <c r="AC858" s="1901"/>
      <c r="AD858" s="1901"/>
      <c r="AE858" s="1901"/>
      <c r="AF858" s="1901"/>
      <c r="AG858" s="1901"/>
    </row>
    <row r="859" spans="1:33" s="1430" customFormat="1" ht="18.75" customHeight="1">
      <c r="A859" s="1431"/>
      <c r="D859" s="2225"/>
      <c r="E859" s="2225"/>
      <c r="F859" s="2225"/>
      <c r="G859" s="2225"/>
      <c r="H859" s="2225"/>
      <c r="I859" s="2225"/>
      <c r="J859" s="2225"/>
      <c r="K859" s="2225"/>
      <c r="L859" s="2225"/>
      <c r="M859" s="2225"/>
      <c r="N859" s="2225"/>
      <c r="O859" s="2225"/>
      <c r="P859" s="2225"/>
      <c r="Q859" s="2225"/>
      <c r="R859" s="1901"/>
      <c r="S859" s="1901"/>
      <c r="T859" s="1901"/>
      <c r="U859" s="1901"/>
      <c r="V859" s="1901"/>
      <c r="W859" s="1901"/>
      <c r="X859" s="1901"/>
      <c r="Y859" s="1901"/>
      <c r="Z859" s="1901"/>
      <c r="AA859" s="1901"/>
      <c r="AB859" s="1901"/>
      <c r="AC859" s="1901"/>
      <c r="AD859" s="1901"/>
      <c r="AE859" s="1901"/>
      <c r="AF859" s="1901"/>
      <c r="AG859" s="1901"/>
    </row>
    <row r="860" spans="1:33" s="1430" customFormat="1" ht="18.75" customHeight="1">
      <c r="A860" s="1431"/>
      <c r="D860" s="2225"/>
      <c r="E860" s="2225"/>
      <c r="F860" s="2225"/>
      <c r="G860" s="2225"/>
      <c r="H860" s="2225"/>
      <c r="I860" s="2225"/>
      <c r="J860" s="2225"/>
      <c r="K860" s="2225"/>
      <c r="L860" s="2225"/>
      <c r="M860" s="2225"/>
      <c r="N860" s="2225"/>
      <c r="O860" s="2225"/>
      <c r="P860" s="2225"/>
      <c r="Q860" s="2225"/>
      <c r="R860" s="1901"/>
      <c r="S860" s="1901"/>
      <c r="T860" s="1901"/>
      <c r="U860" s="1901"/>
      <c r="V860" s="1901"/>
      <c r="W860" s="1901"/>
      <c r="X860" s="1901"/>
      <c r="Y860" s="1901"/>
      <c r="Z860" s="1901"/>
      <c r="AA860" s="1901"/>
      <c r="AB860" s="1901"/>
      <c r="AC860" s="1901"/>
      <c r="AD860" s="1901"/>
      <c r="AE860" s="1901"/>
      <c r="AF860" s="1901"/>
      <c r="AG860" s="1901"/>
    </row>
    <row r="861" spans="1:33" s="1430" customFormat="1" ht="18.75" customHeight="1">
      <c r="A861" s="1431"/>
      <c r="D861" s="2225"/>
      <c r="E861" s="2225"/>
      <c r="F861" s="2225"/>
      <c r="G861" s="2225"/>
      <c r="H861" s="2225"/>
      <c r="I861" s="2225"/>
      <c r="J861" s="2225"/>
      <c r="K861" s="2225"/>
      <c r="L861" s="2225"/>
      <c r="M861" s="2225"/>
      <c r="N861" s="2225"/>
      <c r="O861" s="2225"/>
      <c r="P861" s="2225"/>
      <c r="Q861" s="2225"/>
      <c r="R861" s="1901"/>
      <c r="S861" s="1901"/>
      <c r="T861" s="1901"/>
      <c r="U861" s="1901"/>
      <c r="V861" s="1901"/>
      <c r="W861" s="1901"/>
      <c r="X861" s="1901"/>
      <c r="Y861" s="1901"/>
      <c r="Z861" s="1901"/>
      <c r="AA861" s="1901"/>
      <c r="AB861" s="1901"/>
      <c r="AC861" s="1901"/>
      <c r="AD861" s="1901"/>
      <c r="AE861" s="1901"/>
      <c r="AF861" s="1901"/>
      <c r="AG861" s="1901"/>
    </row>
    <row r="862" spans="1:33" s="1430" customFormat="1" ht="18.75" customHeight="1">
      <c r="A862" s="1431"/>
      <c r="D862" s="2225"/>
      <c r="E862" s="2225"/>
      <c r="F862" s="2225"/>
      <c r="G862" s="2225"/>
      <c r="H862" s="2225"/>
      <c r="I862" s="2225"/>
      <c r="J862" s="2225"/>
      <c r="K862" s="2225"/>
      <c r="L862" s="2225"/>
      <c r="M862" s="2225"/>
      <c r="N862" s="2225"/>
      <c r="O862" s="2225"/>
      <c r="P862" s="2225"/>
      <c r="Q862" s="2225"/>
      <c r="R862" s="1901"/>
      <c r="S862" s="1901"/>
      <c r="T862" s="1901"/>
      <c r="U862" s="1901"/>
      <c r="V862" s="1901"/>
      <c r="W862" s="1901"/>
      <c r="X862" s="1901"/>
      <c r="Y862" s="1901"/>
      <c r="Z862" s="1901"/>
      <c r="AA862" s="1901"/>
      <c r="AB862" s="1901"/>
      <c r="AC862" s="1901"/>
      <c r="AD862" s="1901"/>
      <c r="AE862" s="1901"/>
      <c r="AF862" s="1901"/>
      <c r="AG862" s="1901"/>
    </row>
    <row r="863" spans="1:33" s="1430" customFormat="1" ht="18.75" customHeight="1" thickBot="1">
      <c r="A863" s="1431"/>
      <c r="D863" s="2231"/>
      <c r="E863" s="2231"/>
      <c r="F863" s="2231"/>
      <c r="G863" s="2231"/>
      <c r="H863" s="2231"/>
      <c r="I863" s="2231"/>
      <c r="J863" s="2231"/>
      <c r="K863" s="2231"/>
      <c r="L863" s="2231"/>
      <c r="M863" s="2231"/>
      <c r="N863" s="2231"/>
      <c r="O863" s="2231"/>
      <c r="P863" s="2231"/>
      <c r="Q863" s="2231"/>
      <c r="R863" s="2128"/>
      <c r="S863" s="2128"/>
      <c r="T863" s="2128"/>
      <c r="U863" s="2128"/>
      <c r="V863" s="2128"/>
      <c r="W863" s="2128"/>
      <c r="X863" s="2128"/>
      <c r="Y863" s="2128"/>
      <c r="Z863" s="2128"/>
      <c r="AA863" s="2128"/>
      <c r="AB863" s="2128"/>
      <c r="AC863" s="2128"/>
      <c r="AD863" s="2128"/>
      <c r="AE863" s="2128"/>
      <c r="AF863" s="2128"/>
      <c r="AG863" s="2128"/>
    </row>
    <row r="864" spans="1:33" s="1430" customFormat="1" ht="14.25" customHeight="1">
      <c r="A864" s="1431"/>
    </row>
    <row r="865" spans="1:41" s="1430" customFormat="1" ht="22.5" customHeight="1">
      <c r="A865" s="1431"/>
      <c r="D865" s="2316" t="s">
        <v>2762</v>
      </c>
      <c r="E865" s="2317"/>
      <c r="F865" s="2317"/>
      <c r="G865" s="2317"/>
      <c r="H865" s="2317"/>
      <c r="I865" s="2317"/>
      <c r="J865" s="2317"/>
      <c r="K865" s="2317"/>
      <c r="L865" s="2317"/>
      <c r="M865" s="2317"/>
      <c r="N865" s="2317"/>
      <c r="O865" s="2317"/>
      <c r="P865" s="2317"/>
      <c r="Q865" s="2317"/>
      <c r="R865" s="2317"/>
      <c r="S865" s="2317"/>
      <c r="T865" s="2317"/>
      <c r="U865" s="2317"/>
      <c r="V865" s="2317"/>
      <c r="W865" s="2317"/>
      <c r="X865" s="2317"/>
      <c r="Y865" s="2317"/>
      <c r="Z865" s="2317"/>
      <c r="AA865" s="2317"/>
      <c r="AB865" s="2317"/>
      <c r="AC865" s="2317"/>
      <c r="AD865" s="2317"/>
      <c r="AE865" s="2317"/>
      <c r="AF865" s="2317"/>
      <c r="AG865" s="2317"/>
    </row>
    <row r="866" spans="1:41" s="1430" customFormat="1" ht="14.25" customHeight="1">
      <c r="A866" s="1431"/>
    </row>
    <row r="867" spans="1:41" s="1430" customFormat="1" ht="14.25" customHeight="1">
      <c r="A867" s="1431"/>
      <c r="D867" s="2319" t="s">
        <v>2944</v>
      </c>
      <c r="E867" s="2319"/>
      <c r="F867" s="2319"/>
      <c r="G867" s="2319"/>
      <c r="H867" s="2319"/>
      <c r="I867" s="2319"/>
      <c r="J867" s="2319"/>
      <c r="K867" s="2319"/>
      <c r="L867" s="2319"/>
      <c r="M867" s="2319"/>
      <c r="N867" s="2319"/>
      <c r="O867" s="2319"/>
      <c r="P867" s="2319"/>
      <c r="Q867" s="2319"/>
      <c r="R867" s="2319"/>
      <c r="S867" s="2319"/>
      <c r="T867" s="2319"/>
      <c r="U867" s="2319"/>
      <c r="V867" s="2319"/>
      <c r="W867" s="2319"/>
      <c r="X867" s="2319"/>
      <c r="Y867" s="2319"/>
      <c r="Z867" s="2319"/>
      <c r="AA867" s="2319"/>
      <c r="AB867" s="2319"/>
      <c r="AC867" s="2319"/>
      <c r="AD867" s="2319"/>
      <c r="AE867" s="2319"/>
      <c r="AF867" s="2319"/>
      <c r="AG867" s="2319"/>
    </row>
    <row r="868" spans="1:41" s="1430" customFormat="1" ht="14.25" customHeight="1" thickBot="1">
      <c r="A868" s="1431"/>
    </row>
    <row r="869" spans="1:41" s="1430" customFormat="1" ht="14.25" customHeight="1" thickBot="1">
      <c r="A869" s="1431"/>
      <c r="D869" s="1921" t="s">
        <v>465</v>
      </c>
      <c r="E869" s="1921"/>
      <c r="F869" s="1921"/>
      <c r="G869" s="1921"/>
      <c r="H869" s="1921"/>
      <c r="I869" s="1921"/>
      <c r="J869" s="1921"/>
      <c r="K869" s="1921"/>
      <c r="L869" s="1921"/>
      <c r="M869" s="1921"/>
      <c r="N869" s="1921" t="s">
        <v>2</v>
      </c>
      <c r="O869" s="1921"/>
      <c r="P869" s="1921"/>
      <c r="Q869" s="1921"/>
      <c r="R869" s="1921"/>
      <c r="S869" s="1921"/>
      <c r="T869" s="1921"/>
      <c r="U869" s="1921"/>
      <c r="V869" s="1921"/>
      <c r="W869" s="1921"/>
      <c r="X869" s="1921"/>
      <c r="Y869" s="1921"/>
      <c r="Z869" s="1921"/>
      <c r="AA869" s="1921"/>
      <c r="AB869" s="1921"/>
      <c r="AC869" s="1921"/>
      <c r="AD869" s="1921"/>
      <c r="AE869" s="1921"/>
      <c r="AF869" s="1921"/>
      <c r="AG869" s="1921"/>
    </row>
    <row r="870" spans="1:41" s="1430" customFormat="1" ht="35.25" customHeight="1" thickTop="1" thickBot="1">
      <c r="A870" s="1431"/>
      <c r="D870" s="1921"/>
      <c r="E870" s="1921"/>
      <c r="F870" s="1921"/>
      <c r="G870" s="1921"/>
      <c r="H870" s="1921"/>
      <c r="I870" s="1921"/>
      <c r="J870" s="1921"/>
      <c r="K870" s="1921"/>
      <c r="L870" s="1921"/>
      <c r="M870" s="1921"/>
      <c r="N870" s="1851" t="s">
        <v>2002</v>
      </c>
      <c r="O870" s="1851"/>
      <c r="P870" s="1851"/>
      <c r="Q870" s="1851"/>
      <c r="R870" s="1851" t="s">
        <v>27</v>
      </c>
      <c r="S870" s="1851"/>
      <c r="T870" s="1851"/>
      <c r="U870" s="1851"/>
      <c r="V870" s="1851" t="s">
        <v>28</v>
      </c>
      <c r="W870" s="1851"/>
      <c r="X870" s="1851"/>
      <c r="Y870" s="1851"/>
      <c r="Z870" s="1851" t="s">
        <v>29</v>
      </c>
      <c r="AA870" s="1851"/>
      <c r="AB870" s="1851"/>
      <c r="AC870" s="1851"/>
      <c r="AD870" s="1851" t="s">
        <v>392</v>
      </c>
      <c r="AE870" s="1851"/>
      <c r="AF870" s="1851"/>
      <c r="AG870" s="1851"/>
      <c r="AL870" s="1423" t="s">
        <v>472</v>
      </c>
      <c r="AM870" s="1423" t="s">
        <v>392</v>
      </c>
      <c r="AO870" s="1423" t="s">
        <v>392</v>
      </c>
    </row>
    <row r="871" spans="1:41" s="1430" customFormat="1" ht="19.899999999999999" customHeight="1">
      <c r="A871" s="1431"/>
      <c r="D871" s="2093" t="s">
        <v>393</v>
      </c>
      <c r="E871" s="2093"/>
      <c r="F871" s="2093"/>
      <c r="G871" s="2093"/>
      <c r="H871" s="2093"/>
      <c r="I871" s="2093"/>
      <c r="J871" s="2093"/>
      <c r="K871" s="2093"/>
      <c r="L871" s="2093"/>
      <c r="M871" s="2093"/>
      <c r="N871" s="2080">
        <v>2506390</v>
      </c>
      <c r="O871" s="2080"/>
      <c r="P871" s="2080"/>
      <c r="Q871" s="2080"/>
      <c r="R871" s="2081">
        <v>0</v>
      </c>
      <c r="S871" s="2081"/>
      <c r="T871" s="2081"/>
      <c r="U871" s="2081"/>
      <c r="V871" s="2081">
        <v>0</v>
      </c>
      <c r="W871" s="2081"/>
      <c r="X871" s="2081"/>
      <c r="Y871" s="2081"/>
      <c r="Z871" s="2081">
        <v>0</v>
      </c>
      <c r="AA871" s="2081"/>
      <c r="AB871" s="2081"/>
      <c r="AC871" s="2081"/>
      <c r="AD871" s="1944">
        <f>SUM(N871:AC871)</f>
        <v>2506390</v>
      </c>
      <c r="AE871" s="1944"/>
      <c r="AF871" s="1944"/>
      <c r="AG871" s="1944"/>
      <c r="AL871" s="1458">
        <f>N871-AD891</f>
        <v>0</v>
      </c>
      <c r="AM871" s="1459">
        <f>SUM(N871:AC871)-AD871</f>
        <v>0</v>
      </c>
      <c r="AO871" s="1460">
        <f>AD871-BS!$D$97</f>
        <v>0</v>
      </c>
    </row>
    <row r="872" spans="1:41" s="1430" customFormat="1" ht="19.899999999999999" customHeight="1">
      <c r="A872" s="1431"/>
      <c r="D872" s="1904" t="s">
        <v>466</v>
      </c>
      <c r="E872" s="1904"/>
      <c r="F872" s="1904"/>
      <c r="G872" s="1904"/>
      <c r="H872" s="1904"/>
      <c r="I872" s="1904"/>
      <c r="J872" s="1904"/>
      <c r="K872" s="1904"/>
      <c r="L872" s="1904"/>
      <c r="M872" s="1904"/>
      <c r="N872" s="1901">
        <v>0</v>
      </c>
      <c r="O872" s="1901"/>
      <c r="P872" s="1901"/>
      <c r="Q872" s="1901"/>
      <c r="R872" s="1793">
        <v>0</v>
      </c>
      <c r="S872" s="1793"/>
      <c r="T872" s="1793"/>
      <c r="U872" s="1793"/>
      <c r="V872" s="1793">
        <v>0</v>
      </c>
      <c r="W872" s="1793"/>
      <c r="X872" s="1793"/>
      <c r="Y872" s="1793"/>
      <c r="Z872" s="1793">
        <v>0</v>
      </c>
      <c r="AA872" s="1793"/>
      <c r="AB872" s="1793"/>
      <c r="AC872" s="1793"/>
      <c r="AD872" s="1902">
        <f t="shared" ref="AD872:AD884" si="172">SUM(N872:AC872)</f>
        <v>0</v>
      </c>
      <c r="AE872" s="1902"/>
      <c r="AF872" s="1902"/>
      <c r="AG872" s="1902"/>
      <c r="AL872" s="1462">
        <f>N872-AD892</f>
        <v>0</v>
      </c>
      <c r="AM872" s="1452">
        <f t="shared" ref="AM872:AM885" si="173">SUM(N872:AC872)-AD872</f>
        <v>0</v>
      </c>
      <c r="AO872" s="1462">
        <f>AD872-BS!$D$98</f>
        <v>0</v>
      </c>
    </row>
    <row r="873" spans="1:41" s="1430" customFormat="1" ht="19.899999999999999" customHeight="1">
      <c r="A873" s="1431"/>
      <c r="D873" s="1904" t="s">
        <v>467</v>
      </c>
      <c r="E873" s="1904"/>
      <c r="F873" s="1904"/>
      <c r="G873" s="1904"/>
      <c r="H873" s="1904"/>
      <c r="I873" s="1904"/>
      <c r="J873" s="1904"/>
      <c r="K873" s="1904"/>
      <c r="L873" s="1904"/>
      <c r="M873" s="1904"/>
      <c r="N873" s="1901">
        <v>0</v>
      </c>
      <c r="O873" s="1901"/>
      <c r="P873" s="1901"/>
      <c r="Q873" s="1901"/>
      <c r="R873" s="1793">
        <v>0</v>
      </c>
      <c r="S873" s="1793"/>
      <c r="T873" s="1793"/>
      <c r="U873" s="1793"/>
      <c r="V873" s="1793">
        <v>0</v>
      </c>
      <c r="W873" s="1793"/>
      <c r="X873" s="1793"/>
      <c r="Y873" s="1793"/>
      <c r="Z873" s="1793">
        <v>0</v>
      </c>
      <c r="AA873" s="1793"/>
      <c r="AB873" s="1793"/>
      <c r="AC873" s="1793"/>
      <c r="AD873" s="1902">
        <f t="shared" si="172"/>
        <v>0</v>
      </c>
      <c r="AE873" s="1902"/>
      <c r="AF873" s="1902"/>
      <c r="AG873" s="1902"/>
      <c r="AL873" s="1462">
        <f t="shared" ref="AL873:AL885" si="174">N873-AD893</f>
        <v>0</v>
      </c>
      <c r="AM873" s="1452">
        <f t="shared" si="173"/>
        <v>0</v>
      </c>
      <c r="AO873" s="1462">
        <f>AD873-BS!$D$99</f>
        <v>0</v>
      </c>
    </row>
    <row r="874" spans="1:41" s="1430" customFormat="1" ht="19.899999999999999" customHeight="1">
      <c r="A874" s="1431"/>
      <c r="D874" s="1904" t="s">
        <v>395</v>
      </c>
      <c r="E874" s="1904"/>
      <c r="F874" s="1904"/>
      <c r="G874" s="1904"/>
      <c r="H874" s="1904"/>
      <c r="I874" s="1904"/>
      <c r="J874" s="1904"/>
      <c r="K874" s="1904"/>
      <c r="L874" s="1904"/>
      <c r="M874" s="1904"/>
      <c r="N874" s="1901">
        <v>0</v>
      </c>
      <c r="O874" s="1901"/>
      <c r="P874" s="1901"/>
      <c r="Q874" s="1901"/>
      <c r="R874" s="1793">
        <v>0</v>
      </c>
      <c r="S874" s="1793"/>
      <c r="T874" s="1793"/>
      <c r="U874" s="1793"/>
      <c r="V874" s="1793">
        <v>0</v>
      </c>
      <c r="W874" s="1793"/>
      <c r="X874" s="1793"/>
      <c r="Y874" s="1793"/>
      <c r="Z874" s="1793">
        <v>0</v>
      </c>
      <c r="AA874" s="1793"/>
      <c r="AB874" s="1793"/>
      <c r="AC874" s="1793"/>
      <c r="AD874" s="1902">
        <f t="shared" si="172"/>
        <v>0</v>
      </c>
      <c r="AE874" s="1902"/>
      <c r="AF874" s="1902"/>
      <c r="AG874" s="1902"/>
      <c r="AL874" s="1462">
        <f t="shared" si="174"/>
        <v>0</v>
      </c>
      <c r="AM874" s="1452">
        <f t="shared" si="173"/>
        <v>0</v>
      </c>
      <c r="AO874" s="1462">
        <f>AD874-BS!$D$100</f>
        <v>0</v>
      </c>
    </row>
    <row r="875" spans="1:41" s="1430" customFormat="1" ht="19.899999999999999" customHeight="1">
      <c r="A875" s="1431"/>
      <c r="D875" s="1904" t="s">
        <v>396</v>
      </c>
      <c r="E875" s="1904"/>
      <c r="F875" s="1904"/>
      <c r="G875" s="1904"/>
      <c r="H875" s="1904"/>
      <c r="I875" s="1904"/>
      <c r="J875" s="1904"/>
      <c r="K875" s="1904"/>
      <c r="L875" s="1904"/>
      <c r="M875" s="1904"/>
      <c r="N875" s="1793">
        <v>0</v>
      </c>
      <c r="O875" s="1793"/>
      <c r="P875" s="1793"/>
      <c r="Q875" s="1793"/>
      <c r="R875" s="1793">
        <v>0</v>
      </c>
      <c r="S875" s="1793"/>
      <c r="T875" s="1793"/>
      <c r="U875" s="1793"/>
      <c r="V875" s="1793">
        <v>0</v>
      </c>
      <c r="W875" s="1793"/>
      <c r="X875" s="1793"/>
      <c r="Y875" s="1793"/>
      <c r="Z875" s="1793">
        <v>0</v>
      </c>
      <c r="AA875" s="1793"/>
      <c r="AB875" s="1793"/>
      <c r="AC875" s="1793"/>
      <c r="AD875" s="1902">
        <f t="shared" si="172"/>
        <v>0</v>
      </c>
      <c r="AE875" s="1902"/>
      <c r="AF875" s="1902"/>
      <c r="AG875" s="1902"/>
      <c r="AL875" s="1462">
        <f t="shared" si="174"/>
        <v>0</v>
      </c>
      <c r="AM875" s="1452">
        <f t="shared" si="173"/>
        <v>0</v>
      </c>
      <c r="AO875" s="1462">
        <f>AD875-BS!$D$101</f>
        <v>0</v>
      </c>
    </row>
    <row r="876" spans="1:41" s="1430" customFormat="1" ht="19.899999999999999" customHeight="1">
      <c r="A876" s="1431"/>
      <c r="D876" s="1904" t="s">
        <v>2921</v>
      </c>
      <c r="E876" s="1904"/>
      <c r="F876" s="1904"/>
      <c r="G876" s="1904"/>
      <c r="H876" s="1904"/>
      <c r="I876" s="1904"/>
      <c r="J876" s="1904"/>
      <c r="K876" s="1904"/>
      <c r="L876" s="1904"/>
      <c r="M876" s="1904"/>
      <c r="N876" s="1901">
        <v>107571</v>
      </c>
      <c r="O876" s="1901"/>
      <c r="P876" s="1901"/>
      <c r="Q876" s="1901"/>
      <c r="R876" s="1793">
        <v>0</v>
      </c>
      <c r="S876" s="1793"/>
      <c r="T876" s="1793"/>
      <c r="U876" s="1793"/>
      <c r="V876" s="1793">
        <v>0</v>
      </c>
      <c r="W876" s="1793"/>
      <c r="X876" s="1793"/>
      <c r="Y876" s="1793"/>
      <c r="Z876" s="1793">
        <v>7979</v>
      </c>
      <c r="AA876" s="1793"/>
      <c r="AB876" s="1793"/>
      <c r="AC876" s="1793"/>
      <c r="AD876" s="1902">
        <f t="shared" si="172"/>
        <v>115550</v>
      </c>
      <c r="AE876" s="1902"/>
      <c r="AF876" s="1902"/>
      <c r="AG876" s="1902"/>
      <c r="AL876" s="1462">
        <f t="shared" si="174"/>
        <v>0</v>
      </c>
      <c r="AM876" s="1452">
        <f t="shared" si="173"/>
        <v>0</v>
      </c>
      <c r="AO876" s="1462">
        <f>AD876-BS!$D$103</f>
        <v>0</v>
      </c>
    </row>
    <row r="877" spans="1:41" s="1430" customFormat="1" ht="19.899999999999999" customHeight="1">
      <c r="A877" s="1537"/>
      <c r="D877" s="1798" t="s">
        <v>2923</v>
      </c>
      <c r="E877" s="2091"/>
      <c r="F877" s="2091"/>
      <c r="G877" s="2091"/>
      <c r="H877" s="2091"/>
      <c r="I877" s="2091"/>
      <c r="J877" s="2091"/>
      <c r="K877" s="2091"/>
      <c r="L877" s="2091"/>
      <c r="M877" s="2092"/>
      <c r="N877" s="1949">
        <v>0</v>
      </c>
      <c r="O877" s="1950"/>
      <c r="P877" s="1950"/>
      <c r="Q877" s="1951"/>
      <c r="R877" s="1928">
        <v>0</v>
      </c>
      <c r="S877" s="1929"/>
      <c r="T877" s="1929"/>
      <c r="U877" s="1930"/>
      <c r="V877" s="1928">
        <v>0</v>
      </c>
      <c r="W877" s="1929"/>
      <c r="X877" s="1929"/>
      <c r="Y877" s="1930"/>
      <c r="Z877" s="1928">
        <v>0</v>
      </c>
      <c r="AA877" s="1929"/>
      <c r="AB877" s="1929"/>
      <c r="AC877" s="1930"/>
      <c r="AD877" s="1952">
        <f>SUM(N877:AC877)</f>
        <v>0</v>
      </c>
      <c r="AE877" s="1953"/>
      <c r="AF877" s="1953"/>
      <c r="AG877" s="1954"/>
      <c r="AL877" s="1462">
        <f t="shared" si="174"/>
        <v>0</v>
      </c>
      <c r="AM877" s="1452"/>
      <c r="AO877" s="1462"/>
    </row>
    <row r="878" spans="1:41" s="1430" customFormat="1" ht="19.899999999999999" customHeight="1">
      <c r="A878" s="1537"/>
      <c r="D878" s="1904" t="s">
        <v>2924</v>
      </c>
      <c r="E878" s="1904"/>
      <c r="F878" s="1904"/>
      <c r="G878" s="1904"/>
      <c r="H878" s="1904"/>
      <c r="I878" s="1904"/>
      <c r="J878" s="1904"/>
      <c r="K878" s="1904"/>
      <c r="L878" s="1904"/>
      <c r="M878" s="1904"/>
      <c r="N878" s="1901">
        <v>0</v>
      </c>
      <c r="O878" s="1901"/>
      <c r="P878" s="1901"/>
      <c r="Q878" s="1901"/>
      <c r="R878" s="1793">
        <v>0</v>
      </c>
      <c r="S878" s="1793"/>
      <c r="T878" s="1793"/>
      <c r="U878" s="1793"/>
      <c r="V878" s="1793">
        <v>0</v>
      </c>
      <c r="W878" s="1793"/>
      <c r="X878" s="1793"/>
      <c r="Y878" s="1793"/>
      <c r="Z878" s="1793">
        <v>0</v>
      </c>
      <c r="AA878" s="1793"/>
      <c r="AB878" s="1793"/>
      <c r="AC878" s="1793"/>
      <c r="AD878" s="1902">
        <f t="shared" ref="AD878" si="175">SUM(N878:AC878)</f>
        <v>0</v>
      </c>
      <c r="AE878" s="1902"/>
      <c r="AF878" s="1902"/>
      <c r="AG878" s="1902"/>
      <c r="AL878" s="1462">
        <f t="shared" si="174"/>
        <v>0</v>
      </c>
      <c r="AM878" s="1452">
        <f t="shared" ref="AM878" si="176">SUM(N878:AC878)-AD878</f>
        <v>0</v>
      </c>
      <c r="AO878" s="1462">
        <f>AD878-BS!$D$106-BS!$D$107</f>
        <v>0</v>
      </c>
    </row>
    <row r="879" spans="1:41" s="1430" customFormat="1" ht="19.899999999999999" customHeight="1">
      <c r="A879" s="1537"/>
      <c r="D879" s="1798" t="s">
        <v>2925</v>
      </c>
      <c r="E879" s="2091"/>
      <c r="F879" s="2091"/>
      <c r="G879" s="2091"/>
      <c r="H879" s="2091"/>
      <c r="I879" s="2091"/>
      <c r="J879" s="2091"/>
      <c r="K879" s="2091"/>
      <c r="L879" s="2091"/>
      <c r="M879" s="2092"/>
      <c r="N879" s="1949">
        <v>0</v>
      </c>
      <c r="O879" s="1950"/>
      <c r="P879" s="1950"/>
      <c r="Q879" s="1951"/>
      <c r="R879" s="1928">
        <v>0</v>
      </c>
      <c r="S879" s="1929"/>
      <c r="T879" s="1929"/>
      <c r="U879" s="1930"/>
      <c r="V879" s="1928">
        <v>0</v>
      </c>
      <c r="W879" s="1929"/>
      <c r="X879" s="1929"/>
      <c r="Y879" s="1930"/>
      <c r="Z879" s="1928">
        <v>0</v>
      </c>
      <c r="AA879" s="1929"/>
      <c r="AB879" s="1929"/>
      <c r="AC879" s="1930"/>
      <c r="AD879" s="1952">
        <f>SUM(N879:AC879)</f>
        <v>0</v>
      </c>
      <c r="AE879" s="1953"/>
      <c r="AF879" s="1953"/>
      <c r="AG879" s="1954"/>
      <c r="AL879" s="1462">
        <f t="shared" si="174"/>
        <v>0</v>
      </c>
      <c r="AM879" s="1452"/>
      <c r="AO879" s="1462"/>
    </row>
    <row r="880" spans="1:41" s="1430" customFormat="1" ht="19.899999999999999" customHeight="1">
      <c r="A880" s="1431"/>
      <c r="D880" s="1904" t="s">
        <v>2003</v>
      </c>
      <c r="E880" s="1904"/>
      <c r="F880" s="1904"/>
      <c r="G880" s="1904"/>
      <c r="H880" s="1904"/>
      <c r="I880" s="1904"/>
      <c r="J880" s="1904"/>
      <c r="K880" s="1904"/>
      <c r="L880" s="1904"/>
      <c r="M880" s="1904"/>
      <c r="N880" s="1901">
        <v>0</v>
      </c>
      <c r="O880" s="1901"/>
      <c r="P880" s="1901"/>
      <c r="Q880" s="1901"/>
      <c r="R880" s="1793">
        <v>0</v>
      </c>
      <c r="S880" s="1793"/>
      <c r="T880" s="1793"/>
      <c r="U880" s="1793"/>
      <c r="V880" s="1793">
        <v>0</v>
      </c>
      <c r="W880" s="1793"/>
      <c r="X880" s="1793"/>
      <c r="Y880" s="1793"/>
      <c r="Z880" s="1793">
        <v>0</v>
      </c>
      <c r="AA880" s="1793"/>
      <c r="AB880" s="1793"/>
      <c r="AC880" s="1793"/>
      <c r="AD880" s="1902">
        <f t="shared" ref="AD880" si="177">SUM(N880:AC880)</f>
        <v>0</v>
      </c>
      <c r="AE880" s="1902"/>
      <c r="AF880" s="1902"/>
      <c r="AG880" s="1902"/>
      <c r="AL880" s="1462">
        <f t="shared" si="174"/>
        <v>0</v>
      </c>
      <c r="AM880" s="1452">
        <f t="shared" si="173"/>
        <v>0</v>
      </c>
      <c r="AO880" s="1462"/>
    </row>
    <row r="881" spans="1:41" s="1430" customFormat="1" ht="19.899999999999999" customHeight="1">
      <c r="A881" s="1431"/>
      <c r="D881" s="1904" t="s">
        <v>398</v>
      </c>
      <c r="E881" s="1904"/>
      <c r="F881" s="1904"/>
      <c r="G881" s="1904"/>
      <c r="H881" s="1904"/>
      <c r="I881" s="1904"/>
      <c r="J881" s="1904"/>
      <c r="K881" s="1904"/>
      <c r="L881" s="1904"/>
      <c r="M881" s="1904"/>
      <c r="N881" s="1901">
        <v>0</v>
      </c>
      <c r="O881" s="1901"/>
      <c r="P881" s="1901"/>
      <c r="Q881" s="1901"/>
      <c r="R881" s="1793">
        <v>0</v>
      </c>
      <c r="S881" s="1793"/>
      <c r="T881" s="1793"/>
      <c r="U881" s="1793"/>
      <c r="V881" s="1793">
        <v>0</v>
      </c>
      <c r="W881" s="1793"/>
      <c r="X881" s="1793"/>
      <c r="Y881" s="1793"/>
      <c r="Z881" s="1793">
        <v>0</v>
      </c>
      <c r="AA881" s="1793"/>
      <c r="AB881" s="1793"/>
      <c r="AC881" s="1793"/>
      <c r="AD881" s="1902">
        <f t="shared" si="172"/>
        <v>0</v>
      </c>
      <c r="AE881" s="1902"/>
      <c r="AF881" s="1902"/>
      <c r="AG881" s="1902"/>
      <c r="AL881" s="1462">
        <f t="shared" si="174"/>
        <v>0</v>
      </c>
      <c r="AM881" s="1452">
        <f t="shared" si="173"/>
        <v>0</v>
      </c>
      <c r="AO881" s="1462">
        <f>AD881-BS!$D$109-BS!$D$110</f>
        <v>0</v>
      </c>
    </row>
    <row r="882" spans="1:41" s="1430" customFormat="1" ht="19.899999999999999" customHeight="1">
      <c r="A882" s="1431"/>
      <c r="D882" s="1904" t="s">
        <v>468</v>
      </c>
      <c r="E882" s="1904"/>
      <c r="F882" s="1904"/>
      <c r="G882" s="1904"/>
      <c r="H882" s="1904"/>
      <c r="I882" s="1904"/>
      <c r="J882" s="1904"/>
      <c r="K882" s="1904"/>
      <c r="L882" s="1904"/>
      <c r="M882" s="1904"/>
      <c r="N882" s="1901">
        <v>0</v>
      </c>
      <c r="O882" s="1901"/>
      <c r="P882" s="1901"/>
      <c r="Q882" s="1901"/>
      <c r="R882" s="1793">
        <v>0</v>
      </c>
      <c r="S882" s="1793"/>
      <c r="T882" s="1793"/>
      <c r="U882" s="1793"/>
      <c r="V882" s="1793">
        <v>0</v>
      </c>
      <c r="W882" s="1793"/>
      <c r="X882" s="1793"/>
      <c r="Y882" s="1793"/>
      <c r="Z882" s="1793">
        <v>0</v>
      </c>
      <c r="AA882" s="1793"/>
      <c r="AB882" s="1793"/>
      <c r="AC882" s="1793"/>
      <c r="AD882" s="1902">
        <f t="shared" si="172"/>
        <v>0</v>
      </c>
      <c r="AE882" s="1902"/>
      <c r="AF882" s="1902"/>
      <c r="AG882" s="1902"/>
      <c r="AL882" s="1462">
        <f>N882-AD902</f>
        <v>0</v>
      </c>
      <c r="AM882" s="1452">
        <f t="shared" si="173"/>
        <v>0</v>
      </c>
      <c r="AO882" s="1462">
        <f>AD882-BS!$D$111</f>
        <v>0</v>
      </c>
    </row>
    <row r="883" spans="1:41" s="1430" customFormat="1" ht="19.899999999999999" customHeight="1">
      <c r="A883" s="1431"/>
      <c r="D883" s="1904" t="s">
        <v>402</v>
      </c>
      <c r="E883" s="1904"/>
      <c r="F883" s="1904"/>
      <c r="G883" s="1904"/>
      <c r="H883" s="1904"/>
      <c r="I883" s="1904"/>
      <c r="J883" s="1904"/>
      <c r="K883" s="1904"/>
      <c r="L883" s="1904"/>
      <c r="M883" s="1904"/>
      <c r="N883" s="1901">
        <v>418802</v>
      </c>
      <c r="O883" s="1901"/>
      <c r="P883" s="1901"/>
      <c r="Q883" s="1901"/>
      <c r="R883" s="1793">
        <v>0</v>
      </c>
      <c r="S883" s="1793"/>
      <c r="T883" s="1793"/>
      <c r="U883" s="1793"/>
      <c r="V883" s="1793">
        <v>-411359</v>
      </c>
      <c r="W883" s="1793"/>
      <c r="X883" s="1793"/>
      <c r="Y883" s="1793"/>
      <c r="Z883" s="1793">
        <v>151596</v>
      </c>
      <c r="AA883" s="1793"/>
      <c r="AB883" s="1793"/>
      <c r="AC883" s="1793"/>
      <c r="AD883" s="1902">
        <f>SUM(N883:AC883)</f>
        <v>159039</v>
      </c>
      <c r="AE883" s="1902"/>
      <c r="AF883" s="1902"/>
      <c r="AG883" s="1902"/>
      <c r="AL883" s="1462">
        <f t="shared" si="174"/>
        <v>0</v>
      </c>
      <c r="AM883" s="1452">
        <f t="shared" si="173"/>
        <v>0</v>
      </c>
      <c r="AO883" s="1462">
        <f>AD883-BS!$D$113</f>
        <v>0</v>
      </c>
    </row>
    <row r="884" spans="1:41" s="1430" customFormat="1" ht="19.899999999999999" customHeight="1">
      <c r="A884" s="1431"/>
      <c r="D884" s="1904" t="s">
        <v>469</v>
      </c>
      <c r="E884" s="1904"/>
      <c r="F884" s="1904"/>
      <c r="G884" s="1904"/>
      <c r="H884" s="1904"/>
      <c r="I884" s="1904"/>
      <c r="J884" s="1904"/>
      <c r="K884" s="1904"/>
      <c r="L884" s="1904"/>
      <c r="M884" s="1904"/>
      <c r="N884" s="1901">
        <v>0</v>
      </c>
      <c r="O884" s="1901"/>
      <c r="P884" s="1901"/>
      <c r="Q884" s="1901"/>
      <c r="R884" s="1793">
        <v>0</v>
      </c>
      <c r="S884" s="1793"/>
      <c r="T884" s="1793"/>
      <c r="U884" s="1793"/>
      <c r="V884" s="1793">
        <v>0</v>
      </c>
      <c r="W884" s="1793"/>
      <c r="X884" s="1793"/>
      <c r="Y884" s="1793"/>
      <c r="Z884" s="1793"/>
      <c r="AA884" s="1793"/>
      <c r="AB884" s="1793"/>
      <c r="AC884" s="1793"/>
      <c r="AD884" s="1902">
        <f t="shared" si="172"/>
        <v>0</v>
      </c>
      <c r="AE884" s="1902"/>
      <c r="AF884" s="1902"/>
      <c r="AG884" s="1902"/>
      <c r="AL884" s="1462">
        <f t="shared" si="174"/>
        <v>0</v>
      </c>
      <c r="AM884" s="1452">
        <f t="shared" si="173"/>
        <v>0</v>
      </c>
      <c r="AO884" s="1462">
        <f>AD884-BS!$D$114</f>
        <v>0</v>
      </c>
    </row>
    <row r="885" spans="1:41" s="1430" customFormat="1" ht="19.899999999999999" customHeight="1" thickBot="1">
      <c r="A885" s="1431"/>
      <c r="D885" s="2090" t="s">
        <v>470</v>
      </c>
      <c r="E885" s="2090"/>
      <c r="F885" s="2090"/>
      <c r="G885" s="2090"/>
      <c r="H885" s="2090"/>
      <c r="I885" s="2090"/>
      <c r="J885" s="2090"/>
      <c r="K885" s="2090"/>
      <c r="L885" s="2090"/>
      <c r="M885" s="2090"/>
      <c r="N885" s="2087">
        <v>159575</v>
      </c>
      <c r="O885" s="2087"/>
      <c r="P885" s="2087"/>
      <c r="Q885" s="2087"/>
      <c r="R885" s="2088">
        <v>392434</v>
      </c>
      <c r="S885" s="2088"/>
      <c r="T885" s="2088"/>
      <c r="U885" s="2088"/>
      <c r="V885" s="2088">
        <v>0</v>
      </c>
      <c r="W885" s="2088"/>
      <c r="X885" s="2088"/>
      <c r="Y885" s="2088"/>
      <c r="Z885" s="2088">
        <v>-159575</v>
      </c>
      <c r="AA885" s="2088"/>
      <c r="AB885" s="2088"/>
      <c r="AC885" s="2088"/>
      <c r="AD885" s="2089">
        <f>SUM(N885:AC885)</f>
        <v>392434</v>
      </c>
      <c r="AE885" s="2089"/>
      <c r="AF885" s="2089"/>
      <c r="AG885" s="2089"/>
      <c r="AL885" s="1462">
        <f t="shared" si="174"/>
        <v>0</v>
      </c>
      <c r="AM885" s="1452">
        <f t="shared" si="173"/>
        <v>0</v>
      </c>
      <c r="AO885" s="1462">
        <f>AD885-BS!$D$115</f>
        <v>0</v>
      </c>
    </row>
    <row r="886" spans="1:41" s="1430" customFormat="1" ht="19.899999999999999" customHeight="1" thickBot="1">
      <c r="A886" s="1537"/>
      <c r="D886" s="2079" t="s">
        <v>2922</v>
      </c>
      <c r="E886" s="2079"/>
      <c r="F886" s="2079"/>
      <c r="G886" s="2079"/>
      <c r="H886" s="2079"/>
      <c r="I886" s="2079"/>
      <c r="J886" s="2079"/>
      <c r="K886" s="2079"/>
      <c r="L886" s="2079"/>
      <c r="M886" s="2079"/>
      <c r="N886" s="2083">
        <f>SUM(N871:Q885)</f>
        <v>3192338</v>
      </c>
      <c r="O886" s="2083"/>
      <c r="P886" s="2083"/>
      <c r="Q886" s="2083"/>
      <c r="R886" s="2083">
        <f>SUM(R871:U885)</f>
        <v>392434</v>
      </c>
      <c r="S886" s="2083"/>
      <c r="T886" s="2083"/>
      <c r="U886" s="2083"/>
      <c r="V886" s="2083">
        <f>SUM(V871:Y885)</f>
        <v>-411359</v>
      </c>
      <c r="W886" s="2083"/>
      <c r="X886" s="2083"/>
      <c r="Y886" s="2083"/>
      <c r="Z886" s="2083">
        <f>SUM(Z871:AC885)</f>
        <v>0</v>
      </c>
      <c r="AA886" s="2083"/>
      <c r="AB886" s="2083"/>
      <c r="AC886" s="2083"/>
      <c r="AD886" s="2084">
        <f>SUM(N886:AC886)</f>
        <v>3173413</v>
      </c>
      <c r="AE886" s="2085"/>
      <c r="AF886" s="2085"/>
      <c r="AG886" s="2086"/>
      <c r="AL886" s="1541"/>
      <c r="AM886" s="1541"/>
      <c r="AO886" s="1542"/>
    </row>
    <row r="887" spans="1:41" s="1430" customFormat="1" ht="14.25" customHeight="1">
      <c r="A887" s="1431"/>
    </row>
    <row r="888" spans="1:41" s="1430" customFormat="1" ht="14.25" customHeight="1" thickBot="1">
      <c r="A888" s="1431"/>
    </row>
    <row r="889" spans="1:41" s="1430" customFormat="1" ht="14.25" customHeight="1" thickBot="1">
      <c r="A889" s="1431"/>
      <c r="D889" s="1921" t="s">
        <v>465</v>
      </c>
      <c r="E889" s="1921"/>
      <c r="F889" s="1921"/>
      <c r="G889" s="1921"/>
      <c r="H889" s="1921"/>
      <c r="I889" s="1921"/>
      <c r="J889" s="1921"/>
      <c r="K889" s="1921"/>
      <c r="L889" s="1921"/>
      <c r="M889" s="1921"/>
      <c r="N889" s="1921" t="s">
        <v>3</v>
      </c>
      <c r="O889" s="1921"/>
      <c r="P889" s="1921"/>
      <c r="Q889" s="1921"/>
      <c r="R889" s="1921"/>
      <c r="S889" s="1921"/>
      <c r="T889" s="1921"/>
      <c r="U889" s="1921"/>
      <c r="V889" s="1921"/>
      <c r="W889" s="1921"/>
      <c r="X889" s="1921"/>
      <c r="Y889" s="1921"/>
      <c r="Z889" s="1921"/>
      <c r="AA889" s="1921"/>
      <c r="AB889" s="1921"/>
      <c r="AC889" s="1921"/>
      <c r="AD889" s="1921"/>
      <c r="AE889" s="1921"/>
      <c r="AF889" s="1921"/>
      <c r="AG889" s="1921"/>
    </row>
    <row r="890" spans="1:41" s="1430" customFormat="1" ht="29.65" customHeight="1" thickTop="1" thickBot="1">
      <c r="A890" s="1431"/>
      <c r="D890" s="1921"/>
      <c r="E890" s="1921"/>
      <c r="F890" s="1921"/>
      <c r="G890" s="1921"/>
      <c r="H890" s="1921"/>
      <c r="I890" s="1921"/>
      <c r="J890" s="1921"/>
      <c r="K890" s="1921"/>
      <c r="L890" s="1921"/>
      <c r="M890" s="1921"/>
      <c r="N890" s="1851" t="s">
        <v>2002</v>
      </c>
      <c r="O890" s="1851"/>
      <c r="P890" s="1851"/>
      <c r="Q890" s="1851"/>
      <c r="R890" s="1851" t="s">
        <v>27</v>
      </c>
      <c r="S890" s="1851"/>
      <c r="T890" s="1851"/>
      <c r="U890" s="1851"/>
      <c r="V890" s="1851" t="s">
        <v>28</v>
      </c>
      <c r="W890" s="1851"/>
      <c r="X890" s="1851"/>
      <c r="Y890" s="1851"/>
      <c r="Z890" s="1851" t="s">
        <v>29</v>
      </c>
      <c r="AA890" s="1851"/>
      <c r="AB890" s="1851"/>
      <c r="AC890" s="1851"/>
      <c r="AD890" s="1851" t="s">
        <v>392</v>
      </c>
      <c r="AE890" s="1851"/>
      <c r="AF890" s="1851"/>
      <c r="AG890" s="1851"/>
      <c r="AM890" s="1423" t="s">
        <v>392</v>
      </c>
      <c r="AO890" s="1423" t="s">
        <v>392</v>
      </c>
    </row>
    <row r="891" spans="1:41" s="1430" customFormat="1" ht="19.899999999999999" customHeight="1">
      <c r="A891" s="1431"/>
      <c r="D891" s="2093" t="s">
        <v>393</v>
      </c>
      <c r="E891" s="2093"/>
      <c r="F891" s="2093"/>
      <c r="G891" s="2093"/>
      <c r="H891" s="2093"/>
      <c r="I891" s="2093"/>
      <c r="J891" s="2093"/>
      <c r="K891" s="2093"/>
      <c r="L891" s="2093"/>
      <c r="M891" s="2093"/>
      <c r="N891" s="2080">
        <v>2506390</v>
      </c>
      <c r="O891" s="2080"/>
      <c r="P891" s="2080"/>
      <c r="Q891" s="2080"/>
      <c r="R891" s="2081">
        <v>0</v>
      </c>
      <c r="S891" s="2081"/>
      <c r="T891" s="2081"/>
      <c r="U891" s="2081"/>
      <c r="V891" s="2081">
        <v>0</v>
      </c>
      <c r="W891" s="2081"/>
      <c r="X891" s="2081"/>
      <c r="Y891" s="2081"/>
      <c r="Z891" s="2081">
        <v>0</v>
      </c>
      <c r="AA891" s="2081"/>
      <c r="AB891" s="2081"/>
      <c r="AC891" s="2081"/>
      <c r="AD891" s="1944">
        <f>SUM(N891:AC891)</f>
        <v>2506390</v>
      </c>
      <c r="AE891" s="1944"/>
      <c r="AF891" s="1944"/>
      <c r="AG891" s="1944"/>
      <c r="AM891" s="1458">
        <f>SUM(N891:AC891)-AD891</f>
        <v>0</v>
      </c>
      <c r="AO891" s="1460">
        <f>AD871-BS!$D$97</f>
        <v>0</v>
      </c>
    </row>
    <row r="892" spans="1:41" s="1430" customFormat="1" ht="19.899999999999999" customHeight="1">
      <c r="A892" s="1431"/>
      <c r="D892" s="1904" t="s">
        <v>466</v>
      </c>
      <c r="E892" s="1904"/>
      <c r="F892" s="1904"/>
      <c r="G892" s="1904"/>
      <c r="H892" s="1904"/>
      <c r="I892" s="1904"/>
      <c r="J892" s="1904"/>
      <c r="K892" s="1904"/>
      <c r="L892" s="1904"/>
      <c r="M892" s="1904"/>
      <c r="N892" s="1901">
        <v>0</v>
      </c>
      <c r="O892" s="1901"/>
      <c r="P892" s="1901"/>
      <c r="Q892" s="1901"/>
      <c r="R892" s="1793">
        <v>0</v>
      </c>
      <c r="S892" s="1793"/>
      <c r="T892" s="1793"/>
      <c r="U892" s="1793"/>
      <c r="V892" s="1793">
        <v>0</v>
      </c>
      <c r="W892" s="1793"/>
      <c r="X892" s="1793"/>
      <c r="Y892" s="1793"/>
      <c r="Z892" s="1793">
        <v>0</v>
      </c>
      <c r="AA892" s="1793"/>
      <c r="AB892" s="1793"/>
      <c r="AC892" s="1793"/>
      <c r="AD892" s="1902">
        <f t="shared" ref="AD892:AD896" si="178">SUM(N892:AC892)</f>
        <v>0</v>
      </c>
      <c r="AE892" s="1902"/>
      <c r="AF892" s="1902"/>
      <c r="AG892" s="1902"/>
      <c r="AM892" s="1461">
        <f t="shared" ref="AM892:AM906" si="179">SUM(N892:AC892)-AD892</f>
        <v>0</v>
      </c>
      <c r="AO892" s="1460">
        <v>0</v>
      </c>
    </row>
    <row r="893" spans="1:41" s="1430" customFormat="1" ht="19.899999999999999" customHeight="1">
      <c r="A893" s="1431"/>
      <c r="D893" s="1904" t="s">
        <v>467</v>
      </c>
      <c r="E893" s="1904"/>
      <c r="F893" s="1904"/>
      <c r="G893" s="1904"/>
      <c r="H893" s="1904"/>
      <c r="I893" s="1904"/>
      <c r="J893" s="1904"/>
      <c r="K893" s="1904"/>
      <c r="L893" s="1904"/>
      <c r="M893" s="1904"/>
      <c r="N893" s="1901">
        <v>0</v>
      </c>
      <c r="O893" s="1901"/>
      <c r="P893" s="1901"/>
      <c r="Q893" s="1901"/>
      <c r="R893" s="1793">
        <v>0</v>
      </c>
      <c r="S893" s="1793"/>
      <c r="T893" s="1793"/>
      <c r="U893" s="1793"/>
      <c r="V893" s="1793">
        <v>0</v>
      </c>
      <c r="W893" s="1793"/>
      <c r="X893" s="1793"/>
      <c r="Y893" s="1793"/>
      <c r="Z893" s="1793">
        <v>0</v>
      </c>
      <c r="AA893" s="1793"/>
      <c r="AB893" s="1793"/>
      <c r="AC893" s="1793"/>
      <c r="AD893" s="1902">
        <f t="shared" si="178"/>
        <v>0</v>
      </c>
      <c r="AE893" s="1902"/>
      <c r="AF893" s="1902"/>
      <c r="AG893" s="1902"/>
      <c r="AM893" s="1461">
        <f t="shared" si="179"/>
        <v>0</v>
      </c>
      <c r="AO893" s="1462">
        <f>AD872-BS!$D$98</f>
        <v>0</v>
      </c>
    </row>
    <row r="894" spans="1:41" s="1430" customFormat="1" ht="19.899999999999999" customHeight="1">
      <c r="A894" s="1431"/>
      <c r="D894" s="1904" t="s">
        <v>395</v>
      </c>
      <c r="E894" s="1904"/>
      <c r="F894" s="1904"/>
      <c r="G894" s="1904"/>
      <c r="H894" s="1904"/>
      <c r="I894" s="1904"/>
      <c r="J894" s="1904"/>
      <c r="K894" s="1904"/>
      <c r="L894" s="1904"/>
      <c r="M894" s="1904"/>
      <c r="N894" s="1901">
        <v>0</v>
      </c>
      <c r="O894" s="1901"/>
      <c r="P894" s="1901"/>
      <c r="Q894" s="1901"/>
      <c r="R894" s="1793">
        <v>0</v>
      </c>
      <c r="S894" s="1793"/>
      <c r="T894" s="1793"/>
      <c r="U894" s="1793"/>
      <c r="V894" s="1793">
        <v>0</v>
      </c>
      <c r="W894" s="1793"/>
      <c r="X894" s="1793"/>
      <c r="Y894" s="1793"/>
      <c r="Z894" s="1793">
        <v>0</v>
      </c>
      <c r="AA894" s="1793"/>
      <c r="AB894" s="1793"/>
      <c r="AC894" s="1793"/>
      <c r="AD894" s="1902">
        <f t="shared" si="178"/>
        <v>0</v>
      </c>
      <c r="AE894" s="1902"/>
      <c r="AF894" s="1902"/>
      <c r="AG894" s="1902"/>
      <c r="AM894" s="1461">
        <f t="shared" si="179"/>
        <v>0</v>
      </c>
      <c r="AO894" s="1462">
        <f>AD873-BS!$D$99</f>
        <v>0</v>
      </c>
    </row>
    <row r="895" spans="1:41" s="1430" customFormat="1" ht="19.899999999999999" customHeight="1">
      <c r="A895" s="1431"/>
      <c r="D895" s="1904" t="s">
        <v>396</v>
      </c>
      <c r="E895" s="1904"/>
      <c r="F895" s="1904"/>
      <c r="G895" s="1904"/>
      <c r="H895" s="1904"/>
      <c r="I895" s="1904"/>
      <c r="J895" s="1904"/>
      <c r="K895" s="1904"/>
      <c r="L895" s="1904"/>
      <c r="M895" s="1904"/>
      <c r="N895" s="1793">
        <v>0</v>
      </c>
      <c r="O895" s="1793"/>
      <c r="P895" s="1793"/>
      <c r="Q895" s="1793"/>
      <c r="R895" s="1793">
        <v>0</v>
      </c>
      <c r="S895" s="1793"/>
      <c r="T895" s="1793"/>
      <c r="U895" s="1793"/>
      <c r="V895" s="1793">
        <v>0</v>
      </c>
      <c r="W895" s="1793"/>
      <c r="X895" s="1793"/>
      <c r="Y895" s="1793"/>
      <c r="Z895" s="1793">
        <v>0</v>
      </c>
      <c r="AA895" s="1793"/>
      <c r="AB895" s="1793"/>
      <c r="AC895" s="1793"/>
      <c r="AD895" s="1902">
        <f t="shared" si="178"/>
        <v>0</v>
      </c>
      <c r="AE895" s="1902"/>
      <c r="AF895" s="1902"/>
      <c r="AG895" s="1902"/>
      <c r="AM895" s="1461">
        <f t="shared" si="179"/>
        <v>0</v>
      </c>
      <c r="AO895" s="1462">
        <f>AD874-BS!$D$100</f>
        <v>0</v>
      </c>
    </row>
    <row r="896" spans="1:41" s="1430" customFormat="1" ht="19.899999999999999" customHeight="1">
      <c r="A896" s="1431"/>
      <c r="D896" s="1904" t="s">
        <v>2921</v>
      </c>
      <c r="E896" s="1904"/>
      <c r="F896" s="1904"/>
      <c r="G896" s="1904"/>
      <c r="H896" s="1904"/>
      <c r="I896" s="1904"/>
      <c r="J896" s="1904"/>
      <c r="K896" s="1904"/>
      <c r="L896" s="1904"/>
      <c r="M896" s="1904"/>
      <c r="N896" s="1901">
        <v>87866</v>
      </c>
      <c r="O896" s="1901"/>
      <c r="P896" s="1901"/>
      <c r="Q896" s="1901"/>
      <c r="R896" s="1793">
        <v>0</v>
      </c>
      <c r="S896" s="1793"/>
      <c r="T896" s="1793"/>
      <c r="U896" s="1793"/>
      <c r="V896" s="1793">
        <v>0</v>
      </c>
      <c r="W896" s="1793"/>
      <c r="X896" s="1793"/>
      <c r="Y896" s="1793"/>
      <c r="Z896" s="1793">
        <v>19705</v>
      </c>
      <c r="AA896" s="1793"/>
      <c r="AB896" s="1793"/>
      <c r="AC896" s="1793"/>
      <c r="AD896" s="1902">
        <f t="shared" si="178"/>
        <v>107571</v>
      </c>
      <c r="AE896" s="1902"/>
      <c r="AF896" s="1902"/>
      <c r="AG896" s="1902"/>
      <c r="AM896" s="1461">
        <f t="shared" si="179"/>
        <v>0</v>
      </c>
      <c r="AO896" s="1462">
        <f>AD875-BS!$D$101</f>
        <v>0</v>
      </c>
    </row>
    <row r="897" spans="1:41" s="1430" customFormat="1" ht="19.899999999999999" customHeight="1">
      <c r="A897" s="1431"/>
      <c r="D897" s="1798" t="s">
        <v>2923</v>
      </c>
      <c r="E897" s="2091"/>
      <c r="F897" s="2091"/>
      <c r="G897" s="2091"/>
      <c r="H897" s="2091"/>
      <c r="I897" s="2091"/>
      <c r="J897" s="2091"/>
      <c r="K897" s="2091"/>
      <c r="L897" s="2091"/>
      <c r="M897" s="2092"/>
      <c r="N897" s="1949">
        <v>0</v>
      </c>
      <c r="O897" s="1950"/>
      <c r="P897" s="1950"/>
      <c r="Q897" s="1951"/>
      <c r="R897" s="1928">
        <v>0</v>
      </c>
      <c r="S897" s="1929"/>
      <c r="T897" s="1929"/>
      <c r="U897" s="1930"/>
      <c r="V897" s="1928">
        <v>0</v>
      </c>
      <c r="W897" s="1929"/>
      <c r="X897" s="1929"/>
      <c r="Y897" s="1930"/>
      <c r="Z897" s="1928">
        <v>0</v>
      </c>
      <c r="AA897" s="1929"/>
      <c r="AB897" s="1929"/>
      <c r="AC897" s="1930"/>
      <c r="AD897" s="1952">
        <f>SUM(N897:AC897)</f>
        <v>0</v>
      </c>
      <c r="AE897" s="1953"/>
      <c r="AF897" s="1953"/>
      <c r="AG897" s="1954"/>
      <c r="AM897" s="1462">
        <f>SUM(N897:AC897)-AD897</f>
        <v>0</v>
      </c>
      <c r="AO897" s="1462">
        <f>AD876-BS!$D$103</f>
        <v>0</v>
      </c>
    </row>
    <row r="898" spans="1:41" s="1430" customFormat="1" ht="19.899999999999999" customHeight="1">
      <c r="A898" s="1431"/>
      <c r="D898" s="1904" t="s">
        <v>2924</v>
      </c>
      <c r="E898" s="1904"/>
      <c r="F898" s="1904"/>
      <c r="G898" s="1904"/>
      <c r="H898" s="1904"/>
      <c r="I898" s="1904"/>
      <c r="J898" s="1904"/>
      <c r="K898" s="1904"/>
      <c r="L898" s="1904"/>
      <c r="M898" s="1904"/>
      <c r="N898" s="1901">
        <v>0</v>
      </c>
      <c r="O898" s="1901"/>
      <c r="P898" s="1901"/>
      <c r="Q898" s="1901"/>
      <c r="R898" s="1793">
        <v>0</v>
      </c>
      <c r="S898" s="1793"/>
      <c r="T898" s="1793"/>
      <c r="U898" s="1793"/>
      <c r="V898" s="1793">
        <v>0</v>
      </c>
      <c r="W898" s="1793"/>
      <c r="X898" s="1793"/>
      <c r="Y898" s="1793"/>
      <c r="Z898" s="1793">
        <v>0</v>
      </c>
      <c r="AA898" s="1793"/>
      <c r="AB898" s="1793"/>
      <c r="AC898" s="1793"/>
      <c r="AD898" s="1902">
        <f t="shared" ref="AD898" si="180">SUM(N898:AC898)</f>
        <v>0</v>
      </c>
      <c r="AE898" s="1902"/>
      <c r="AF898" s="1902"/>
      <c r="AG898" s="1902"/>
      <c r="AM898" s="1461">
        <f t="shared" si="179"/>
        <v>0</v>
      </c>
      <c r="AO898" s="1462"/>
    </row>
    <row r="899" spans="1:41" s="1430" customFormat="1" ht="19.899999999999999" customHeight="1">
      <c r="A899" s="1431"/>
      <c r="D899" s="1798" t="s">
        <v>2925</v>
      </c>
      <c r="E899" s="2091"/>
      <c r="F899" s="2091"/>
      <c r="G899" s="2091"/>
      <c r="H899" s="2091"/>
      <c r="I899" s="2091"/>
      <c r="J899" s="2091"/>
      <c r="K899" s="2091"/>
      <c r="L899" s="2091"/>
      <c r="M899" s="2092"/>
      <c r="N899" s="1949">
        <v>0</v>
      </c>
      <c r="O899" s="1950"/>
      <c r="P899" s="1950"/>
      <c r="Q899" s="1951"/>
      <c r="R899" s="1928">
        <v>0</v>
      </c>
      <c r="S899" s="1929"/>
      <c r="T899" s="1929"/>
      <c r="U899" s="1930"/>
      <c r="V899" s="1928">
        <v>0</v>
      </c>
      <c r="W899" s="1929"/>
      <c r="X899" s="1929"/>
      <c r="Y899" s="1930"/>
      <c r="Z899" s="1928">
        <v>0</v>
      </c>
      <c r="AA899" s="1929"/>
      <c r="AB899" s="1929"/>
      <c r="AC899" s="1930"/>
      <c r="AD899" s="1952">
        <f>SUM(N899:AC899)</f>
        <v>0</v>
      </c>
      <c r="AE899" s="1953"/>
      <c r="AF899" s="1953"/>
      <c r="AG899" s="1954"/>
      <c r="AM899" s="1461">
        <f t="shared" si="179"/>
        <v>0</v>
      </c>
      <c r="AO899" s="1462">
        <f>AD881-BS!$D$109-BS!$D$110</f>
        <v>0</v>
      </c>
    </row>
    <row r="900" spans="1:41" s="1430" customFormat="1" ht="19.899999999999999" customHeight="1">
      <c r="A900" s="1431"/>
      <c r="D900" s="1904" t="s">
        <v>2003</v>
      </c>
      <c r="E900" s="1904"/>
      <c r="F900" s="1904"/>
      <c r="G900" s="1904"/>
      <c r="H900" s="1904"/>
      <c r="I900" s="1904"/>
      <c r="J900" s="1904"/>
      <c r="K900" s="1904"/>
      <c r="L900" s="1904"/>
      <c r="M900" s="1904"/>
      <c r="N900" s="1901">
        <v>0</v>
      </c>
      <c r="O900" s="1901"/>
      <c r="P900" s="1901"/>
      <c r="Q900" s="1901"/>
      <c r="R900" s="1793">
        <v>0</v>
      </c>
      <c r="S900" s="1793"/>
      <c r="T900" s="1793"/>
      <c r="U900" s="1793"/>
      <c r="V900" s="1793">
        <v>0</v>
      </c>
      <c r="W900" s="1793"/>
      <c r="X900" s="1793"/>
      <c r="Y900" s="1793"/>
      <c r="Z900" s="1793">
        <v>0</v>
      </c>
      <c r="AA900" s="1793"/>
      <c r="AB900" s="1793"/>
      <c r="AC900" s="1793"/>
      <c r="AD900" s="1902">
        <f t="shared" ref="AD900" si="181">SUM(N900:AC900)</f>
        <v>0</v>
      </c>
      <c r="AE900" s="1902"/>
      <c r="AF900" s="1902"/>
      <c r="AG900" s="1902"/>
      <c r="AM900" s="1461">
        <f t="shared" si="179"/>
        <v>0</v>
      </c>
      <c r="AO900" s="1462">
        <f>AD882-BS!$D$111</f>
        <v>0</v>
      </c>
    </row>
    <row r="901" spans="1:41" s="1430" customFormat="1" ht="19.899999999999999" customHeight="1">
      <c r="A901" s="1431"/>
      <c r="D901" s="1904" t="s">
        <v>398</v>
      </c>
      <c r="E901" s="1904"/>
      <c r="F901" s="1904"/>
      <c r="G901" s="1904"/>
      <c r="H901" s="1904"/>
      <c r="I901" s="1904"/>
      <c r="J901" s="1904"/>
      <c r="K901" s="1904"/>
      <c r="L901" s="1904"/>
      <c r="M901" s="1904"/>
      <c r="N901" s="1901">
        <v>0</v>
      </c>
      <c r="O901" s="1901"/>
      <c r="P901" s="1901"/>
      <c r="Q901" s="1901"/>
      <c r="R901" s="1793">
        <v>0</v>
      </c>
      <c r="S901" s="1793"/>
      <c r="T901" s="1793"/>
      <c r="U901" s="1793"/>
      <c r="V901" s="1793">
        <v>0</v>
      </c>
      <c r="W901" s="1793"/>
      <c r="X901" s="1793"/>
      <c r="Y901" s="1793"/>
      <c r="Z901" s="1793">
        <v>0</v>
      </c>
      <c r="AA901" s="1793"/>
      <c r="AB901" s="1793"/>
      <c r="AC901" s="1793"/>
      <c r="AD901" s="1902">
        <f t="shared" ref="AD901:AD902" si="182">SUM(N901:AC901)</f>
        <v>0</v>
      </c>
      <c r="AE901" s="1902"/>
      <c r="AF901" s="1902"/>
      <c r="AG901" s="1902"/>
      <c r="AM901" s="1461">
        <f t="shared" si="179"/>
        <v>0</v>
      </c>
      <c r="AO901" s="1462">
        <v>0</v>
      </c>
    </row>
    <row r="902" spans="1:41" s="1430" customFormat="1" ht="19.899999999999999" customHeight="1">
      <c r="A902" s="1431"/>
      <c r="D902" s="1904" t="s">
        <v>468</v>
      </c>
      <c r="E902" s="1904"/>
      <c r="F902" s="1904"/>
      <c r="G902" s="1904"/>
      <c r="H902" s="1904"/>
      <c r="I902" s="1904"/>
      <c r="J902" s="1904"/>
      <c r="K902" s="1904"/>
      <c r="L902" s="1904"/>
      <c r="M902" s="1904"/>
      <c r="N902" s="1901">
        <v>0</v>
      </c>
      <c r="O902" s="1901"/>
      <c r="P902" s="1901"/>
      <c r="Q902" s="1901"/>
      <c r="R902" s="1793">
        <v>0</v>
      </c>
      <c r="S902" s="1793"/>
      <c r="T902" s="1793"/>
      <c r="U902" s="1793"/>
      <c r="V902" s="1793">
        <v>0</v>
      </c>
      <c r="W902" s="1793"/>
      <c r="X902" s="1793"/>
      <c r="Y902" s="1793"/>
      <c r="Z902" s="1793">
        <v>0</v>
      </c>
      <c r="AA902" s="1793"/>
      <c r="AB902" s="1793"/>
      <c r="AC902" s="1793"/>
      <c r="AD902" s="1902">
        <f t="shared" si="182"/>
        <v>0</v>
      </c>
      <c r="AE902" s="1902"/>
      <c r="AF902" s="1902"/>
      <c r="AG902" s="1902"/>
      <c r="AM902" s="1461">
        <f t="shared" si="179"/>
        <v>0</v>
      </c>
      <c r="AO902" s="1462">
        <v>0</v>
      </c>
    </row>
    <row r="903" spans="1:41" s="1430" customFormat="1" ht="19.899999999999999" customHeight="1">
      <c r="A903" s="1431"/>
      <c r="D903" s="1904" t="s">
        <v>402</v>
      </c>
      <c r="E903" s="1904"/>
      <c r="F903" s="1904"/>
      <c r="G903" s="1904"/>
      <c r="H903" s="1904"/>
      <c r="I903" s="1904"/>
      <c r="J903" s="1904"/>
      <c r="K903" s="1904"/>
      <c r="L903" s="1904"/>
      <c r="M903" s="1904"/>
      <c r="N903" s="1901">
        <v>279707</v>
      </c>
      <c r="O903" s="1901"/>
      <c r="P903" s="1901"/>
      <c r="Q903" s="1901"/>
      <c r="R903" s="1793">
        <v>0</v>
      </c>
      <c r="S903" s="1793"/>
      <c r="T903" s="1793"/>
      <c r="U903" s="1793"/>
      <c r="V903" s="1793">
        <v>-114636</v>
      </c>
      <c r="W903" s="1793"/>
      <c r="X903" s="1793"/>
      <c r="Y903" s="1793"/>
      <c r="Z903" s="1793">
        <v>253731</v>
      </c>
      <c r="AA903" s="1793"/>
      <c r="AB903" s="1793"/>
      <c r="AC903" s="1793"/>
      <c r="AD903" s="1902">
        <f>SUM(N903:AC903)</f>
        <v>418802</v>
      </c>
      <c r="AE903" s="1902"/>
      <c r="AF903" s="1902"/>
      <c r="AG903" s="1902"/>
      <c r="AM903" s="1461">
        <f t="shared" si="179"/>
        <v>0</v>
      </c>
      <c r="AO903" s="1462">
        <v>0</v>
      </c>
    </row>
    <row r="904" spans="1:41" s="1430" customFormat="1" ht="19.899999999999999" customHeight="1">
      <c r="A904" s="1431"/>
      <c r="D904" s="1904" t="s">
        <v>469</v>
      </c>
      <c r="E904" s="1904"/>
      <c r="F904" s="1904"/>
      <c r="G904" s="1904"/>
      <c r="H904" s="1904"/>
      <c r="I904" s="1904"/>
      <c r="J904" s="1904"/>
      <c r="K904" s="1904"/>
      <c r="L904" s="1904"/>
      <c r="M904" s="1904"/>
      <c r="N904" s="1901">
        <v>0</v>
      </c>
      <c r="O904" s="1901"/>
      <c r="P904" s="1901"/>
      <c r="Q904" s="1901"/>
      <c r="R904" s="1793">
        <v>0</v>
      </c>
      <c r="S904" s="1793"/>
      <c r="T904" s="1793"/>
      <c r="U904" s="1793"/>
      <c r="V904" s="1793">
        <v>0</v>
      </c>
      <c r="W904" s="1793"/>
      <c r="X904" s="1793"/>
      <c r="Y904" s="1793"/>
      <c r="Z904" s="1793"/>
      <c r="AA904" s="1793"/>
      <c r="AB904" s="1793"/>
      <c r="AC904" s="1793"/>
      <c r="AD904" s="1902">
        <f t="shared" ref="AD904" si="183">SUM(N904:AC904)</f>
        <v>0</v>
      </c>
      <c r="AE904" s="1902"/>
      <c r="AF904" s="1902"/>
      <c r="AG904" s="1902"/>
      <c r="AM904" s="1461">
        <f t="shared" si="179"/>
        <v>0</v>
      </c>
      <c r="AO904" s="1462">
        <f>AD883-BS!$D$113</f>
        <v>0</v>
      </c>
    </row>
    <row r="905" spans="1:41" s="1430" customFormat="1" ht="19.899999999999999" customHeight="1" thickBot="1">
      <c r="A905" s="1431"/>
      <c r="D905" s="2090" t="s">
        <v>470</v>
      </c>
      <c r="E905" s="2090"/>
      <c r="F905" s="2090"/>
      <c r="G905" s="2090"/>
      <c r="H905" s="2090"/>
      <c r="I905" s="2090"/>
      <c r="J905" s="2090"/>
      <c r="K905" s="2090"/>
      <c r="L905" s="2090"/>
      <c r="M905" s="2090"/>
      <c r="N905" s="2087">
        <v>273436</v>
      </c>
      <c r="O905" s="2087"/>
      <c r="P905" s="2087"/>
      <c r="Q905" s="2087"/>
      <c r="R905" s="2088">
        <v>159575</v>
      </c>
      <c r="S905" s="2088"/>
      <c r="T905" s="2088"/>
      <c r="U905" s="2088"/>
      <c r="V905" s="2088">
        <v>0</v>
      </c>
      <c r="W905" s="2088"/>
      <c r="X905" s="2088"/>
      <c r="Y905" s="2088"/>
      <c r="Z905" s="2088">
        <v>-273436</v>
      </c>
      <c r="AA905" s="2088"/>
      <c r="AB905" s="2088"/>
      <c r="AC905" s="2088"/>
      <c r="AD905" s="2089">
        <f>SUM(N905:AC905)</f>
        <v>159575</v>
      </c>
      <c r="AE905" s="2089"/>
      <c r="AF905" s="2089"/>
      <c r="AG905" s="2089"/>
      <c r="AM905" s="1461">
        <f t="shared" si="179"/>
        <v>0</v>
      </c>
      <c r="AO905" s="1462">
        <f>AD884-BS!$D$114</f>
        <v>0</v>
      </c>
    </row>
    <row r="906" spans="1:41" s="1430" customFormat="1" ht="19.899999999999999" customHeight="1" thickBot="1">
      <c r="A906" s="1431"/>
      <c r="D906" s="2079" t="s">
        <v>2922</v>
      </c>
      <c r="E906" s="2079"/>
      <c r="F906" s="2079"/>
      <c r="G906" s="2079"/>
      <c r="H906" s="2079"/>
      <c r="I906" s="2079"/>
      <c r="J906" s="2079"/>
      <c r="K906" s="2079"/>
      <c r="L906" s="2079"/>
      <c r="M906" s="2079"/>
      <c r="N906" s="2083">
        <f>SUM(N891:Q905)</f>
        <v>3147399</v>
      </c>
      <c r="O906" s="2083"/>
      <c r="P906" s="2083"/>
      <c r="Q906" s="2083"/>
      <c r="R906" s="2083">
        <f>SUM(R891:U905)</f>
        <v>159575</v>
      </c>
      <c r="S906" s="2083"/>
      <c r="T906" s="2083"/>
      <c r="U906" s="2083"/>
      <c r="V906" s="2083">
        <f>SUM(V891:Y905)</f>
        <v>-114636</v>
      </c>
      <c r="W906" s="2083"/>
      <c r="X906" s="2083"/>
      <c r="Y906" s="2083"/>
      <c r="Z906" s="2083">
        <f>SUM(Z891:AC905)</f>
        <v>0</v>
      </c>
      <c r="AA906" s="2083"/>
      <c r="AB906" s="2083"/>
      <c r="AC906" s="2083"/>
      <c r="AD906" s="2084">
        <f>SUM(N906:AC906)</f>
        <v>3192338</v>
      </c>
      <c r="AE906" s="2085"/>
      <c r="AF906" s="2085"/>
      <c r="AG906" s="2086"/>
      <c r="AM906" s="1461">
        <f t="shared" si="179"/>
        <v>0</v>
      </c>
      <c r="AO906" s="1462">
        <f>AD885-BS!$D$115</f>
        <v>0</v>
      </c>
    </row>
    <row r="907" spans="1:41" s="1430" customFormat="1" ht="14.25" customHeight="1">
      <c r="A907" s="1431"/>
    </row>
    <row r="908" spans="1:41" s="1430" customFormat="1" ht="14.25" customHeight="1">
      <c r="A908" s="1431"/>
      <c r="D908" s="2314" t="s">
        <v>3005</v>
      </c>
      <c r="E908" s="2314"/>
      <c r="F908" s="2314"/>
      <c r="G908" s="2314"/>
      <c r="H908" s="2314"/>
      <c r="I908" s="2314"/>
      <c r="J908" s="2314"/>
      <c r="K908" s="2314"/>
      <c r="L908" s="2314"/>
      <c r="M908" s="2314"/>
      <c r="N908" s="2314"/>
      <c r="O908" s="2314"/>
      <c r="P908" s="2314"/>
      <c r="Q908" s="2314"/>
      <c r="R908" s="2314"/>
      <c r="S908" s="2314"/>
      <c r="T908" s="2314"/>
      <c r="U908" s="2314"/>
      <c r="V908" s="2314"/>
      <c r="W908" s="2314"/>
      <c r="X908" s="2314"/>
      <c r="Y908" s="2314"/>
      <c r="Z908" s="2314"/>
      <c r="AA908" s="2314"/>
      <c r="AB908" s="2314"/>
      <c r="AC908" s="2314"/>
      <c r="AD908" s="2314"/>
      <c r="AE908" s="2314"/>
      <c r="AF908" s="2314"/>
      <c r="AG908" s="2314"/>
    </row>
    <row r="909" spans="1:41" s="1430" customFormat="1" ht="14.25" customHeight="1">
      <c r="A909" s="1513"/>
      <c r="D909" s="1523" t="s">
        <v>3004</v>
      </c>
      <c r="E909" s="1523"/>
      <c r="F909" s="1523"/>
      <c r="G909" s="1523"/>
      <c r="H909" s="1523"/>
      <c r="I909" s="1523"/>
      <c r="J909" s="1523"/>
      <c r="K909" s="1523"/>
      <c r="L909" s="1523"/>
      <c r="M909" s="1523"/>
      <c r="N909" s="1523"/>
      <c r="O909" s="1523"/>
      <c r="P909" s="1523"/>
      <c r="Q909" s="1523"/>
      <c r="R909" s="1523"/>
      <c r="S909" s="1523"/>
      <c r="T909" s="1523"/>
      <c r="U909" s="1523"/>
      <c r="V909" s="1523"/>
      <c r="W909" s="1523"/>
      <c r="X909" s="1523"/>
      <c r="Y909" s="1523"/>
      <c r="Z909" s="1523"/>
      <c r="AA909" s="1523"/>
      <c r="AB909" s="1523"/>
      <c r="AC909" s="1523"/>
      <c r="AD909" s="1523"/>
      <c r="AE909" s="1523"/>
      <c r="AF909" s="1523"/>
      <c r="AG909" s="1523"/>
    </row>
    <row r="910" spans="1:41" s="1430" customFormat="1" ht="14.25" customHeight="1">
      <c r="A910" s="1431"/>
      <c r="D910" s="2315" t="s">
        <v>3006</v>
      </c>
      <c r="E910" s="2315"/>
      <c r="F910" s="2315"/>
      <c r="G910" s="2315"/>
      <c r="H910" s="2315"/>
      <c r="I910" s="2315"/>
      <c r="J910" s="2315"/>
      <c r="K910" s="2315"/>
      <c r="L910" s="2315"/>
      <c r="M910" s="2315"/>
      <c r="N910" s="2315"/>
      <c r="O910" s="2315"/>
      <c r="P910" s="2315"/>
      <c r="Q910" s="2315"/>
      <c r="R910" s="2315"/>
      <c r="S910" s="2315"/>
      <c r="T910" s="2315"/>
      <c r="U910" s="2315"/>
      <c r="V910" s="2315"/>
      <c r="W910" s="2315"/>
      <c r="X910" s="2315"/>
      <c r="Y910" s="2315"/>
      <c r="Z910" s="2315"/>
      <c r="AA910" s="2315"/>
      <c r="AB910" s="2315"/>
      <c r="AC910" s="2315"/>
      <c r="AD910" s="2315"/>
      <c r="AE910" s="2315"/>
      <c r="AF910" s="2315"/>
      <c r="AG910" s="2315"/>
    </row>
    <row r="911" spans="1:41" s="1430" customFormat="1" ht="14.25" customHeight="1">
      <c r="A911" s="1431"/>
      <c r="D911" s="2315"/>
      <c r="E911" s="2315"/>
      <c r="F911" s="2315"/>
      <c r="G911" s="2315"/>
      <c r="H911" s="2315"/>
      <c r="I911" s="2315"/>
      <c r="J911" s="2315"/>
      <c r="K911" s="2315"/>
      <c r="L911" s="2315"/>
      <c r="M911" s="2315"/>
      <c r="N911" s="2315"/>
      <c r="O911" s="2315"/>
      <c r="P911" s="2315"/>
      <c r="Q911" s="2315"/>
      <c r="R911" s="2315"/>
      <c r="S911" s="2315"/>
      <c r="T911" s="2315"/>
      <c r="U911" s="2315"/>
      <c r="V911" s="2315"/>
      <c r="W911" s="2315"/>
      <c r="X911" s="2315"/>
      <c r="Y911" s="2315"/>
      <c r="Z911" s="2315"/>
      <c r="AA911" s="2315"/>
      <c r="AB911" s="2315"/>
      <c r="AC911" s="2315"/>
      <c r="AD911" s="2315"/>
      <c r="AE911" s="2315"/>
      <c r="AF911" s="2315"/>
      <c r="AG911" s="2315"/>
    </row>
    <row r="912" spans="1:41" s="1430" customFormat="1" ht="14.25" customHeight="1">
      <c r="A912" s="1431"/>
    </row>
    <row r="913" spans="1:33" s="1430" customFormat="1" ht="14.25" customHeight="1">
      <c r="A913" s="1431"/>
      <c r="D913" s="582" t="s">
        <v>2945</v>
      </c>
    </row>
    <row r="914" spans="1:33" s="1430" customFormat="1" ht="14.25" customHeight="1">
      <c r="A914" s="1431"/>
    </row>
    <row r="915" spans="1:33" s="1430" customFormat="1" ht="14.25" customHeight="1">
      <c r="A915" s="1431"/>
      <c r="D915" s="2005" t="s">
        <v>2763</v>
      </c>
      <c r="E915" s="2005"/>
      <c r="F915" s="2005"/>
      <c r="G915" s="2005"/>
      <c r="H915" s="2005"/>
      <c r="I915" s="2005"/>
      <c r="J915" s="2005"/>
      <c r="K915" s="2005"/>
      <c r="L915" s="2005"/>
      <c r="M915" s="2005"/>
      <c r="N915" s="2005"/>
      <c r="O915" s="2005"/>
      <c r="P915" s="2005"/>
      <c r="Q915" s="2005"/>
      <c r="R915" s="2005"/>
      <c r="S915" s="2005"/>
      <c r="T915" s="2005"/>
      <c r="U915" s="2005"/>
      <c r="V915" s="2005"/>
      <c r="W915" s="2005"/>
      <c r="X915" s="2005"/>
      <c r="Y915" s="2005"/>
      <c r="Z915" s="2005"/>
      <c r="AA915" s="2005"/>
      <c r="AB915" s="2005"/>
      <c r="AC915" s="2005"/>
      <c r="AD915" s="2005"/>
      <c r="AE915" s="2005"/>
      <c r="AF915" s="2005"/>
      <c r="AG915" s="2005"/>
    </row>
    <row r="916" spans="1:33" s="1430" customFormat="1" ht="14.25" customHeight="1">
      <c r="A916" s="1431"/>
    </row>
    <row r="917" spans="1:33" s="1430" customFormat="1" ht="14.25" customHeight="1">
      <c r="A917" s="1431"/>
      <c r="D917" s="582" t="s">
        <v>2946</v>
      </c>
    </row>
    <row r="918" spans="1:33" s="1430" customFormat="1" ht="14.25" customHeight="1">
      <c r="A918" s="1431"/>
    </row>
    <row r="919" spans="1:33" s="1430" customFormat="1" ht="14.25" customHeight="1">
      <c r="A919" s="1431"/>
      <c r="D919" s="1937" t="s">
        <v>3007</v>
      </c>
      <c r="E919" s="1937"/>
      <c r="F919" s="1937"/>
      <c r="G919" s="1937"/>
      <c r="H919" s="1937"/>
      <c r="I919" s="1937"/>
      <c r="J919" s="1937"/>
      <c r="K919" s="1937"/>
      <c r="L919" s="1937"/>
      <c r="M919" s="1937"/>
      <c r="N919" s="1937"/>
      <c r="O919" s="1937"/>
      <c r="P919" s="1937"/>
      <c r="Q919" s="1937"/>
      <c r="R919" s="1937"/>
      <c r="S919" s="1937"/>
      <c r="T919" s="1937"/>
      <c r="U919" s="1937"/>
      <c r="V919" s="1937"/>
      <c r="W919" s="1937"/>
      <c r="X919" s="1937"/>
      <c r="Y919" s="1937"/>
      <c r="Z919" s="1937"/>
      <c r="AA919" s="1937"/>
      <c r="AB919" s="1937"/>
      <c r="AC919" s="1937"/>
      <c r="AD919" s="1937"/>
      <c r="AE919" s="1937"/>
      <c r="AF919" s="1937"/>
      <c r="AG919" s="1937"/>
    </row>
    <row r="920" spans="1:33" s="1430" customFormat="1" ht="14.25" customHeight="1">
      <c r="A920" s="1431"/>
      <c r="D920" s="1937"/>
      <c r="E920" s="1937"/>
      <c r="F920" s="1937"/>
      <c r="G920" s="1937"/>
      <c r="H920" s="1937"/>
      <c r="I920" s="1937"/>
      <c r="J920" s="1937"/>
      <c r="K920" s="1937"/>
      <c r="L920" s="1937"/>
      <c r="M920" s="1937"/>
      <c r="N920" s="1937"/>
      <c r="O920" s="1937"/>
      <c r="P920" s="1937"/>
      <c r="Q920" s="1937"/>
      <c r="R920" s="1937"/>
      <c r="S920" s="1937"/>
      <c r="T920" s="1937"/>
      <c r="U920" s="1937"/>
      <c r="V920" s="1937"/>
      <c r="W920" s="1937"/>
      <c r="X920" s="1937"/>
      <c r="Y920" s="1937"/>
      <c r="Z920" s="1937"/>
      <c r="AA920" s="1937"/>
      <c r="AB920" s="1937"/>
      <c r="AC920" s="1937"/>
      <c r="AD920" s="1937"/>
      <c r="AE920" s="1937"/>
      <c r="AF920" s="1937"/>
      <c r="AG920" s="1937"/>
    </row>
    <row r="922" spans="1:33" ht="14.25" customHeight="1">
      <c r="D922" s="1428"/>
      <c r="E922" s="1428"/>
      <c r="F922" s="1428"/>
      <c r="G922" s="1428"/>
      <c r="H922" s="1428"/>
      <c r="I922" s="1428"/>
      <c r="J922" s="1428"/>
      <c r="K922" s="1428"/>
      <c r="L922" s="1428"/>
      <c r="M922" s="1428"/>
    </row>
  </sheetData>
  <mergeCells count="2260">
    <mergeCell ref="D803:M803"/>
    <mergeCell ref="N803:W803"/>
    <mergeCell ref="X803:AG803"/>
    <mergeCell ref="D796:AG796"/>
    <mergeCell ref="D729:AG729"/>
    <mergeCell ref="N577:W577"/>
    <mergeCell ref="X577:AG577"/>
    <mergeCell ref="N578:W578"/>
    <mergeCell ref="X578:AG578"/>
    <mergeCell ref="N579:W579"/>
    <mergeCell ref="X579:AG579"/>
    <mergeCell ref="N581:W581"/>
    <mergeCell ref="X581:AG581"/>
    <mergeCell ref="N582:W582"/>
    <mergeCell ref="X582:AG582"/>
    <mergeCell ref="N583:W583"/>
    <mergeCell ref="X583:AG583"/>
    <mergeCell ref="N584:W584"/>
    <mergeCell ref="X584:AG584"/>
    <mergeCell ref="N585:W585"/>
    <mergeCell ref="X585:AG585"/>
    <mergeCell ref="N586:W586"/>
    <mergeCell ref="X586:AG586"/>
    <mergeCell ref="D798:M799"/>
    <mergeCell ref="N798:W799"/>
    <mergeCell ref="X798:AG799"/>
    <mergeCell ref="D802:M802"/>
    <mergeCell ref="N802:W802"/>
    <mergeCell ref="X802:AG802"/>
    <mergeCell ref="D801:M801"/>
    <mergeCell ref="N801:W801"/>
    <mergeCell ref="X801:AG801"/>
    <mergeCell ref="D544:AG544"/>
    <mergeCell ref="D575:M575"/>
    <mergeCell ref="N575:W575"/>
    <mergeCell ref="X575:AG575"/>
    <mergeCell ref="D576:M576"/>
    <mergeCell ref="N576:W576"/>
    <mergeCell ref="X576:AG576"/>
    <mergeCell ref="D580:M580"/>
    <mergeCell ref="N580:W580"/>
    <mergeCell ref="X580:AG580"/>
    <mergeCell ref="X792:AG792"/>
    <mergeCell ref="N792:W792"/>
    <mergeCell ref="N791:W791"/>
    <mergeCell ref="D792:M792"/>
    <mergeCell ref="D791:M791"/>
    <mergeCell ref="D778:M778"/>
    <mergeCell ref="N778:W778"/>
    <mergeCell ref="X778:AG778"/>
    <mergeCell ref="X779:AG779"/>
    <mergeCell ref="N640:Q640"/>
    <mergeCell ref="R640:U640"/>
    <mergeCell ref="V640:Y640"/>
    <mergeCell ref="V642:Y642"/>
    <mergeCell ref="Z642:AC642"/>
    <mergeCell ref="N644:Q644"/>
    <mergeCell ref="D790:M790"/>
    <mergeCell ref="N790:W790"/>
    <mergeCell ref="X791:AG791"/>
    <mergeCell ref="N789:W789"/>
    <mergeCell ref="D764:M765"/>
    <mergeCell ref="N764:W765"/>
    <mergeCell ref="X764:AG765"/>
    <mergeCell ref="D480:L480"/>
    <mergeCell ref="M480:S480"/>
    <mergeCell ref="T480:Z480"/>
    <mergeCell ref="AA480:AG480"/>
    <mergeCell ref="D471:L471"/>
    <mergeCell ref="M471:S471"/>
    <mergeCell ref="T471:Z471"/>
    <mergeCell ref="D472:L472"/>
    <mergeCell ref="M472:S472"/>
    <mergeCell ref="T470:Z470"/>
    <mergeCell ref="AA470:AG470"/>
    <mergeCell ref="D800:M800"/>
    <mergeCell ref="N800:W800"/>
    <mergeCell ref="X800:AG800"/>
    <mergeCell ref="T472:Z472"/>
    <mergeCell ref="AA472:AG472"/>
    <mergeCell ref="D473:AG473"/>
    <mergeCell ref="D780:M780"/>
    <mergeCell ref="N780:W780"/>
    <mergeCell ref="X780:AG780"/>
    <mergeCell ref="X781:AG781"/>
    <mergeCell ref="N781:W781"/>
    <mergeCell ref="D781:M781"/>
    <mergeCell ref="D782:M782"/>
    <mergeCell ref="D783:M783"/>
    <mergeCell ref="D784:M784"/>
    <mergeCell ref="X785:AG785"/>
    <mergeCell ref="N785:W785"/>
    <mergeCell ref="X784:AG784"/>
    <mergeCell ref="N784:W784"/>
    <mergeCell ref="X783:AG783"/>
    <mergeCell ref="N783:W783"/>
    <mergeCell ref="N425:R425"/>
    <mergeCell ref="S425:W425"/>
    <mergeCell ref="X425:AB425"/>
    <mergeCell ref="D474:L474"/>
    <mergeCell ref="M474:S474"/>
    <mergeCell ref="T474:Z474"/>
    <mergeCell ref="AA474:AG474"/>
    <mergeCell ref="AC431:AG431"/>
    <mergeCell ref="D432:H432"/>
    <mergeCell ref="I432:M432"/>
    <mergeCell ref="N432:R432"/>
    <mergeCell ref="S432:W432"/>
    <mergeCell ref="X432:AB432"/>
    <mergeCell ref="AC432:AG432"/>
    <mergeCell ref="S431:W431"/>
    <mergeCell ref="X431:AB431"/>
    <mergeCell ref="D436:H436"/>
    <mergeCell ref="I436:M436"/>
    <mergeCell ref="N436:R436"/>
    <mergeCell ref="S436:W436"/>
    <mergeCell ref="M470:S470"/>
    <mergeCell ref="D470:L470"/>
    <mergeCell ref="X437:AB437"/>
    <mergeCell ref="I430:AG430"/>
    <mergeCell ref="I431:M431"/>
    <mergeCell ref="N431:R431"/>
    <mergeCell ref="X436:AB436"/>
    <mergeCell ref="AC436:AG436"/>
    <mergeCell ref="D437:H437"/>
    <mergeCell ref="I437:M437"/>
    <mergeCell ref="N437:R437"/>
    <mergeCell ref="S437:W437"/>
    <mergeCell ref="T412:Z412"/>
    <mergeCell ref="D421:H422"/>
    <mergeCell ref="D475:L475"/>
    <mergeCell ref="M475:S475"/>
    <mergeCell ref="T475:Z475"/>
    <mergeCell ref="AC437:AG437"/>
    <mergeCell ref="D439:AG439"/>
    <mergeCell ref="D455:L455"/>
    <mergeCell ref="D456:L456"/>
    <mergeCell ref="D457:L457"/>
    <mergeCell ref="D458:L458"/>
    <mergeCell ref="D459:L459"/>
    <mergeCell ref="D460:L460"/>
    <mergeCell ref="D461:L461"/>
    <mergeCell ref="AA451:AG451"/>
    <mergeCell ref="AA450:AG450"/>
    <mergeCell ref="AA449:AG449"/>
    <mergeCell ref="AA448:AG448"/>
    <mergeCell ref="AA447:AG447"/>
    <mergeCell ref="D453:AG453"/>
    <mergeCell ref="D454:L454"/>
    <mergeCell ref="M454:S454"/>
    <mergeCell ref="T454:Z454"/>
    <mergeCell ref="AA454:AG454"/>
    <mergeCell ref="M458:S458"/>
    <mergeCell ref="T458:Z458"/>
    <mergeCell ref="AA458:AG458"/>
    <mergeCell ref="M459:S459"/>
    <mergeCell ref="T459:Z459"/>
    <mergeCell ref="AA459:AG459"/>
    <mergeCell ref="M460:S460"/>
    <mergeCell ref="T460:Z460"/>
    <mergeCell ref="T479:Z479"/>
    <mergeCell ref="AA479:AG479"/>
    <mergeCell ref="D415:AG415"/>
    <mergeCell ref="D433:H433"/>
    <mergeCell ref="I433:M433"/>
    <mergeCell ref="N433:R433"/>
    <mergeCell ref="S433:W433"/>
    <mergeCell ref="X433:AB433"/>
    <mergeCell ref="AC433:AG433"/>
    <mergeCell ref="D434:H434"/>
    <mergeCell ref="I434:M434"/>
    <mergeCell ref="N434:R434"/>
    <mergeCell ref="S434:W434"/>
    <mergeCell ref="X434:AB434"/>
    <mergeCell ref="AC434:AG434"/>
    <mergeCell ref="D435:H435"/>
    <mergeCell ref="I435:M435"/>
    <mergeCell ref="N435:R435"/>
    <mergeCell ref="S435:W435"/>
    <mergeCell ref="X435:AB435"/>
    <mergeCell ref="AA460:AG460"/>
    <mergeCell ref="M455:S455"/>
    <mergeCell ref="T455:Z455"/>
    <mergeCell ref="AA455:AG455"/>
    <mergeCell ref="M456:S456"/>
    <mergeCell ref="AC435:AG435"/>
    <mergeCell ref="D424:H424"/>
    <mergeCell ref="I424:M424"/>
    <mergeCell ref="N424:R424"/>
    <mergeCell ref="I421:AG421"/>
    <mergeCell ref="I422:M422"/>
    <mergeCell ref="N422:R422"/>
    <mergeCell ref="D398:H398"/>
    <mergeCell ref="I398:M398"/>
    <mergeCell ref="N398:R398"/>
    <mergeCell ref="S398:W398"/>
    <mergeCell ref="X398:AB398"/>
    <mergeCell ref="AC398:AG398"/>
    <mergeCell ref="D399:H399"/>
    <mergeCell ref="D402:H402"/>
    <mergeCell ref="I402:M402"/>
    <mergeCell ref="N402:R402"/>
    <mergeCell ref="S402:W402"/>
    <mergeCell ref="AC425:AG425"/>
    <mergeCell ref="D419:AG419"/>
    <mergeCell ref="X400:AB400"/>
    <mergeCell ref="AC400:AG400"/>
    <mergeCell ref="D401:H401"/>
    <mergeCell ref="I401:M401"/>
    <mergeCell ref="N401:R401"/>
    <mergeCell ref="S401:W401"/>
    <mergeCell ref="X401:AB401"/>
    <mergeCell ref="AC401:AG401"/>
    <mergeCell ref="X402:AB402"/>
    <mergeCell ref="AC402:AG402"/>
    <mergeCell ref="T413:Z413"/>
    <mergeCell ref="AA411:AG411"/>
    <mergeCell ref="AA413:AG413"/>
    <mergeCell ref="AA412:AG412"/>
    <mergeCell ref="D411:S411"/>
    <mergeCell ref="D408:AG409"/>
    <mergeCell ref="T411:Z411"/>
    <mergeCell ref="D412:S412"/>
    <mergeCell ref="D413:S413"/>
    <mergeCell ref="D394:H395"/>
    <mergeCell ref="I394:AG394"/>
    <mergeCell ref="I395:M395"/>
    <mergeCell ref="N395:R395"/>
    <mergeCell ref="S395:W395"/>
    <mergeCell ref="X395:AB395"/>
    <mergeCell ref="AC395:AG395"/>
    <mergeCell ref="D396:H396"/>
    <mergeCell ref="I396:M396"/>
    <mergeCell ref="N396:R396"/>
    <mergeCell ref="S396:W396"/>
    <mergeCell ref="X396:AB396"/>
    <mergeCell ref="AC396:AG396"/>
    <mergeCell ref="D397:H397"/>
    <mergeCell ref="I397:M397"/>
    <mergeCell ref="N397:R397"/>
    <mergeCell ref="S397:W397"/>
    <mergeCell ref="X397:AB397"/>
    <mergeCell ref="AC397:AG397"/>
    <mergeCell ref="N400:R400"/>
    <mergeCell ref="S400:W400"/>
    <mergeCell ref="D405:AG406"/>
    <mergeCell ref="D824:O824"/>
    <mergeCell ref="P824:X824"/>
    <mergeCell ref="Y824:AG824"/>
    <mergeCell ref="D826:AG826"/>
    <mergeCell ref="D817:AG817"/>
    <mergeCell ref="D818:O818"/>
    <mergeCell ref="P818:X818"/>
    <mergeCell ref="Y818:AG818"/>
    <mergeCell ref="D819:O819"/>
    <mergeCell ref="P819:X819"/>
    <mergeCell ref="Y819:AG819"/>
    <mergeCell ref="D820:O820"/>
    <mergeCell ref="P820:X820"/>
    <mergeCell ref="Y820:AG820"/>
    <mergeCell ref="D821:O821"/>
    <mergeCell ref="P821:X821"/>
    <mergeCell ref="Y821:AG821"/>
    <mergeCell ref="D822:O822"/>
    <mergeCell ref="P822:X822"/>
    <mergeCell ref="Y822:AG822"/>
    <mergeCell ref="N807:W807"/>
    <mergeCell ref="X807:AG807"/>
    <mergeCell ref="D403:H403"/>
    <mergeCell ref="I403:M403"/>
    <mergeCell ref="N403:R403"/>
    <mergeCell ref="S403:W403"/>
    <mergeCell ref="X403:AB403"/>
    <mergeCell ref="AC403:AG403"/>
    <mergeCell ref="D430:H431"/>
    <mergeCell ref="J830:M830"/>
    <mergeCell ref="D831:I831"/>
    <mergeCell ref="J831:M831"/>
    <mergeCell ref="J834:M834"/>
    <mergeCell ref="D823:O823"/>
    <mergeCell ref="P823:X823"/>
    <mergeCell ref="Y823:AG823"/>
    <mergeCell ref="N829:Q829"/>
    <mergeCell ref="R829:U829"/>
    <mergeCell ref="AD829:AG829"/>
    <mergeCell ref="D830:I830"/>
    <mergeCell ref="D908:AG908"/>
    <mergeCell ref="D910:AG911"/>
    <mergeCell ref="D919:AG920"/>
    <mergeCell ref="D865:AG865"/>
    <mergeCell ref="D846:AG846"/>
    <mergeCell ref="D850:AG850"/>
    <mergeCell ref="D852:L853"/>
    <mergeCell ref="M852:Q853"/>
    <mergeCell ref="R852:AG852"/>
    <mergeCell ref="M856:Q856"/>
    <mergeCell ref="D857:L857"/>
    <mergeCell ref="M857:Q857"/>
    <mergeCell ref="M858:Q858"/>
    <mergeCell ref="M862:Q862"/>
    <mergeCell ref="M863:Q863"/>
    <mergeCell ref="D867:AG867"/>
    <mergeCell ref="D869:M870"/>
    <mergeCell ref="N869:AG869"/>
    <mergeCell ref="D889:M890"/>
    <mergeCell ref="N889:AG889"/>
    <mergeCell ref="D915:AG915"/>
    <mergeCell ref="N890:Q890"/>
    <mergeCell ref="R890:U890"/>
    <mergeCell ref="V890:Y890"/>
    <mergeCell ref="Z890:AC890"/>
    <mergeCell ref="AD890:AG890"/>
    <mergeCell ref="N870:Q870"/>
    <mergeCell ref="R870:U870"/>
    <mergeCell ref="V870:Y870"/>
    <mergeCell ref="Z870:AC870"/>
    <mergeCell ref="AD870:AG870"/>
    <mergeCell ref="D871:M871"/>
    <mergeCell ref="D872:M872"/>
    <mergeCell ref="D873:M873"/>
    <mergeCell ref="R853:Y853"/>
    <mergeCell ref="Z853:AG853"/>
    <mergeCell ref="D854:L854"/>
    <mergeCell ref="N832:Q832"/>
    <mergeCell ref="N841:Q841"/>
    <mergeCell ref="D832:I832"/>
    <mergeCell ref="D856:L856"/>
    <mergeCell ref="R857:Y857"/>
    <mergeCell ref="Z857:AG857"/>
    <mergeCell ref="D861:L861"/>
    <mergeCell ref="R858:Y858"/>
    <mergeCell ref="Z858:AG858"/>
    <mergeCell ref="D862:L862"/>
    <mergeCell ref="Z871:AC871"/>
    <mergeCell ref="M855:Q855"/>
    <mergeCell ref="D860:L860"/>
    <mergeCell ref="J832:M832"/>
    <mergeCell ref="Z841:AC841"/>
    <mergeCell ref="AD841:AG841"/>
    <mergeCell ref="D812:M812"/>
    <mergeCell ref="X809:AG809"/>
    <mergeCell ref="D808:M808"/>
    <mergeCell ref="D809:M809"/>
    <mergeCell ref="D810:M810"/>
    <mergeCell ref="D825:AG825"/>
    <mergeCell ref="D827:I829"/>
    <mergeCell ref="J827:U828"/>
    <mergeCell ref="D293:R293"/>
    <mergeCell ref="S293:AG293"/>
    <mergeCell ref="D295:R295"/>
    <mergeCell ref="S295:AG295"/>
    <mergeCell ref="N771:W771"/>
    <mergeCell ref="X771:AG771"/>
    <mergeCell ref="D772:M772"/>
    <mergeCell ref="N772:W772"/>
    <mergeCell ref="X772:AG772"/>
    <mergeCell ref="D298:AG298"/>
    <mergeCell ref="D369:I369"/>
    <mergeCell ref="D370:I370"/>
    <mergeCell ref="J369:N369"/>
    <mergeCell ref="J370:N370"/>
    <mergeCell ref="D368:I368"/>
    <mergeCell ref="O368:R368"/>
    <mergeCell ref="O369:R369"/>
    <mergeCell ref="O370:R370"/>
    <mergeCell ref="J368:N368"/>
    <mergeCell ref="V827:AG828"/>
    <mergeCell ref="X399:AB399"/>
    <mergeCell ref="AC399:AG399"/>
    <mergeCell ref="D400:H400"/>
    <mergeCell ref="I400:M400"/>
    <mergeCell ref="S294:AG294"/>
    <mergeCell ref="V246:X246"/>
    <mergeCell ref="D248:I248"/>
    <mergeCell ref="AE247:AG247"/>
    <mergeCell ref="AE248:AG248"/>
    <mergeCell ref="D834:I834"/>
    <mergeCell ref="X653:AG653"/>
    <mergeCell ref="N653:W653"/>
    <mergeCell ref="D653:M653"/>
    <mergeCell ref="X655:AG655"/>
    <mergeCell ref="N655:W655"/>
    <mergeCell ref="D655:M655"/>
    <mergeCell ref="D663:AG663"/>
    <mergeCell ref="D776:M776"/>
    <mergeCell ref="N776:W776"/>
    <mergeCell ref="X776:AG776"/>
    <mergeCell ref="AD830:AG830"/>
    <mergeCell ref="AD832:AG832"/>
    <mergeCell ref="AD831:AG831"/>
    <mergeCell ref="D811:M811"/>
    <mergeCell ref="N808:W808"/>
    <mergeCell ref="X808:AG808"/>
    <mergeCell ref="D794:M794"/>
    <mergeCell ref="D770:M770"/>
    <mergeCell ref="N770:W770"/>
    <mergeCell ref="X770:AG770"/>
    <mergeCell ref="D771:M771"/>
    <mergeCell ref="D805:M806"/>
    <mergeCell ref="D815:AG815"/>
    <mergeCell ref="N805:W806"/>
    <mergeCell ref="X805:AG806"/>
    <mergeCell ref="D807:M807"/>
    <mergeCell ref="D367:R367"/>
    <mergeCell ref="D356:R356"/>
    <mergeCell ref="S356:AG356"/>
    <mergeCell ref="D357:R357"/>
    <mergeCell ref="S357:AG357"/>
    <mergeCell ref="D355:R355"/>
    <mergeCell ref="S355:AG355"/>
    <mergeCell ref="D769:M769"/>
    <mergeCell ref="N769:W769"/>
    <mergeCell ref="X769:AG769"/>
    <mergeCell ref="I399:M399"/>
    <mergeCell ref="N399:R399"/>
    <mergeCell ref="S399:W399"/>
    <mergeCell ref="J833:M833"/>
    <mergeCell ref="N830:Q830"/>
    <mergeCell ref="R830:U830"/>
    <mergeCell ref="V830:Y830"/>
    <mergeCell ref="Z830:AC830"/>
    <mergeCell ref="R832:U832"/>
    <mergeCell ref="V832:Y832"/>
    <mergeCell ref="Z832:AC832"/>
    <mergeCell ref="D786:M786"/>
    <mergeCell ref="D787:M787"/>
    <mergeCell ref="D788:M788"/>
    <mergeCell ref="N831:Q831"/>
    <mergeCell ref="R831:U831"/>
    <mergeCell ref="V831:Y831"/>
    <mergeCell ref="Z831:AC831"/>
    <mergeCell ref="X793:AG793"/>
    <mergeCell ref="N794:W794"/>
    <mergeCell ref="X788:AG788"/>
    <mergeCell ref="N788:W788"/>
    <mergeCell ref="D844:AG844"/>
    <mergeCell ref="J836:M836"/>
    <mergeCell ref="N840:Q840"/>
    <mergeCell ref="R840:U840"/>
    <mergeCell ref="V840:Y840"/>
    <mergeCell ref="Z840:AC840"/>
    <mergeCell ref="X789:AG789"/>
    <mergeCell ref="N793:W793"/>
    <mergeCell ref="X790:AG790"/>
    <mergeCell ref="X794:AG794"/>
    <mergeCell ref="N787:W787"/>
    <mergeCell ref="X787:AG787"/>
    <mergeCell ref="D833:I833"/>
    <mergeCell ref="J829:M829"/>
    <mergeCell ref="V829:Y829"/>
    <mergeCell ref="Z829:AC829"/>
    <mergeCell ref="AD840:AG840"/>
    <mergeCell ref="D841:I841"/>
    <mergeCell ref="J841:M841"/>
    <mergeCell ref="N838:Q838"/>
    <mergeCell ref="R838:U838"/>
    <mergeCell ref="V838:Y838"/>
    <mergeCell ref="Z838:AC838"/>
    <mergeCell ref="AD838:AG838"/>
    <mergeCell ref="D838:I838"/>
    <mergeCell ref="J838:M838"/>
    <mergeCell ref="N835:Q835"/>
    <mergeCell ref="R835:U835"/>
    <mergeCell ref="V835:Y835"/>
    <mergeCell ref="Z835:AC835"/>
    <mergeCell ref="AD835:AG835"/>
    <mergeCell ref="D840:I840"/>
    <mergeCell ref="R859:Y859"/>
    <mergeCell ref="Z859:AG859"/>
    <mergeCell ref="D863:L863"/>
    <mergeCell ref="R860:Y860"/>
    <mergeCell ref="Z860:AG860"/>
    <mergeCell ref="R861:Y861"/>
    <mergeCell ref="Z861:AG861"/>
    <mergeCell ref="M860:Q860"/>
    <mergeCell ref="R863:Y863"/>
    <mergeCell ref="Z863:AG863"/>
    <mergeCell ref="M859:Q859"/>
    <mergeCell ref="R862:Y862"/>
    <mergeCell ref="Z862:AG862"/>
    <mergeCell ref="R854:Y854"/>
    <mergeCell ref="D858:L858"/>
    <mergeCell ref="R855:Y855"/>
    <mergeCell ref="Z855:AG855"/>
    <mergeCell ref="D859:L859"/>
    <mergeCell ref="R856:Y856"/>
    <mergeCell ref="Z856:AG856"/>
    <mergeCell ref="Z854:AG854"/>
    <mergeCell ref="D855:L855"/>
    <mergeCell ref="M854:Q854"/>
    <mergeCell ref="M861:Q861"/>
    <mergeCell ref="N834:Q834"/>
    <mergeCell ref="R834:U834"/>
    <mergeCell ref="V834:Y834"/>
    <mergeCell ref="Z834:AC834"/>
    <mergeCell ref="AD834:AG834"/>
    <mergeCell ref="J839:M839"/>
    <mergeCell ref="N836:Q836"/>
    <mergeCell ref="R836:U836"/>
    <mergeCell ref="V836:Y836"/>
    <mergeCell ref="AD836:AG836"/>
    <mergeCell ref="N839:Q839"/>
    <mergeCell ref="R839:U839"/>
    <mergeCell ref="V839:Y839"/>
    <mergeCell ref="Z839:AC839"/>
    <mergeCell ref="AD839:AG839"/>
    <mergeCell ref="AD837:AG837"/>
    <mergeCell ref="R841:U841"/>
    <mergeCell ref="Z836:AC836"/>
    <mergeCell ref="J840:M840"/>
    <mergeCell ref="N837:Q837"/>
    <mergeCell ref="R837:U837"/>
    <mergeCell ref="V837:Y837"/>
    <mergeCell ref="Z837:AC837"/>
    <mergeCell ref="V841:Y841"/>
    <mergeCell ref="D835:I835"/>
    <mergeCell ref="J835:M835"/>
    <mergeCell ref="D836:I836"/>
    <mergeCell ref="D837:I837"/>
    <mergeCell ref="D839:I839"/>
    <mergeCell ref="D773:M773"/>
    <mergeCell ref="N773:W773"/>
    <mergeCell ref="D789:M789"/>
    <mergeCell ref="N786:W786"/>
    <mergeCell ref="X786:AG786"/>
    <mergeCell ref="D774:M774"/>
    <mergeCell ref="N774:W774"/>
    <mergeCell ref="X774:AG774"/>
    <mergeCell ref="D775:M775"/>
    <mergeCell ref="N775:W775"/>
    <mergeCell ref="X775:AG775"/>
    <mergeCell ref="D785:M785"/>
    <mergeCell ref="N782:W782"/>
    <mergeCell ref="X782:AG782"/>
    <mergeCell ref="D777:M777"/>
    <mergeCell ref="N777:W777"/>
    <mergeCell ref="X777:AG777"/>
    <mergeCell ref="N779:W779"/>
    <mergeCell ref="D779:M779"/>
    <mergeCell ref="N810:W810"/>
    <mergeCell ref="X810:AG810"/>
    <mergeCell ref="N833:Q833"/>
    <mergeCell ref="R833:U833"/>
    <mergeCell ref="V833:Y833"/>
    <mergeCell ref="Z833:AC833"/>
    <mergeCell ref="AD833:AG833"/>
    <mergeCell ref="J837:M837"/>
    <mergeCell ref="D766:M766"/>
    <mergeCell ref="N766:W766"/>
    <mergeCell ref="X766:AG766"/>
    <mergeCell ref="D767:M767"/>
    <mergeCell ref="N767:W767"/>
    <mergeCell ref="X767:AG767"/>
    <mergeCell ref="AD640:AG640"/>
    <mergeCell ref="AD642:AG642"/>
    <mergeCell ref="D645:AG645"/>
    <mergeCell ref="D649:AG649"/>
    <mergeCell ref="D651:M651"/>
    <mergeCell ref="N651:W651"/>
    <mergeCell ref="X651:AG651"/>
    <mergeCell ref="D652:M652"/>
    <mergeCell ref="N652:W652"/>
    <mergeCell ref="X652:AG652"/>
    <mergeCell ref="AD644:AG644"/>
    <mergeCell ref="K640:M640"/>
    <mergeCell ref="D641:AG641"/>
    <mergeCell ref="D642:J642"/>
    <mergeCell ref="D667:AG667"/>
    <mergeCell ref="V705:Y705"/>
    <mergeCell ref="V706:Y706"/>
    <mergeCell ref="D699:AG699"/>
    <mergeCell ref="D701:AG701"/>
    <mergeCell ref="D703:I704"/>
    <mergeCell ref="N704:Q704"/>
    <mergeCell ref="J704:M704"/>
    <mergeCell ref="R704:U704"/>
    <mergeCell ref="D707:I707"/>
    <mergeCell ref="D706:I706"/>
    <mergeCell ref="D762:AG762"/>
    <mergeCell ref="AE250:AG250"/>
    <mergeCell ref="M250:O250"/>
    <mergeCell ref="M251:O251"/>
    <mergeCell ref="M252:O252"/>
    <mergeCell ref="M254:O254"/>
    <mergeCell ref="P250:R250"/>
    <mergeCell ref="P251:R251"/>
    <mergeCell ref="P252:R252"/>
    <mergeCell ref="P254:R254"/>
    <mergeCell ref="S250:U250"/>
    <mergeCell ref="S251:U251"/>
    <mergeCell ref="S252:U252"/>
    <mergeCell ref="S254:U254"/>
    <mergeCell ref="V250:X250"/>
    <mergeCell ref="V251:X251"/>
    <mergeCell ref="Y250:AA250"/>
    <mergeCell ref="AE251:AG251"/>
    <mergeCell ref="AE252:AG252"/>
    <mergeCell ref="AB253:AD253"/>
    <mergeCell ref="AE253:AG253"/>
    <mergeCell ref="Y251:AA251"/>
    <mergeCell ref="Y252:AA252"/>
    <mergeCell ref="AB250:AD250"/>
    <mergeCell ref="AB251:AD251"/>
    <mergeCell ref="S253:U253"/>
    <mergeCell ref="V253:X253"/>
    <mergeCell ref="Y253:AA253"/>
    <mergeCell ref="V254:X254"/>
    <mergeCell ref="AE254:AG254"/>
    <mergeCell ref="Y254:AA254"/>
    <mergeCell ref="D198:AG198"/>
    <mergeCell ref="D202:AG203"/>
    <mergeCell ref="E217:AG218"/>
    <mergeCell ref="E220:AG221"/>
    <mergeCell ref="E223:AG223"/>
    <mergeCell ref="D229:AG229"/>
    <mergeCell ref="D241:I242"/>
    <mergeCell ref="J242:L242"/>
    <mergeCell ref="AE242:AG242"/>
    <mergeCell ref="AB242:AD242"/>
    <mergeCell ref="Y242:AA242"/>
    <mergeCell ref="V242:X242"/>
    <mergeCell ref="S242:U242"/>
    <mergeCell ref="P242:R242"/>
    <mergeCell ref="M242:O242"/>
    <mergeCell ref="J241:AG241"/>
    <mergeCell ref="D205:AG206"/>
    <mergeCell ref="D215:AF215"/>
    <mergeCell ref="D210:AG214"/>
    <mergeCell ref="D225:AG228"/>
    <mergeCell ref="D188:AG188"/>
    <mergeCell ref="D192:AG193"/>
    <mergeCell ref="D195:AG196"/>
    <mergeCell ref="D155:AG156"/>
    <mergeCell ref="D160:AG161"/>
    <mergeCell ref="D167:AG168"/>
    <mergeCell ref="D131:AG135"/>
    <mergeCell ref="D136:AG137"/>
    <mergeCell ref="D125:AG127"/>
    <mergeCell ref="D149:AG151"/>
    <mergeCell ref="D139:AG139"/>
    <mergeCell ref="D120:AG121"/>
    <mergeCell ref="D116:N116"/>
    <mergeCell ref="O116:S116"/>
    <mergeCell ref="T116:X116"/>
    <mergeCell ref="Y116:AC116"/>
    <mergeCell ref="D117:N117"/>
    <mergeCell ref="O117:S117"/>
    <mergeCell ref="T117:X117"/>
    <mergeCell ref="Y117:AC117"/>
    <mergeCell ref="D118:N118"/>
    <mergeCell ref="O118:S118"/>
    <mergeCell ref="T118:X118"/>
    <mergeCell ref="Y118:AC118"/>
    <mergeCell ref="D174:AG175"/>
    <mergeCell ref="D170:AG170"/>
    <mergeCell ref="D162:AG163"/>
    <mergeCell ref="D143:AG145"/>
    <mergeCell ref="D9:AG12"/>
    <mergeCell ref="AI1:AM1"/>
    <mergeCell ref="Y28:AG28"/>
    <mergeCell ref="Y27:AG27"/>
    <mergeCell ref="Y26:AG26"/>
    <mergeCell ref="Y25:AG25"/>
    <mergeCell ref="P25:X25"/>
    <mergeCell ref="P28:X28"/>
    <mergeCell ref="P27:X27"/>
    <mergeCell ref="P26:X26"/>
    <mergeCell ref="D25:O25"/>
    <mergeCell ref="D28:O28"/>
    <mergeCell ref="D27:O27"/>
    <mergeCell ref="D26:O26"/>
    <mergeCell ref="D36:M36"/>
    <mergeCell ref="N36:R36"/>
    <mergeCell ref="S36:W36"/>
    <mergeCell ref="X36:AB36"/>
    <mergeCell ref="AC36:AG36"/>
    <mergeCell ref="B1:AH1"/>
    <mergeCell ref="D14:AG14"/>
    <mergeCell ref="D15:AG15"/>
    <mergeCell ref="D18:AG18"/>
    <mergeCell ref="D21:AG21"/>
    <mergeCell ref="D19:AG19"/>
    <mergeCell ref="D20:AG20"/>
    <mergeCell ref="D32:M33"/>
    <mergeCell ref="N32:W32"/>
    <mergeCell ref="X32:AB33"/>
    <mergeCell ref="AC32:AG33"/>
    <mergeCell ref="D47:O47"/>
    <mergeCell ref="D38:AG42"/>
    <mergeCell ref="D43:AG43"/>
    <mergeCell ref="D50:AG51"/>
    <mergeCell ref="D78:AG79"/>
    <mergeCell ref="D81:AG82"/>
    <mergeCell ref="D84:AG85"/>
    <mergeCell ref="D54:AG55"/>
    <mergeCell ref="D64:AG65"/>
    <mergeCell ref="D114:N114"/>
    <mergeCell ref="O114:S114"/>
    <mergeCell ref="T114:X114"/>
    <mergeCell ref="Y114:AC114"/>
    <mergeCell ref="D115:N115"/>
    <mergeCell ref="O115:S115"/>
    <mergeCell ref="T115:X115"/>
    <mergeCell ref="Y115:AC115"/>
    <mergeCell ref="O113:S113"/>
    <mergeCell ref="T113:X113"/>
    <mergeCell ref="Y113:AC113"/>
    <mergeCell ref="D93:AG94"/>
    <mergeCell ref="D98:AG99"/>
    <mergeCell ref="D101:AG102"/>
    <mergeCell ref="D104:AG105"/>
    <mergeCell ref="D109:AG111"/>
    <mergeCell ref="D74:AG75"/>
    <mergeCell ref="D69:AG70"/>
    <mergeCell ref="D56:AG57"/>
    <mergeCell ref="D58:AG58"/>
    <mergeCell ref="D60:AG60"/>
    <mergeCell ref="D243:AG243"/>
    <mergeCell ref="D179:AG180"/>
    <mergeCell ref="D182:AG186"/>
    <mergeCell ref="I385:M385"/>
    <mergeCell ref="D268:AG268"/>
    <mergeCell ref="D269:I269"/>
    <mergeCell ref="J269:L269"/>
    <mergeCell ref="M269:O269"/>
    <mergeCell ref="P269:R269"/>
    <mergeCell ref="S269:U269"/>
    <mergeCell ref="V269:X269"/>
    <mergeCell ref="Y269:AA269"/>
    <mergeCell ref="AB269:AD269"/>
    <mergeCell ref="AE269:AG269"/>
    <mergeCell ref="AB260:AD260"/>
    <mergeCell ref="D294:R294"/>
    <mergeCell ref="D363:AG365"/>
    <mergeCell ref="V247:X247"/>
    <mergeCell ref="V248:X248"/>
    <mergeCell ref="Y244:AA244"/>
    <mergeCell ref="Y245:AA245"/>
    <mergeCell ref="Y246:AA246"/>
    <mergeCell ref="Y247:AA247"/>
    <mergeCell ref="Y248:AA248"/>
    <mergeCell ref="AB244:AD244"/>
    <mergeCell ref="AB245:AD245"/>
    <mergeCell ref="AB246:AD246"/>
    <mergeCell ref="AB247:AD247"/>
    <mergeCell ref="AB248:AD248"/>
    <mergeCell ref="AE244:AG244"/>
    <mergeCell ref="AE245:AG245"/>
    <mergeCell ref="AE246:AG246"/>
    <mergeCell ref="D378:AG379"/>
    <mergeCell ref="D381:AG381"/>
    <mergeCell ref="D383:H384"/>
    <mergeCell ref="I383:AG383"/>
    <mergeCell ref="I384:M384"/>
    <mergeCell ref="N384:R384"/>
    <mergeCell ref="S384:W384"/>
    <mergeCell ref="X384:AB384"/>
    <mergeCell ref="AC384:AG384"/>
    <mergeCell ref="X385:AB385"/>
    <mergeCell ref="AC392:AG392"/>
    <mergeCell ref="AC391:AG391"/>
    <mergeCell ref="AC390:AG390"/>
    <mergeCell ref="AC389:AG389"/>
    <mergeCell ref="AC388:AG388"/>
    <mergeCell ref="AC387:AG387"/>
    <mergeCell ref="AC386:AG386"/>
    <mergeCell ref="AC385:AG385"/>
    <mergeCell ref="N392:R392"/>
    <mergeCell ref="N391:R391"/>
    <mergeCell ref="N390:R390"/>
    <mergeCell ref="N385:R385"/>
    <mergeCell ref="S392:W392"/>
    <mergeCell ref="S391:W391"/>
    <mergeCell ref="S390:W390"/>
    <mergeCell ref="S389:W389"/>
    <mergeCell ref="S388:W388"/>
    <mergeCell ref="S387:W387"/>
    <mergeCell ref="S386:W386"/>
    <mergeCell ref="S385:W385"/>
    <mergeCell ref="D385:H385"/>
    <mergeCell ref="I392:M392"/>
    <mergeCell ref="X392:AB392"/>
    <mergeCell ref="X391:AB391"/>
    <mergeCell ref="X390:AB390"/>
    <mergeCell ref="X389:AB389"/>
    <mergeCell ref="X388:AB388"/>
    <mergeCell ref="X387:AB387"/>
    <mergeCell ref="X386:AB386"/>
    <mergeCell ref="D392:H392"/>
    <mergeCell ref="D391:H391"/>
    <mergeCell ref="D390:H390"/>
    <mergeCell ref="D389:H389"/>
    <mergeCell ref="D388:H388"/>
    <mergeCell ref="D387:H387"/>
    <mergeCell ref="D386:H386"/>
    <mergeCell ref="N388:R388"/>
    <mergeCell ref="N387:R387"/>
    <mergeCell ref="N386:R386"/>
    <mergeCell ref="N389:R389"/>
    <mergeCell ref="I391:M391"/>
    <mergeCell ref="I390:M390"/>
    <mergeCell ref="I389:M389"/>
    <mergeCell ref="I388:M388"/>
    <mergeCell ref="I387:M387"/>
    <mergeCell ref="I386:M386"/>
    <mergeCell ref="S422:W422"/>
    <mergeCell ref="X422:AB422"/>
    <mergeCell ref="AC422:AG422"/>
    <mergeCell ref="D423:H423"/>
    <mergeCell ref="I423:M423"/>
    <mergeCell ref="N423:R423"/>
    <mergeCell ref="S423:W423"/>
    <mergeCell ref="X423:AB423"/>
    <mergeCell ref="AC423:AG423"/>
    <mergeCell ref="D428:H428"/>
    <mergeCell ref="I428:M428"/>
    <mergeCell ref="N428:R428"/>
    <mergeCell ref="S428:W428"/>
    <mergeCell ref="X428:AB428"/>
    <mergeCell ref="AC428:AG428"/>
    <mergeCell ref="D426:H426"/>
    <mergeCell ref="I426:M426"/>
    <mergeCell ref="N426:R426"/>
    <mergeCell ref="S426:W426"/>
    <mergeCell ref="X426:AB426"/>
    <mergeCell ref="AC426:AG426"/>
    <mergeCell ref="D427:H427"/>
    <mergeCell ref="I427:M427"/>
    <mergeCell ref="N427:R427"/>
    <mergeCell ref="S427:W427"/>
    <mergeCell ref="X427:AB427"/>
    <mergeCell ref="AC427:AG427"/>
    <mergeCell ref="S424:W424"/>
    <mergeCell ref="X424:AB424"/>
    <mergeCell ref="AC424:AG424"/>
    <mergeCell ref="D425:H425"/>
    <mergeCell ref="I425:M425"/>
    <mergeCell ref="D441:AG441"/>
    <mergeCell ref="D443:AG443"/>
    <mergeCell ref="AA445:AG445"/>
    <mergeCell ref="T445:Z445"/>
    <mergeCell ref="M445:S445"/>
    <mergeCell ref="D445:L445"/>
    <mergeCell ref="D446:AG446"/>
    <mergeCell ref="D452:L452"/>
    <mergeCell ref="D451:L451"/>
    <mergeCell ref="D450:L450"/>
    <mergeCell ref="D449:L449"/>
    <mergeCell ref="D448:L448"/>
    <mergeCell ref="D447:L447"/>
    <mergeCell ref="T452:Z452"/>
    <mergeCell ref="T451:Z451"/>
    <mergeCell ref="T450:Z450"/>
    <mergeCell ref="T449:Z449"/>
    <mergeCell ref="T448:Z448"/>
    <mergeCell ref="T447:Z447"/>
    <mergeCell ref="M452:S452"/>
    <mergeCell ref="M451:S451"/>
    <mergeCell ref="M450:S450"/>
    <mergeCell ref="M449:S449"/>
    <mergeCell ref="M448:S448"/>
    <mergeCell ref="M447:S447"/>
    <mergeCell ref="AA452:AG452"/>
    <mergeCell ref="T456:Z456"/>
    <mergeCell ref="AA456:AG456"/>
    <mergeCell ref="M457:S457"/>
    <mergeCell ref="T457:Z457"/>
    <mergeCell ref="AA457:AG457"/>
    <mergeCell ref="N486:W486"/>
    <mergeCell ref="X486:AG486"/>
    <mergeCell ref="AA467:AG467"/>
    <mergeCell ref="M468:S468"/>
    <mergeCell ref="T468:Z468"/>
    <mergeCell ref="AA468:AG468"/>
    <mergeCell ref="M469:S469"/>
    <mergeCell ref="T469:Z469"/>
    <mergeCell ref="AA469:AG469"/>
    <mergeCell ref="AA471:AG471"/>
    <mergeCell ref="D487:M487"/>
    <mergeCell ref="N487:W487"/>
    <mergeCell ref="X487:AG487"/>
    <mergeCell ref="D483:AG483"/>
    <mergeCell ref="M461:S461"/>
    <mergeCell ref="T461:Z461"/>
    <mergeCell ref="AA461:AG461"/>
    <mergeCell ref="D481:L481"/>
    <mergeCell ref="M481:S481"/>
    <mergeCell ref="T481:Z481"/>
    <mergeCell ref="AA481:AG481"/>
    <mergeCell ref="D463:AG463"/>
    <mergeCell ref="D476:L476"/>
    <mergeCell ref="M476:S476"/>
    <mergeCell ref="T476:Z476"/>
    <mergeCell ref="AA476:AG476"/>
    <mergeCell ref="D477:L477"/>
    <mergeCell ref="D488:M488"/>
    <mergeCell ref="N488:W488"/>
    <mergeCell ref="X488:AG488"/>
    <mergeCell ref="D485:M485"/>
    <mergeCell ref="D486:M486"/>
    <mergeCell ref="D494:AG494"/>
    <mergeCell ref="D496:M496"/>
    <mergeCell ref="N496:W496"/>
    <mergeCell ref="X496:AG496"/>
    <mergeCell ref="D490:AG490"/>
    <mergeCell ref="D465:L465"/>
    <mergeCell ref="M465:S465"/>
    <mergeCell ref="T465:Z465"/>
    <mergeCell ref="AA465:AG465"/>
    <mergeCell ref="D466:AG466"/>
    <mergeCell ref="D467:L467"/>
    <mergeCell ref="N485:W485"/>
    <mergeCell ref="X485:AG485"/>
    <mergeCell ref="AA475:AG475"/>
    <mergeCell ref="M467:S467"/>
    <mergeCell ref="T467:Z467"/>
    <mergeCell ref="D468:L468"/>
    <mergeCell ref="D469:L469"/>
    <mergeCell ref="M477:S477"/>
    <mergeCell ref="T477:Z477"/>
    <mergeCell ref="AA477:AG477"/>
    <mergeCell ref="D478:L478"/>
    <mergeCell ref="M478:S478"/>
    <mergeCell ref="T478:Z478"/>
    <mergeCell ref="AA478:AG478"/>
    <mergeCell ref="D479:L479"/>
    <mergeCell ref="M479:S479"/>
    <mergeCell ref="D500:M500"/>
    <mergeCell ref="N500:W500"/>
    <mergeCell ref="X500:AG500"/>
    <mergeCell ref="D501:M501"/>
    <mergeCell ref="N501:W501"/>
    <mergeCell ref="X501:AG501"/>
    <mergeCell ref="D497:M497"/>
    <mergeCell ref="N497:W497"/>
    <mergeCell ref="X497:AG497"/>
    <mergeCell ref="D499:M499"/>
    <mergeCell ref="N499:W499"/>
    <mergeCell ref="X499:AG499"/>
    <mergeCell ref="D498:M498"/>
    <mergeCell ref="D512:O512"/>
    <mergeCell ref="P512:X512"/>
    <mergeCell ref="Y512:AG512"/>
    <mergeCell ref="D513:O513"/>
    <mergeCell ref="P513:X513"/>
    <mergeCell ref="Y513:AG513"/>
    <mergeCell ref="D504:AG504"/>
    <mergeCell ref="N498:W498"/>
    <mergeCell ref="X498:AG498"/>
    <mergeCell ref="R531:AG531"/>
    <mergeCell ref="R542:AG542"/>
    <mergeCell ref="R539:AG539"/>
    <mergeCell ref="D514:O514"/>
    <mergeCell ref="P514:X514"/>
    <mergeCell ref="Y514:AG514"/>
    <mergeCell ref="D511:O511"/>
    <mergeCell ref="P511:X511"/>
    <mergeCell ref="Y511:AG511"/>
    <mergeCell ref="D508:AG508"/>
    <mergeCell ref="D510:O510"/>
    <mergeCell ref="P510:X510"/>
    <mergeCell ref="Y510:AG510"/>
    <mergeCell ref="D518:O518"/>
    <mergeCell ref="P518:X518"/>
    <mergeCell ref="Y518:AG518"/>
    <mergeCell ref="D519:O519"/>
    <mergeCell ref="P519:X519"/>
    <mergeCell ref="Y519:AG519"/>
    <mergeCell ref="D520:O520"/>
    <mergeCell ref="P520:X520"/>
    <mergeCell ref="Y520:AG520"/>
    <mergeCell ref="D515:O515"/>
    <mergeCell ref="P515:X515"/>
    <mergeCell ref="Y515:AG515"/>
    <mergeCell ref="D516:O516"/>
    <mergeCell ref="P516:X516"/>
    <mergeCell ref="Y516:AG516"/>
    <mergeCell ref="D517:O517"/>
    <mergeCell ref="P517:X517"/>
    <mergeCell ref="Y517:AG517"/>
    <mergeCell ref="N871:Q871"/>
    <mergeCell ref="R871:U871"/>
    <mergeCell ref="V871:Y871"/>
    <mergeCell ref="D521:O521"/>
    <mergeCell ref="P521:X521"/>
    <mergeCell ref="Y521:AG521"/>
    <mergeCell ref="D522:O522"/>
    <mergeCell ref="P522:X522"/>
    <mergeCell ref="Y522:AG522"/>
    <mergeCell ref="D526:AG527"/>
    <mergeCell ref="D529:AG529"/>
    <mergeCell ref="D542:Q542"/>
    <mergeCell ref="D541:Q541"/>
    <mergeCell ref="D540:Q540"/>
    <mergeCell ref="D539:Q539"/>
    <mergeCell ref="D538:Q538"/>
    <mergeCell ref="D537:Q537"/>
    <mergeCell ref="D536:Q536"/>
    <mergeCell ref="D535:Q535"/>
    <mergeCell ref="D534:Q534"/>
    <mergeCell ref="D533:Q533"/>
    <mergeCell ref="D532:Q532"/>
    <mergeCell ref="D531:Q531"/>
    <mergeCell ref="R541:AG541"/>
    <mergeCell ref="R540:AG540"/>
    <mergeCell ref="R538:AG538"/>
    <mergeCell ref="R537:AG537"/>
    <mergeCell ref="R536:AG536"/>
    <mergeCell ref="R535:AG535"/>
    <mergeCell ref="R534:AG534"/>
    <mergeCell ref="R533:AG533"/>
    <mergeCell ref="R532:AG532"/>
    <mergeCell ref="D885:M885"/>
    <mergeCell ref="D884:M884"/>
    <mergeCell ref="D883:M883"/>
    <mergeCell ref="D882:M882"/>
    <mergeCell ref="D881:M881"/>
    <mergeCell ref="D880:M880"/>
    <mergeCell ref="R886:U886"/>
    <mergeCell ref="V884:Y884"/>
    <mergeCell ref="AD871:AG871"/>
    <mergeCell ref="N885:Q885"/>
    <mergeCell ref="N884:Q884"/>
    <mergeCell ref="N883:Q883"/>
    <mergeCell ref="N882:Q882"/>
    <mergeCell ref="N880:Q880"/>
    <mergeCell ref="N876:Q876"/>
    <mergeCell ref="N875:Q875"/>
    <mergeCell ref="N874:Q874"/>
    <mergeCell ref="N873:Q873"/>
    <mergeCell ref="N872:Q872"/>
    <mergeCell ref="Z883:AC883"/>
    <mergeCell ref="Z884:AC884"/>
    <mergeCell ref="Z885:AC885"/>
    <mergeCell ref="AD883:AG883"/>
    <mergeCell ref="AD884:AG884"/>
    <mergeCell ref="AD885:AG885"/>
    <mergeCell ref="V875:Y875"/>
    <mergeCell ref="V876:Y876"/>
    <mergeCell ref="V880:Y880"/>
    <mergeCell ref="R883:U883"/>
    <mergeCell ref="R884:U884"/>
    <mergeCell ref="R885:U885"/>
    <mergeCell ref="Z879:AC879"/>
    <mergeCell ref="R872:U872"/>
    <mergeCell ref="R873:U873"/>
    <mergeCell ref="R874:U874"/>
    <mergeCell ref="R875:U875"/>
    <mergeCell ref="R876:U876"/>
    <mergeCell ref="R880:U880"/>
    <mergeCell ref="R882:U882"/>
    <mergeCell ref="D877:M877"/>
    <mergeCell ref="D878:M878"/>
    <mergeCell ref="D879:M879"/>
    <mergeCell ref="N879:Q879"/>
    <mergeCell ref="R879:U879"/>
    <mergeCell ref="V879:Y879"/>
    <mergeCell ref="N877:Q877"/>
    <mergeCell ref="R877:U877"/>
    <mergeCell ref="V877:Y877"/>
    <mergeCell ref="N878:Q878"/>
    <mergeCell ref="R878:U878"/>
    <mergeCell ref="V878:Y878"/>
    <mergeCell ref="V874:Y874"/>
    <mergeCell ref="D876:M876"/>
    <mergeCell ref="AD886:AG886"/>
    <mergeCell ref="AD872:AG872"/>
    <mergeCell ref="AD873:AG873"/>
    <mergeCell ref="AD874:AG874"/>
    <mergeCell ref="AD875:AG875"/>
    <mergeCell ref="AD876:AG876"/>
    <mergeCell ref="AD880:AG880"/>
    <mergeCell ref="AD882:AG882"/>
    <mergeCell ref="Z872:AC872"/>
    <mergeCell ref="Z873:AC873"/>
    <mergeCell ref="Z874:AC874"/>
    <mergeCell ref="Z875:AC875"/>
    <mergeCell ref="Z876:AC876"/>
    <mergeCell ref="Z880:AC880"/>
    <mergeCell ref="Z882:AC882"/>
    <mergeCell ref="V872:Y872"/>
    <mergeCell ref="V873:Y873"/>
    <mergeCell ref="V883:Y883"/>
    <mergeCell ref="AD879:AG879"/>
    <mergeCell ref="Z877:AC877"/>
    <mergeCell ref="AD877:AG877"/>
    <mergeCell ref="Z878:AC878"/>
    <mergeCell ref="AD878:AG878"/>
    <mergeCell ref="V885:Y885"/>
    <mergeCell ref="V886:Y886"/>
    <mergeCell ref="V882:Y882"/>
    <mergeCell ref="Z886:AC886"/>
    <mergeCell ref="AD904:AG904"/>
    <mergeCell ref="D899:M899"/>
    <mergeCell ref="N899:Q899"/>
    <mergeCell ref="R899:U899"/>
    <mergeCell ref="V899:Y899"/>
    <mergeCell ref="Z899:AC899"/>
    <mergeCell ref="AD899:AG899"/>
    <mergeCell ref="N900:Q900"/>
    <mergeCell ref="R900:U900"/>
    <mergeCell ref="V900:Y900"/>
    <mergeCell ref="Z900:AC900"/>
    <mergeCell ref="D897:M897"/>
    <mergeCell ref="R905:U905"/>
    <mergeCell ref="V891:Y891"/>
    <mergeCell ref="Z891:AC891"/>
    <mergeCell ref="AD891:AG891"/>
    <mergeCell ref="D895:M895"/>
    <mergeCell ref="N892:Q892"/>
    <mergeCell ref="R892:U892"/>
    <mergeCell ref="V892:Y892"/>
    <mergeCell ref="Z892:AC892"/>
    <mergeCell ref="AD892:AG892"/>
    <mergeCell ref="D893:M893"/>
    <mergeCell ref="D894:M894"/>
    <mergeCell ref="N897:Q897"/>
    <mergeCell ref="R897:U897"/>
    <mergeCell ref="N895:Q895"/>
    <mergeCell ref="N893:Q893"/>
    <mergeCell ref="D891:M891"/>
    <mergeCell ref="D892:M892"/>
    <mergeCell ref="AD900:AG900"/>
    <mergeCell ref="N902:Q902"/>
    <mergeCell ref="D562:H563"/>
    <mergeCell ref="I562:AG562"/>
    <mergeCell ref="I563:M563"/>
    <mergeCell ref="N563:R563"/>
    <mergeCell ref="S563:W563"/>
    <mergeCell ref="X563:AB563"/>
    <mergeCell ref="AC563:AG563"/>
    <mergeCell ref="D556:H556"/>
    <mergeCell ref="D906:M906"/>
    <mergeCell ref="N903:Q903"/>
    <mergeCell ref="R903:U903"/>
    <mergeCell ref="V903:Y903"/>
    <mergeCell ref="Z903:AC903"/>
    <mergeCell ref="AD903:AG903"/>
    <mergeCell ref="D903:M903"/>
    <mergeCell ref="N906:Q906"/>
    <mergeCell ref="R906:U906"/>
    <mergeCell ref="V906:Y906"/>
    <mergeCell ref="Z906:AC906"/>
    <mergeCell ref="AD906:AG906"/>
    <mergeCell ref="N904:Q904"/>
    <mergeCell ref="R904:U904"/>
    <mergeCell ref="V904:Y904"/>
    <mergeCell ref="Z904:AC904"/>
    <mergeCell ref="D904:M904"/>
    <mergeCell ref="N905:Q905"/>
    <mergeCell ref="N886:Q886"/>
    <mergeCell ref="V905:Y905"/>
    <mergeCell ref="Z905:AC905"/>
    <mergeCell ref="AD905:AG905"/>
    <mergeCell ref="D905:M905"/>
    <mergeCell ref="V901:Y901"/>
    <mergeCell ref="D555:H555"/>
    <mergeCell ref="I555:M555"/>
    <mergeCell ref="N555:R555"/>
    <mergeCell ref="S555:W555"/>
    <mergeCell ref="X555:AB555"/>
    <mergeCell ref="AC555:AG555"/>
    <mergeCell ref="D553:H553"/>
    <mergeCell ref="I553:M553"/>
    <mergeCell ref="N553:R553"/>
    <mergeCell ref="S553:W553"/>
    <mergeCell ref="X553:AB553"/>
    <mergeCell ref="AC553:AG553"/>
    <mergeCell ref="I554:M554"/>
    <mergeCell ref="N554:R554"/>
    <mergeCell ref="S554:W554"/>
    <mergeCell ref="X554:AB554"/>
    <mergeCell ref="AC554:AG554"/>
    <mergeCell ref="D886:M886"/>
    <mergeCell ref="R893:U893"/>
    <mergeCell ref="V893:Y893"/>
    <mergeCell ref="Z893:AC893"/>
    <mergeCell ref="AD893:AG893"/>
    <mergeCell ref="N894:Q894"/>
    <mergeCell ref="R894:U894"/>
    <mergeCell ref="V894:Y894"/>
    <mergeCell ref="Z894:AC894"/>
    <mergeCell ref="AD894:AG894"/>
    <mergeCell ref="N891:Q891"/>
    <mergeCell ref="R891:U891"/>
    <mergeCell ref="D549:AG549"/>
    <mergeCell ref="D551:H552"/>
    <mergeCell ref="I551:AG551"/>
    <mergeCell ref="I552:M552"/>
    <mergeCell ref="N552:R552"/>
    <mergeCell ref="S552:W552"/>
    <mergeCell ref="X552:AB552"/>
    <mergeCell ref="AC552:AG552"/>
    <mergeCell ref="I556:M556"/>
    <mergeCell ref="N556:R556"/>
    <mergeCell ref="S556:W556"/>
    <mergeCell ref="X556:AB556"/>
    <mergeCell ref="AC556:AG556"/>
    <mergeCell ref="D557:H557"/>
    <mergeCell ref="I557:M557"/>
    <mergeCell ref="N557:R557"/>
    <mergeCell ref="S557:W557"/>
    <mergeCell ref="X557:AB557"/>
    <mergeCell ref="D573:AG573"/>
    <mergeCell ref="D588:M588"/>
    <mergeCell ref="R902:U902"/>
    <mergeCell ref="V902:Y902"/>
    <mergeCell ref="Z902:AC902"/>
    <mergeCell ref="AD902:AG902"/>
    <mergeCell ref="N901:Q901"/>
    <mergeCell ref="R901:U901"/>
    <mergeCell ref="R895:U895"/>
    <mergeCell ref="V895:Y895"/>
    <mergeCell ref="Z895:AC895"/>
    <mergeCell ref="AD895:AG895"/>
    <mergeCell ref="N896:Q896"/>
    <mergeCell ref="R896:U896"/>
    <mergeCell ref="V896:Y896"/>
    <mergeCell ref="Z896:AC896"/>
    <mergeCell ref="AD896:AG896"/>
    <mergeCell ref="D896:M896"/>
    <mergeCell ref="Z901:AC901"/>
    <mergeCell ref="AD901:AG901"/>
    <mergeCell ref="D902:M902"/>
    <mergeCell ref="D900:M900"/>
    <mergeCell ref="D901:M901"/>
    <mergeCell ref="V897:Y897"/>
    <mergeCell ref="Z897:AC897"/>
    <mergeCell ref="AD897:AG897"/>
    <mergeCell ref="N898:Q898"/>
    <mergeCell ref="R898:U898"/>
    <mergeCell ref="V898:Y898"/>
    <mergeCell ref="Z898:AC898"/>
    <mergeCell ref="AD898:AG898"/>
    <mergeCell ref="D898:M898"/>
    <mergeCell ref="D564:H564"/>
    <mergeCell ref="I564:M564"/>
    <mergeCell ref="N564:R564"/>
    <mergeCell ref="S564:W564"/>
    <mergeCell ref="X564:AB564"/>
    <mergeCell ref="AC564:AG564"/>
    <mergeCell ref="D566:H566"/>
    <mergeCell ref="I566:M566"/>
    <mergeCell ref="N566:R566"/>
    <mergeCell ref="S566:W566"/>
    <mergeCell ref="X566:AB566"/>
    <mergeCell ref="AC566:AG566"/>
    <mergeCell ref="D567:H567"/>
    <mergeCell ref="I567:M567"/>
    <mergeCell ref="N567:R567"/>
    <mergeCell ref="S567:W567"/>
    <mergeCell ref="X567:AB567"/>
    <mergeCell ref="AC567:AG567"/>
    <mergeCell ref="D568:H568"/>
    <mergeCell ref="S565:W565"/>
    <mergeCell ref="X565:AB565"/>
    <mergeCell ref="AC565:AG565"/>
    <mergeCell ref="D618:M618"/>
    <mergeCell ref="D620:M620"/>
    <mergeCell ref="D617:M617"/>
    <mergeCell ref="X620:AG620"/>
    <mergeCell ref="N612:W612"/>
    <mergeCell ref="N613:W613"/>
    <mergeCell ref="N608:W608"/>
    <mergeCell ref="D594:M594"/>
    <mergeCell ref="N594:W594"/>
    <mergeCell ref="X594:AG594"/>
    <mergeCell ref="D593:M593"/>
    <mergeCell ref="N593:W593"/>
    <mergeCell ref="D577:M577"/>
    <mergeCell ref="D578:M578"/>
    <mergeCell ref="D579:M579"/>
    <mergeCell ref="D581:M581"/>
    <mergeCell ref="D582:M582"/>
    <mergeCell ref="D583:M583"/>
    <mergeCell ref="D584:M584"/>
    <mergeCell ref="D585:M585"/>
    <mergeCell ref="D586:M586"/>
    <mergeCell ref="X612:AG612"/>
    <mergeCell ref="X614:AG614"/>
    <mergeCell ref="X603:AG603"/>
    <mergeCell ref="X604:AG604"/>
    <mergeCell ref="X605:AG605"/>
    <mergeCell ref="X606:AG606"/>
    <mergeCell ref="X607:AG607"/>
    <mergeCell ref="X611:AG611"/>
    <mergeCell ref="D629:M629"/>
    <mergeCell ref="N629:W629"/>
    <mergeCell ref="X629:AG629"/>
    <mergeCell ref="Z640:AC640"/>
    <mergeCell ref="N642:Q642"/>
    <mergeCell ref="R642:U642"/>
    <mergeCell ref="D600:AG600"/>
    <mergeCell ref="D602:M602"/>
    <mergeCell ref="N602:W602"/>
    <mergeCell ref="X602:AG602"/>
    <mergeCell ref="D610:M610"/>
    <mergeCell ref="D609:M609"/>
    <mergeCell ref="N588:W588"/>
    <mergeCell ref="X588:AG588"/>
    <mergeCell ref="D623:AG623"/>
    <mergeCell ref="D626:M626"/>
    <mergeCell ref="N626:W626"/>
    <mergeCell ref="X626:AG626"/>
    <mergeCell ref="D627:M627"/>
    <mergeCell ref="N627:W627"/>
    <mergeCell ref="X627:AG627"/>
    <mergeCell ref="D592:M592"/>
    <mergeCell ref="N592:W592"/>
    <mergeCell ref="X592:AG592"/>
    <mergeCell ref="D590:M590"/>
    <mergeCell ref="N590:W590"/>
    <mergeCell ref="X590:AG590"/>
    <mergeCell ref="D591:M591"/>
    <mergeCell ref="D604:M604"/>
    <mergeCell ref="D603:M603"/>
    <mergeCell ref="N603:W603"/>
    <mergeCell ref="N604:W604"/>
    <mergeCell ref="N605:W605"/>
    <mergeCell ref="N606:W606"/>
    <mergeCell ref="N610:W610"/>
    <mergeCell ref="N611:W611"/>
    <mergeCell ref="X593:AG593"/>
    <mergeCell ref="D589:M589"/>
    <mergeCell ref="N589:W589"/>
    <mergeCell ref="X589:AG589"/>
    <mergeCell ref="D596:AG596"/>
    <mergeCell ref="K644:M644"/>
    <mergeCell ref="R644:U644"/>
    <mergeCell ref="X619:AG619"/>
    <mergeCell ref="X613:AG613"/>
    <mergeCell ref="X615:AG615"/>
    <mergeCell ref="N616:W616"/>
    <mergeCell ref="N617:W617"/>
    <mergeCell ref="X616:AG616"/>
    <mergeCell ref="X617:AG617"/>
    <mergeCell ref="X618:AG618"/>
    <mergeCell ref="N614:W614"/>
    <mergeCell ref="N615:W615"/>
    <mergeCell ref="D608:M608"/>
    <mergeCell ref="D607:M607"/>
    <mergeCell ref="D606:M606"/>
    <mergeCell ref="D605:M605"/>
    <mergeCell ref="D611:M611"/>
    <mergeCell ref="X608:AG608"/>
    <mergeCell ref="X609:AG609"/>
    <mergeCell ref="D616:M616"/>
    <mergeCell ref="D615:M615"/>
    <mergeCell ref="D614:M614"/>
    <mergeCell ref="D613:M613"/>
    <mergeCell ref="D612:M612"/>
    <mergeCell ref="D628:M628"/>
    <mergeCell ref="N628:W628"/>
    <mergeCell ref="X628:AG628"/>
    <mergeCell ref="D631:M631"/>
    <mergeCell ref="N631:W631"/>
    <mergeCell ref="X631:AG631"/>
    <mergeCell ref="D630:M630"/>
    <mergeCell ref="N630:W630"/>
    <mergeCell ref="X630:AG630"/>
    <mergeCell ref="R707:U707"/>
    <mergeCell ref="V704:Y704"/>
    <mergeCell ref="Z704:AC704"/>
    <mergeCell ref="AD704:AG704"/>
    <mergeCell ref="D689:AE689"/>
    <mergeCell ref="D691:M691"/>
    <mergeCell ref="N691:W691"/>
    <mergeCell ref="X691:AG691"/>
    <mergeCell ref="D692:M692"/>
    <mergeCell ref="N692:W692"/>
    <mergeCell ref="X692:AG692"/>
    <mergeCell ref="D671:AG687"/>
    <mergeCell ref="D659:M659"/>
    <mergeCell ref="N659:W659"/>
    <mergeCell ref="X659:AG659"/>
    <mergeCell ref="D656:M656"/>
    <mergeCell ref="N656:W656"/>
    <mergeCell ref="X656:AG656"/>
    <mergeCell ref="D654:M654"/>
    <mergeCell ref="N654:W654"/>
    <mergeCell ref="X654:AG654"/>
    <mergeCell ref="X657:AG657"/>
    <mergeCell ref="N657:W657"/>
    <mergeCell ref="D657:M657"/>
    <mergeCell ref="D658:M658"/>
    <mergeCell ref="D624:AG624"/>
    <mergeCell ref="D632:M632"/>
    <mergeCell ref="N632:W632"/>
    <mergeCell ref="X632:AG632"/>
    <mergeCell ref="D633:M633"/>
    <mergeCell ref="N633:W633"/>
    <mergeCell ref="X633:AG633"/>
    <mergeCell ref="D638:AG638"/>
    <mergeCell ref="D640:J640"/>
    <mergeCell ref="D643:AG643"/>
    <mergeCell ref="D644:J644"/>
    <mergeCell ref="K642:M642"/>
    <mergeCell ref="AP714:AQ714"/>
    <mergeCell ref="R720:U720"/>
    <mergeCell ref="R721:U721"/>
    <mergeCell ref="R722:U722"/>
    <mergeCell ref="R723:U723"/>
    <mergeCell ref="R724:U724"/>
    <mergeCell ref="V716:Y716"/>
    <mergeCell ref="V717:Y717"/>
    <mergeCell ref="V718:Y718"/>
    <mergeCell ref="V719:Y719"/>
    <mergeCell ref="V720:Y720"/>
    <mergeCell ref="V721:Y721"/>
    <mergeCell ref="V722:Y722"/>
    <mergeCell ref="V723:Y723"/>
    <mergeCell ref="V724:Y724"/>
    <mergeCell ref="D714:M715"/>
    <mergeCell ref="AD715:AG715"/>
    <mergeCell ref="Z715:AC715"/>
    <mergeCell ref="V715:Y715"/>
    <mergeCell ref="R715:U715"/>
    <mergeCell ref="N715:Q715"/>
    <mergeCell ref="N714:Q714"/>
    <mergeCell ref="R714:Y714"/>
    <mergeCell ref="Z714:AG714"/>
    <mergeCell ref="D724:M724"/>
    <mergeCell ref="D723:M723"/>
    <mergeCell ref="D722:M722"/>
    <mergeCell ref="D721:M721"/>
    <mergeCell ref="D720:M720"/>
    <mergeCell ref="D719:M719"/>
    <mergeCell ref="D718:M718"/>
    <mergeCell ref="D717:M717"/>
    <mergeCell ref="AR714:AS714"/>
    <mergeCell ref="D710:AG710"/>
    <mergeCell ref="D727:AG727"/>
    <mergeCell ref="D731:M732"/>
    <mergeCell ref="N731:W732"/>
    <mergeCell ref="X731:AG732"/>
    <mergeCell ref="AJ714:AK714"/>
    <mergeCell ref="AL714:AM714"/>
    <mergeCell ref="D733:M733"/>
    <mergeCell ref="N733:W733"/>
    <mergeCell ref="X733:AG733"/>
    <mergeCell ref="D734:M734"/>
    <mergeCell ref="N734:W734"/>
    <mergeCell ref="X734:AG734"/>
    <mergeCell ref="D735:M735"/>
    <mergeCell ref="N735:W735"/>
    <mergeCell ref="X735:AG735"/>
    <mergeCell ref="Z716:AC716"/>
    <mergeCell ref="Z717:AC717"/>
    <mergeCell ref="Z718:AC718"/>
    <mergeCell ref="Z719:AC719"/>
    <mergeCell ref="Z720:AC720"/>
    <mergeCell ref="Z721:AC721"/>
    <mergeCell ref="Z722:AC722"/>
    <mergeCell ref="Z723:AC723"/>
    <mergeCell ref="Z724:AC724"/>
    <mergeCell ref="AD716:AG716"/>
    <mergeCell ref="AD717:AG717"/>
    <mergeCell ref="AD718:AG718"/>
    <mergeCell ref="AD719:AG719"/>
    <mergeCell ref="N718:Q718"/>
    <mergeCell ref="N717:Q717"/>
    <mergeCell ref="D244:I244"/>
    <mergeCell ref="D254:I254"/>
    <mergeCell ref="D252:I252"/>
    <mergeCell ref="J248:L248"/>
    <mergeCell ref="J247:L247"/>
    <mergeCell ref="J246:L246"/>
    <mergeCell ref="J245:L245"/>
    <mergeCell ref="J244:L244"/>
    <mergeCell ref="M244:O244"/>
    <mergeCell ref="S248:U248"/>
    <mergeCell ref="M245:O245"/>
    <mergeCell ref="M246:O246"/>
    <mergeCell ref="M247:O247"/>
    <mergeCell ref="M248:O248"/>
    <mergeCell ref="D251:I251"/>
    <mergeCell ref="P244:R244"/>
    <mergeCell ref="P245:R245"/>
    <mergeCell ref="P246:R246"/>
    <mergeCell ref="P247:R247"/>
    <mergeCell ref="P248:R248"/>
    <mergeCell ref="S244:U244"/>
    <mergeCell ref="S245:U245"/>
    <mergeCell ref="S246:U246"/>
    <mergeCell ref="S247:U247"/>
    <mergeCell ref="J250:L250"/>
    <mergeCell ref="D246:I246"/>
    <mergeCell ref="D245:I245"/>
    <mergeCell ref="D249:AG249"/>
    <mergeCell ref="D250:I250"/>
    <mergeCell ref="D247:I247"/>
    <mergeCell ref="AB252:AD252"/>
    <mergeCell ref="AB254:AD254"/>
    <mergeCell ref="D255:AG255"/>
    <mergeCell ref="AE262:AG262"/>
    <mergeCell ref="D258:I258"/>
    <mergeCell ref="D257:I257"/>
    <mergeCell ref="J262:L262"/>
    <mergeCell ref="J263:L263"/>
    <mergeCell ref="M262:O262"/>
    <mergeCell ref="M263:O263"/>
    <mergeCell ref="P262:R262"/>
    <mergeCell ref="P263:R263"/>
    <mergeCell ref="D253:I253"/>
    <mergeCell ref="AE256:AG256"/>
    <mergeCell ref="AE257:AG257"/>
    <mergeCell ref="AE258:AG258"/>
    <mergeCell ref="AE260:AG260"/>
    <mergeCell ref="AB262:AD262"/>
    <mergeCell ref="AB263:AD263"/>
    <mergeCell ref="AB256:AD256"/>
    <mergeCell ref="AB257:AD257"/>
    <mergeCell ref="AI240:AP240"/>
    <mergeCell ref="AR240:AY240"/>
    <mergeCell ref="BA240:BH240"/>
    <mergeCell ref="D266:I267"/>
    <mergeCell ref="J266:AG266"/>
    <mergeCell ref="J267:L267"/>
    <mergeCell ref="M267:O267"/>
    <mergeCell ref="P267:R267"/>
    <mergeCell ref="S267:U267"/>
    <mergeCell ref="V267:X267"/>
    <mergeCell ref="Y267:AA267"/>
    <mergeCell ref="AB267:AD267"/>
    <mergeCell ref="AE267:AG267"/>
    <mergeCell ref="S258:U258"/>
    <mergeCell ref="S260:U260"/>
    <mergeCell ref="V256:X256"/>
    <mergeCell ref="V257:X257"/>
    <mergeCell ref="V258:X258"/>
    <mergeCell ref="V260:X260"/>
    <mergeCell ref="Y256:AA256"/>
    <mergeCell ref="Y257:AA257"/>
    <mergeCell ref="Y258:AA258"/>
    <mergeCell ref="AE263:AG263"/>
    <mergeCell ref="J251:L251"/>
    <mergeCell ref="J252:L252"/>
    <mergeCell ref="J254:L254"/>
    <mergeCell ref="J253:L253"/>
    <mergeCell ref="M253:O253"/>
    <mergeCell ref="P253:R253"/>
    <mergeCell ref="V244:X244"/>
    <mergeCell ref="V245:X245"/>
    <mergeCell ref="V252:X252"/>
    <mergeCell ref="S272:U272"/>
    <mergeCell ref="V272:X272"/>
    <mergeCell ref="Y272:AA272"/>
    <mergeCell ref="AB272:AD272"/>
    <mergeCell ref="AE272:AG272"/>
    <mergeCell ref="Y263:AA263"/>
    <mergeCell ref="D256:I256"/>
    <mergeCell ref="D260:I260"/>
    <mergeCell ref="D270:I270"/>
    <mergeCell ref="J270:L270"/>
    <mergeCell ref="M270:O270"/>
    <mergeCell ref="P270:R270"/>
    <mergeCell ref="S270:U270"/>
    <mergeCell ref="V270:X270"/>
    <mergeCell ref="S262:U262"/>
    <mergeCell ref="S263:U263"/>
    <mergeCell ref="Y270:AA270"/>
    <mergeCell ref="AB270:AD270"/>
    <mergeCell ref="AE270:AG270"/>
    <mergeCell ref="P260:R260"/>
    <mergeCell ref="S256:U256"/>
    <mergeCell ref="S257:U257"/>
    <mergeCell ref="Y260:AA260"/>
    <mergeCell ref="J260:L260"/>
    <mergeCell ref="M256:O256"/>
    <mergeCell ref="AB258:AD258"/>
    <mergeCell ref="D271:I271"/>
    <mergeCell ref="J271:L271"/>
    <mergeCell ref="M271:O271"/>
    <mergeCell ref="P271:R271"/>
    <mergeCell ref="S271:U271"/>
    <mergeCell ref="V271:X271"/>
    <mergeCell ref="Y271:AA271"/>
    <mergeCell ref="AB271:AD271"/>
    <mergeCell ref="AE271:AG271"/>
    <mergeCell ref="V263:X263"/>
    <mergeCell ref="Y262:AA262"/>
    <mergeCell ref="D261:AG261"/>
    <mergeCell ref="D259:I259"/>
    <mergeCell ref="J259:L259"/>
    <mergeCell ref="P258:R258"/>
    <mergeCell ref="P256:R256"/>
    <mergeCell ref="P257:R257"/>
    <mergeCell ref="V262:X262"/>
    <mergeCell ref="D263:I263"/>
    <mergeCell ref="D262:I262"/>
    <mergeCell ref="J256:L256"/>
    <mergeCell ref="J257:L257"/>
    <mergeCell ref="J258:L258"/>
    <mergeCell ref="AE259:AG259"/>
    <mergeCell ref="M257:O257"/>
    <mergeCell ref="M258:O258"/>
    <mergeCell ref="M260:O260"/>
    <mergeCell ref="M259:O259"/>
    <mergeCell ref="P259:R259"/>
    <mergeCell ref="S259:U259"/>
    <mergeCell ref="V259:X259"/>
    <mergeCell ref="Y259:AA259"/>
    <mergeCell ref="AB259:AD259"/>
    <mergeCell ref="D272:I272"/>
    <mergeCell ref="D276:I276"/>
    <mergeCell ref="J276:L276"/>
    <mergeCell ref="M276:O276"/>
    <mergeCell ref="P276:R276"/>
    <mergeCell ref="S276:U276"/>
    <mergeCell ref="V276:X276"/>
    <mergeCell ref="Y276:AA276"/>
    <mergeCell ref="AB276:AD276"/>
    <mergeCell ref="AE276:AG276"/>
    <mergeCell ref="D273:I273"/>
    <mergeCell ref="J273:L273"/>
    <mergeCell ref="M273:O273"/>
    <mergeCell ref="P273:R273"/>
    <mergeCell ref="S273:U273"/>
    <mergeCell ref="V273:X273"/>
    <mergeCell ref="Y273:AA273"/>
    <mergeCell ref="AB273:AD273"/>
    <mergeCell ref="AE273:AG273"/>
    <mergeCell ref="D274:AG274"/>
    <mergeCell ref="D275:I275"/>
    <mergeCell ref="J275:L275"/>
    <mergeCell ref="M275:O275"/>
    <mergeCell ref="P275:R275"/>
    <mergeCell ref="S275:U275"/>
    <mergeCell ref="V275:X275"/>
    <mergeCell ref="Y275:AA275"/>
    <mergeCell ref="AB275:AD275"/>
    <mergeCell ref="AE275:AG275"/>
    <mergeCell ref="J272:L272"/>
    <mergeCell ref="M272:O272"/>
    <mergeCell ref="P272:R272"/>
    <mergeCell ref="D277:I277"/>
    <mergeCell ref="J277:L277"/>
    <mergeCell ref="M277:O277"/>
    <mergeCell ref="P277:R277"/>
    <mergeCell ref="S277:U277"/>
    <mergeCell ref="V277:X277"/>
    <mergeCell ref="Y277:AA277"/>
    <mergeCell ref="AB277:AD277"/>
    <mergeCell ref="AE277:AG277"/>
    <mergeCell ref="D279:I279"/>
    <mergeCell ref="J279:L279"/>
    <mergeCell ref="M279:O279"/>
    <mergeCell ref="P279:R279"/>
    <mergeCell ref="S279:U279"/>
    <mergeCell ref="V279:X279"/>
    <mergeCell ref="Y279:AA279"/>
    <mergeCell ref="AB279:AD279"/>
    <mergeCell ref="AE279:AG279"/>
    <mergeCell ref="AB278:AD278"/>
    <mergeCell ref="AE278:AG278"/>
    <mergeCell ref="V278:X278"/>
    <mergeCell ref="Y278:AA278"/>
    <mergeCell ref="D278:I278"/>
    <mergeCell ref="J278:L278"/>
    <mergeCell ref="M278:O278"/>
    <mergeCell ref="P278:R278"/>
    <mergeCell ref="S278:U278"/>
    <mergeCell ref="D280:AG280"/>
    <mergeCell ref="D281:I281"/>
    <mergeCell ref="J281:L281"/>
    <mergeCell ref="M281:O281"/>
    <mergeCell ref="P281:R281"/>
    <mergeCell ref="S281:U281"/>
    <mergeCell ref="V281:X281"/>
    <mergeCell ref="Y281:AA281"/>
    <mergeCell ref="AB281:AD281"/>
    <mergeCell ref="AE281:AG281"/>
    <mergeCell ref="D282:I282"/>
    <mergeCell ref="J282:L282"/>
    <mergeCell ref="M282:O282"/>
    <mergeCell ref="P282:R282"/>
    <mergeCell ref="S282:U282"/>
    <mergeCell ref="V282:X282"/>
    <mergeCell ref="Y282:AA282"/>
    <mergeCell ref="AB282:AD282"/>
    <mergeCell ref="AE282:AG282"/>
    <mergeCell ref="D283:I283"/>
    <mergeCell ref="J283:L283"/>
    <mergeCell ref="M283:O283"/>
    <mergeCell ref="P283:R283"/>
    <mergeCell ref="S283:U283"/>
    <mergeCell ref="V283:X283"/>
    <mergeCell ref="Y283:AA283"/>
    <mergeCell ref="AB283:AD283"/>
    <mergeCell ref="AE283:AG283"/>
    <mergeCell ref="D285:I285"/>
    <mergeCell ref="J285:L285"/>
    <mergeCell ref="M285:O285"/>
    <mergeCell ref="P285:R285"/>
    <mergeCell ref="S285:U285"/>
    <mergeCell ref="V285:X285"/>
    <mergeCell ref="Y285:AA285"/>
    <mergeCell ref="AB285:AD285"/>
    <mergeCell ref="AE285:AG285"/>
    <mergeCell ref="AB284:AD284"/>
    <mergeCell ref="AE284:AG284"/>
    <mergeCell ref="J284:L284"/>
    <mergeCell ref="M284:O284"/>
    <mergeCell ref="P284:R284"/>
    <mergeCell ref="S284:U284"/>
    <mergeCell ref="V284:X284"/>
    <mergeCell ref="Y284:AA284"/>
    <mergeCell ref="D284:I284"/>
    <mergeCell ref="D286:AG286"/>
    <mergeCell ref="D287:I287"/>
    <mergeCell ref="J287:L287"/>
    <mergeCell ref="M287:O287"/>
    <mergeCell ref="P287:R287"/>
    <mergeCell ref="S287:U287"/>
    <mergeCell ref="V287:X287"/>
    <mergeCell ref="Y287:AA287"/>
    <mergeCell ref="AB287:AD287"/>
    <mergeCell ref="AE287:AG287"/>
    <mergeCell ref="D288:I288"/>
    <mergeCell ref="J288:L288"/>
    <mergeCell ref="M288:O288"/>
    <mergeCell ref="P288:R288"/>
    <mergeCell ref="S288:U288"/>
    <mergeCell ref="V288:X288"/>
    <mergeCell ref="Y288:AA288"/>
    <mergeCell ref="AB288:AD288"/>
    <mergeCell ref="AE288:AG288"/>
    <mergeCell ref="N311:P311"/>
    <mergeCell ref="Q311:S311"/>
    <mergeCell ref="T311:V311"/>
    <mergeCell ref="W311:Y311"/>
    <mergeCell ref="Z311:AB311"/>
    <mergeCell ref="AC311:AE311"/>
    <mergeCell ref="D297:AG297"/>
    <mergeCell ref="D299:AG299"/>
    <mergeCell ref="D308:G308"/>
    <mergeCell ref="H306:J306"/>
    <mergeCell ref="K306:M306"/>
    <mergeCell ref="N306:P306"/>
    <mergeCell ref="Q306:S306"/>
    <mergeCell ref="AF306:AH306"/>
    <mergeCell ref="AC306:AE306"/>
    <mergeCell ref="AC308:AE308"/>
    <mergeCell ref="Z308:AB308"/>
    <mergeCell ref="W308:Y308"/>
    <mergeCell ref="T308:V308"/>
    <mergeCell ref="Q308:S308"/>
    <mergeCell ref="N308:P308"/>
    <mergeCell ref="K308:M308"/>
    <mergeCell ref="H308:J308"/>
    <mergeCell ref="AF309:AH309"/>
    <mergeCell ref="W306:Y306"/>
    <mergeCell ref="T306:V306"/>
    <mergeCell ref="AF308:AH308"/>
    <mergeCell ref="Q316:S316"/>
    <mergeCell ref="T316:V316"/>
    <mergeCell ref="W316:Y316"/>
    <mergeCell ref="Z316:AB316"/>
    <mergeCell ref="AC316:AE316"/>
    <mergeCell ref="AF316:AH316"/>
    <mergeCell ref="D309:G309"/>
    <mergeCell ref="H310:J310"/>
    <mergeCell ref="K310:M310"/>
    <mergeCell ref="N310:P310"/>
    <mergeCell ref="Q310:S310"/>
    <mergeCell ref="T310:V310"/>
    <mergeCell ref="W310:Y310"/>
    <mergeCell ref="Z310:AB310"/>
    <mergeCell ref="AC310:AE310"/>
    <mergeCell ref="AF310:AH310"/>
    <mergeCell ref="Z309:AB309"/>
    <mergeCell ref="AC309:AE309"/>
    <mergeCell ref="K312:M312"/>
    <mergeCell ref="N312:P312"/>
    <mergeCell ref="AC312:AE312"/>
    <mergeCell ref="AF312:AH312"/>
    <mergeCell ref="K309:M309"/>
    <mergeCell ref="N309:P309"/>
    <mergeCell ref="Q309:S309"/>
    <mergeCell ref="W312:Y312"/>
    <mergeCell ref="Z312:AB312"/>
    <mergeCell ref="T312:V312"/>
    <mergeCell ref="D312:G312"/>
    <mergeCell ref="D311:G311"/>
    <mergeCell ref="H311:J311"/>
    <mergeCell ref="K311:M311"/>
    <mergeCell ref="AF320:AH320"/>
    <mergeCell ref="H320:J320"/>
    <mergeCell ref="K320:M320"/>
    <mergeCell ref="N320:P320"/>
    <mergeCell ref="Q320:S320"/>
    <mergeCell ref="T320:V320"/>
    <mergeCell ref="H321:J321"/>
    <mergeCell ref="K321:M321"/>
    <mergeCell ref="N321:P321"/>
    <mergeCell ref="Q321:S321"/>
    <mergeCell ref="AC321:AE321"/>
    <mergeCell ref="AC318:AE318"/>
    <mergeCell ref="AF318:AH318"/>
    <mergeCell ref="Q317:S317"/>
    <mergeCell ref="AF311:AH311"/>
    <mergeCell ref="H312:J312"/>
    <mergeCell ref="D310:G310"/>
    <mergeCell ref="T317:V317"/>
    <mergeCell ref="W317:Y317"/>
    <mergeCell ref="AF317:AH317"/>
    <mergeCell ref="AC317:AE317"/>
    <mergeCell ref="D315:G315"/>
    <mergeCell ref="D314:G314"/>
    <mergeCell ref="H315:J315"/>
    <mergeCell ref="K315:M315"/>
    <mergeCell ref="N315:P315"/>
    <mergeCell ref="Q315:S315"/>
    <mergeCell ref="T315:V315"/>
    <mergeCell ref="W315:Y315"/>
    <mergeCell ref="Z315:AB315"/>
    <mergeCell ref="AC315:AE315"/>
    <mergeCell ref="Z314:AB314"/>
    <mergeCell ref="D318:G318"/>
    <mergeCell ref="T324:V324"/>
    <mergeCell ref="W324:Y324"/>
    <mergeCell ref="Z333:AB333"/>
    <mergeCell ref="W320:Y320"/>
    <mergeCell ref="Z320:AB320"/>
    <mergeCell ref="Z326:AB326"/>
    <mergeCell ref="Q327:S327"/>
    <mergeCell ref="T327:V327"/>
    <mergeCell ref="W327:Y327"/>
    <mergeCell ref="Z327:AB327"/>
    <mergeCell ref="Q333:S333"/>
    <mergeCell ref="AC333:AE333"/>
    <mergeCell ref="AC327:AE327"/>
    <mergeCell ref="H318:J318"/>
    <mergeCell ref="K318:M318"/>
    <mergeCell ref="N318:P318"/>
    <mergeCell ref="AC320:AE320"/>
    <mergeCell ref="T333:V333"/>
    <mergeCell ref="W333:Y333"/>
    <mergeCell ref="N326:P326"/>
    <mergeCell ref="Q326:S326"/>
    <mergeCell ref="T326:V326"/>
    <mergeCell ref="W326:Y326"/>
    <mergeCell ref="D333:G333"/>
    <mergeCell ref="H333:J333"/>
    <mergeCell ref="K333:M333"/>
    <mergeCell ref="N333:P333"/>
    <mergeCell ref="K324:M324"/>
    <mergeCell ref="N324:P324"/>
    <mergeCell ref="Q324:S324"/>
    <mergeCell ref="Z335:AB335"/>
    <mergeCell ref="AC335:AE335"/>
    <mergeCell ref="D322:G322"/>
    <mergeCell ref="D324:G324"/>
    <mergeCell ref="H322:J322"/>
    <mergeCell ref="AF321:AH321"/>
    <mergeCell ref="D339:G339"/>
    <mergeCell ref="H339:J339"/>
    <mergeCell ref="AF327:AH327"/>
    <mergeCell ref="AF326:AH326"/>
    <mergeCell ref="D327:G327"/>
    <mergeCell ref="AC326:AE326"/>
    <mergeCell ref="AF314:AH314"/>
    <mergeCell ref="K322:M322"/>
    <mergeCell ref="N322:P322"/>
    <mergeCell ref="Q322:S322"/>
    <mergeCell ref="T322:V322"/>
    <mergeCell ref="W322:Y322"/>
    <mergeCell ref="Z322:AB322"/>
    <mergeCell ref="AC322:AE322"/>
    <mergeCell ref="AF322:AH322"/>
    <mergeCell ref="K334:M334"/>
    <mergeCell ref="N334:P334"/>
    <mergeCell ref="Q334:S334"/>
    <mergeCell ref="T334:V334"/>
    <mergeCell ref="W334:Y334"/>
    <mergeCell ref="Z334:AB334"/>
    <mergeCell ref="AC334:AE334"/>
    <mergeCell ref="AF334:AH334"/>
    <mergeCell ref="Q318:S318"/>
    <mergeCell ref="T318:V318"/>
    <mergeCell ref="W318:Y318"/>
    <mergeCell ref="Z318:AB318"/>
    <mergeCell ref="N327:P327"/>
    <mergeCell ref="T321:V321"/>
    <mergeCell ref="W321:Y321"/>
    <mergeCell ref="H324:J324"/>
    <mergeCell ref="Z321:AB321"/>
    <mergeCell ref="D336:G336"/>
    <mergeCell ref="AF333:AH333"/>
    <mergeCell ref="D305:G306"/>
    <mergeCell ref="D325:AH325"/>
    <mergeCell ref="D319:AH319"/>
    <mergeCell ref="D313:AH313"/>
    <mergeCell ref="D307:AH307"/>
    <mergeCell ref="D330:G331"/>
    <mergeCell ref="H330:AH330"/>
    <mergeCell ref="H331:J331"/>
    <mergeCell ref="K331:M331"/>
    <mergeCell ref="N331:P331"/>
    <mergeCell ref="Q331:S331"/>
    <mergeCell ref="T331:V331"/>
    <mergeCell ref="W331:Y331"/>
    <mergeCell ref="Z331:AB331"/>
    <mergeCell ref="AC331:AE331"/>
    <mergeCell ref="AF331:AH331"/>
    <mergeCell ref="H309:J309"/>
    <mergeCell ref="D321:G321"/>
    <mergeCell ref="D320:G320"/>
    <mergeCell ref="D335:G335"/>
    <mergeCell ref="Q312:S312"/>
    <mergeCell ref="Z306:AB306"/>
    <mergeCell ref="D334:G334"/>
    <mergeCell ref="H334:J334"/>
    <mergeCell ref="D332:AH332"/>
    <mergeCell ref="Z324:AB324"/>
    <mergeCell ref="AC324:AE324"/>
    <mergeCell ref="AF324:AH324"/>
    <mergeCell ref="H326:J326"/>
    <mergeCell ref="K326:M326"/>
    <mergeCell ref="K336:M336"/>
    <mergeCell ref="N336:P336"/>
    <mergeCell ref="D345:G345"/>
    <mergeCell ref="H345:J345"/>
    <mergeCell ref="Q342:S342"/>
    <mergeCell ref="Q340:S340"/>
    <mergeCell ref="T341:V341"/>
    <mergeCell ref="Q337:S337"/>
    <mergeCell ref="D338:AH338"/>
    <mergeCell ref="D337:G337"/>
    <mergeCell ref="H337:J337"/>
    <mergeCell ref="N337:P337"/>
    <mergeCell ref="T337:V337"/>
    <mergeCell ref="AC337:AE337"/>
    <mergeCell ref="AF337:AH337"/>
    <mergeCell ref="K337:M337"/>
    <mergeCell ref="D343:G343"/>
    <mergeCell ref="H343:J343"/>
    <mergeCell ref="D340:G340"/>
    <mergeCell ref="Z340:AB340"/>
    <mergeCell ref="AC340:AE340"/>
    <mergeCell ref="W337:Y337"/>
    <mergeCell ref="Z337:AB337"/>
    <mergeCell ref="T340:V340"/>
    <mergeCell ref="W340:Y340"/>
    <mergeCell ref="Q345:S345"/>
    <mergeCell ref="Z343:AB343"/>
    <mergeCell ref="AC343:AE343"/>
    <mergeCell ref="AF343:AH343"/>
    <mergeCell ref="Z345:AB345"/>
    <mergeCell ref="AC345:AE345"/>
    <mergeCell ref="N339:P339"/>
    <mergeCell ref="D326:G326"/>
    <mergeCell ref="H327:J327"/>
    <mergeCell ref="K327:M327"/>
    <mergeCell ref="H335:J335"/>
    <mergeCell ref="K335:M335"/>
    <mergeCell ref="N335:P335"/>
    <mergeCell ref="Q335:S335"/>
    <mergeCell ref="T336:V336"/>
    <mergeCell ref="W336:Y336"/>
    <mergeCell ref="Z336:AB336"/>
    <mergeCell ref="AI304:AQ304"/>
    <mergeCell ref="AS304:BA304"/>
    <mergeCell ref="BC304:BK304"/>
    <mergeCell ref="D349:G349"/>
    <mergeCell ref="H349:J349"/>
    <mergeCell ref="K349:M349"/>
    <mergeCell ref="N349:P349"/>
    <mergeCell ref="D323:G323"/>
    <mergeCell ref="H323:J323"/>
    <mergeCell ref="K323:M323"/>
    <mergeCell ref="N323:P323"/>
    <mergeCell ref="Q323:S323"/>
    <mergeCell ref="T323:V323"/>
    <mergeCell ref="W323:Y323"/>
    <mergeCell ref="Z323:AB323"/>
    <mergeCell ref="AC323:AE323"/>
    <mergeCell ref="AF323:AH323"/>
    <mergeCell ref="D342:G342"/>
    <mergeCell ref="H342:J342"/>
    <mergeCell ref="K342:M342"/>
    <mergeCell ref="AF348:AH348"/>
    <mergeCell ref="K339:M339"/>
    <mergeCell ref="N33:R33"/>
    <mergeCell ref="S33:W33"/>
    <mergeCell ref="D34:M34"/>
    <mergeCell ref="N34:R34"/>
    <mergeCell ref="S34:W34"/>
    <mergeCell ref="X34:AB34"/>
    <mergeCell ref="AC34:AG34"/>
    <mergeCell ref="D35:M35"/>
    <mergeCell ref="N35:R35"/>
    <mergeCell ref="S35:W35"/>
    <mergeCell ref="X35:AB35"/>
    <mergeCell ref="AC35:AG35"/>
    <mergeCell ref="H305:AH305"/>
    <mergeCell ref="T309:V309"/>
    <mergeCell ref="W309:Y309"/>
    <mergeCell ref="AF315:AH315"/>
    <mergeCell ref="Z317:AB317"/>
    <mergeCell ref="H317:J317"/>
    <mergeCell ref="K317:M317"/>
    <mergeCell ref="N317:P317"/>
    <mergeCell ref="H314:J314"/>
    <mergeCell ref="K314:M314"/>
    <mergeCell ref="AC314:AE314"/>
    <mergeCell ref="N314:P314"/>
    <mergeCell ref="Q314:S314"/>
    <mergeCell ref="T314:V314"/>
    <mergeCell ref="W314:Y314"/>
    <mergeCell ref="D317:G317"/>
    <mergeCell ref="D316:G316"/>
    <mergeCell ref="H316:J316"/>
    <mergeCell ref="K316:M316"/>
    <mergeCell ref="N316:P316"/>
    <mergeCell ref="D875:M875"/>
    <mergeCell ref="D874:M874"/>
    <mergeCell ref="N724:Q724"/>
    <mergeCell ref="N348:P348"/>
    <mergeCell ref="Q348:S348"/>
    <mergeCell ref="T348:V348"/>
    <mergeCell ref="W348:Y348"/>
    <mergeCell ref="W347:Y347"/>
    <mergeCell ref="AC347:AE347"/>
    <mergeCell ref="Q341:S341"/>
    <mergeCell ref="K348:M348"/>
    <mergeCell ref="H340:J340"/>
    <mergeCell ref="K340:M340"/>
    <mergeCell ref="N340:P340"/>
    <mergeCell ref="D768:M768"/>
    <mergeCell ref="D745:M745"/>
    <mergeCell ref="Q336:S336"/>
    <mergeCell ref="D344:AH344"/>
    <mergeCell ref="W341:Y341"/>
    <mergeCell ref="Z339:AB339"/>
    <mergeCell ref="W339:Y339"/>
    <mergeCell ref="D341:G341"/>
    <mergeCell ref="H341:J341"/>
    <mergeCell ref="AC339:AE339"/>
    <mergeCell ref="AF339:AH339"/>
    <mergeCell ref="Z349:AB349"/>
    <mergeCell ref="D346:G346"/>
    <mergeCell ref="H346:J346"/>
    <mergeCell ref="K346:M346"/>
    <mergeCell ref="AC336:AE336"/>
    <mergeCell ref="AF336:AH336"/>
    <mergeCell ref="H336:J336"/>
    <mergeCell ref="AC557:AG557"/>
    <mergeCell ref="T335:V335"/>
    <mergeCell ref="N881:Q881"/>
    <mergeCell ref="R881:U881"/>
    <mergeCell ref="V881:Y881"/>
    <mergeCell ref="Z881:AC881"/>
    <mergeCell ref="AD881:AG881"/>
    <mergeCell ref="N811:W811"/>
    <mergeCell ref="X811:AG811"/>
    <mergeCell ref="N812:W812"/>
    <mergeCell ref="X812:AG812"/>
    <mergeCell ref="N739:W739"/>
    <mergeCell ref="X739:AG739"/>
    <mergeCell ref="X773:AG773"/>
    <mergeCell ref="X741:AG741"/>
    <mergeCell ref="N742:W742"/>
    <mergeCell ref="X742:AG742"/>
    <mergeCell ref="AF335:AH335"/>
    <mergeCell ref="W335:Y335"/>
    <mergeCell ref="Z346:AB346"/>
    <mergeCell ref="AC346:AE346"/>
    <mergeCell ref="AF346:AH346"/>
    <mergeCell ref="W346:Y346"/>
    <mergeCell ref="Q339:S339"/>
    <mergeCell ref="T339:V339"/>
    <mergeCell ref="N607:W607"/>
    <mergeCell ref="N609:W609"/>
    <mergeCell ref="N618:W618"/>
    <mergeCell ref="N620:W620"/>
    <mergeCell ref="N591:W591"/>
    <mergeCell ref="X591:AG591"/>
    <mergeCell ref="X610:AG610"/>
    <mergeCell ref="T342:V342"/>
    <mergeCell ref="W342:Y342"/>
    <mergeCell ref="Z342:AB342"/>
    <mergeCell ref="AC342:AE342"/>
    <mergeCell ref="AF342:AH342"/>
    <mergeCell ref="N346:P346"/>
    <mergeCell ref="Z348:AB348"/>
    <mergeCell ref="Z347:AB347"/>
    <mergeCell ref="K343:M343"/>
    <mergeCell ref="N343:P343"/>
    <mergeCell ref="Q343:S343"/>
    <mergeCell ref="T343:V343"/>
    <mergeCell ref="Q346:S346"/>
    <mergeCell ref="K345:M345"/>
    <mergeCell ref="N345:P345"/>
    <mergeCell ref="AF345:AH345"/>
    <mergeCell ref="T345:V345"/>
    <mergeCell ref="W345:Y345"/>
    <mergeCell ref="T346:V346"/>
    <mergeCell ref="N342:P342"/>
    <mergeCell ref="W343:Y343"/>
    <mergeCell ref="D749:M750"/>
    <mergeCell ref="H352:J352"/>
    <mergeCell ref="I569:M569"/>
    <mergeCell ref="N569:R569"/>
    <mergeCell ref="S569:W569"/>
    <mergeCell ref="X569:AB569"/>
    <mergeCell ref="AC569:AG569"/>
    <mergeCell ref="D736:M736"/>
    <mergeCell ref="N736:W736"/>
    <mergeCell ref="X736:AG736"/>
    <mergeCell ref="D737:M737"/>
    <mergeCell ref="N737:W737"/>
    <mergeCell ref="X737:AG737"/>
    <mergeCell ref="D738:M738"/>
    <mergeCell ref="N738:W738"/>
    <mergeCell ref="X738:AG738"/>
    <mergeCell ref="D739:M739"/>
    <mergeCell ref="D740:M740"/>
    <mergeCell ref="N740:W740"/>
    <mergeCell ref="X744:AG744"/>
    <mergeCell ref="N745:W745"/>
    <mergeCell ref="X745:AG745"/>
    <mergeCell ref="N352:P352"/>
    <mergeCell ref="D352:G352"/>
    <mergeCell ref="AD707:AG707"/>
    <mergeCell ref="N658:W658"/>
    <mergeCell ref="X658:AG658"/>
    <mergeCell ref="D705:I705"/>
    <mergeCell ref="J707:M707"/>
    <mergeCell ref="J706:M706"/>
    <mergeCell ref="N744:W744"/>
    <mergeCell ref="D560:AG560"/>
    <mergeCell ref="K352:M352"/>
    <mergeCell ref="AD722:AG722"/>
    <mergeCell ref="AD723:AG723"/>
    <mergeCell ref="N716:Q716"/>
    <mergeCell ref="V644:Y644"/>
    <mergeCell ref="Z644:AC644"/>
    <mergeCell ref="J703:Q703"/>
    <mergeCell ref="X768:AG768"/>
    <mergeCell ref="D793:M793"/>
    <mergeCell ref="D744:M744"/>
    <mergeCell ref="D743:M743"/>
    <mergeCell ref="D742:M742"/>
    <mergeCell ref="N809:W809"/>
    <mergeCell ref="N755:W755"/>
    <mergeCell ref="T351:V351"/>
    <mergeCell ref="W351:Y351"/>
    <mergeCell ref="Z351:AB351"/>
    <mergeCell ref="AC351:AE351"/>
    <mergeCell ref="AF351:AH351"/>
    <mergeCell ref="X757:AG757"/>
    <mergeCell ref="D760:AG760"/>
    <mergeCell ref="D716:M716"/>
    <mergeCell ref="N719:Q719"/>
    <mergeCell ref="N720:Q720"/>
    <mergeCell ref="N721:Q721"/>
    <mergeCell ref="N722:Q722"/>
    <mergeCell ref="N723:Q723"/>
    <mergeCell ref="N749:W750"/>
    <mergeCell ref="X749:AG750"/>
    <mergeCell ref="D751:M751"/>
    <mergeCell ref="N751:W751"/>
    <mergeCell ref="D747:AG747"/>
    <mergeCell ref="N768:W768"/>
    <mergeCell ref="S558:W558"/>
    <mergeCell ref="X558:AB558"/>
    <mergeCell ref="AC558:AG558"/>
    <mergeCell ref="D565:H565"/>
    <mergeCell ref="I565:M565"/>
    <mergeCell ref="N565:R565"/>
    <mergeCell ref="D753:M753"/>
    <mergeCell ref="N753:W753"/>
    <mergeCell ref="X753:AG753"/>
    <mergeCell ref="D754:M754"/>
    <mergeCell ref="N754:W754"/>
    <mergeCell ref="X754:AG754"/>
    <mergeCell ref="D757:M757"/>
    <mergeCell ref="X755:AG755"/>
    <mergeCell ref="D756:M756"/>
    <mergeCell ref="N756:W756"/>
    <mergeCell ref="X756:AG756"/>
    <mergeCell ref="N757:W757"/>
    <mergeCell ref="X740:AG740"/>
    <mergeCell ref="D741:M741"/>
    <mergeCell ref="AD724:AG724"/>
    <mergeCell ref="N741:W741"/>
    <mergeCell ref="R703:Y703"/>
    <mergeCell ref="Z703:AG703"/>
    <mergeCell ref="V707:Y707"/>
    <mergeCell ref="Z705:AC705"/>
    <mergeCell ref="Z706:AC706"/>
    <mergeCell ref="Z707:AC707"/>
    <mergeCell ref="AD705:AG705"/>
    <mergeCell ref="AD706:AG706"/>
    <mergeCell ref="D755:M755"/>
    <mergeCell ref="R716:U716"/>
    <mergeCell ref="AD720:AG720"/>
    <mergeCell ref="AD721:AG721"/>
    <mergeCell ref="D619:M619"/>
    <mergeCell ref="N619:W619"/>
    <mergeCell ref="D545:AG545"/>
    <mergeCell ref="H348:J348"/>
    <mergeCell ref="Z352:AB352"/>
    <mergeCell ref="AC352:AE352"/>
    <mergeCell ref="D752:M752"/>
    <mergeCell ref="N752:W752"/>
    <mergeCell ref="X752:AG752"/>
    <mergeCell ref="R717:U717"/>
    <mergeCell ref="R718:U718"/>
    <mergeCell ref="R719:U719"/>
    <mergeCell ref="Q349:S349"/>
    <mergeCell ref="T349:V349"/>
    <mergeCell ref="W349:Y349"/>
    <mergeCell ref="AF349:AH349"/>
    <mergeCell ref="J705:M705"/>
    <mergeCell ref="N705:Q705"/>
    <mergeCell ref="N706:Q706"/>
    <mergeCell ref="N707:Q707"/>
    <mergeCell ref="R705:U705"/>
    <mergeCell ref="R706:U706"/>
    <mergeCell ref="AF352:AH352"/>
    <mergeCell ref="D348:G348"/>
    <mergeCell ref="AC348:AE348"/>
    <mergeCell ref="Q352:S352"/>
    <mergeCell ref="T352:V352"/>
    <mergeCell ref="W352:Y352"/>
    <mergeCell ref="X751:AG751"/>
    <mergeCell ref="D347:G347"/>
    <mergeCell ref="H347:J347"/>
    <mergeCell ref="K347:M347"/>
    <mergeCell ref="N347:P347"/>
    <mergeCell ref="N743:W743"/>
    <mergeCell ref="X743:AG743"/>
    <mergeCell ref="Z341:AB341"/>
    <mergeCell ref="AC341:AE341"/>
    <mergeCell ref="AF341:AH341"/>
    <mergeCell ref="K341:M341"/>
    <mergeCell ref="N341:P341"/>
    <mergeCell ref="AF340:AH340"/>
    <mergeCell ref="Q347:S347"/>
    <mergeCell ref="T347:V347"/>
    <mergeCell ref="AF347:AH347"/>
    <mergeCell ref="D350:AH350"/>
    <mergeCell ref="D569:H569"/>
    <mergeCell ref="AC349:AE349"/>
    <mergeCell ref="D351:G351"/>
    <mergeCell ref="H351:J351"/>
    <mergeCell ref="K351:M351"/>
    <mergeCell ref="N351:P351"/>
    <mergeCell ref="Q351:S351"/>
    <mergeCell ref="I568:M568"/>
    <mergeCell ref="N568:R568"/>
    <mergeCell ref="S568:W568"/>
    <mergeCell ref="X568:AB568"/>
    <mergeCell ref="AC568:AG568"/>
    <mergeCell ref="D554:H554"/>
    <mergeCell ref="D558:H558"/>
    <mergeCell ref="I558:M558"/>
    <mergeCell ref="N558:R558"/>
  </mergeCells>
  <conditionalFormatting sqref="AI385:AM388 AM386:AM391 AM423:AM428 AI428:AM428 AI392:AM392">
    <cfRule type="cellIs" dxfId="59" priority="417" operator="lessThan">
      <formula>0</formula>
    </cfRule>
    <cfRule type="cellIs" dxfId="58" priority="418" operator="greaterThan">
      <formula>0</formula>
    </cfRule>
    <cfRule type="cellIs" dxfId="57" priority="419" operator="lessThan">
      <formula>0</formula>
    </cfRule>
    <cfRule type="cellIs" dxfId="56" priority="420" operator="greaterThan">
      <formula>0</formula>
    </cfRule>
  </conditionalFormatting>
  <conditionalFormatting sqref="AO385:AO392 AO446:AO452 AO454:AO461 AI244:AP252 BA248:BH252 AI269:AP277 BA273:BH277 AR244:AY252 AI308:AQ316 AI333:AQ341 AS308:BA316 BC312:BK316 BC352:BK352 AR254:AY258 BA254:BH258 AI255:AP258 AI261:AP263 BA260:BH263 AR260:AY262 BA279:BH283 AI280:AP283 AI286:AP288 BA285:BH288 BC318:BK322 AS318:BA322 AI319:AQ322 AI325:AQ327 AS324:BA326 BC324:BK327 AI344:AQ347 AI350:AQ352 AL766:AM794">
    <cfRule type="cellIs" dxfId="55" priority="403" operator="lessThan">
      <formula>0</formula>
    </cfRule>
    <cfRule type="cellIs" dxfId="54" priority="404" operator="greaterThan">
      <formula>0</formula>
    </cfRule>
  </conditionalFormatting>
  <conditionalFormatting sqref="AK447:AM452 AM454:AM455 AK456:AM461 AL499:AM502 AO501:AP502 AL511:AM520 AO511:AP520 AM542:AM546 AL631:AM633 AO633:AP633 AI716:AM724 AO716:AS724 AL757:AM757 AO751:AP757 AL589:AM594 AO589:AP594 AO553:AO556 AM564:AM568 AO564:AO567 AO641:AP643 AL652:AM658 AO652:AP658 AO739:AP745 AM773:AM794 AL553:AM557 AL559:AL565 AO871:AO877 AL871:AM872 AL886:AM886 AO880:AO886 AM873:AM877 AM880:AM885 AL873:AL885">
    <cfRule type="cellIs" dxfId="53" priority="340" operator="lessThan">
      <formula>0</formula>
    </cfRule>
    <cfRule type="cellIs" dxfId="52" priority="341" operator="greaterThan">
      <formula>0</formula>
    </cfRule>
  </conditionalFormatting>
  <conditionalFormatting sqref="AO497:AP502 AM564:AM568 AM553:AM557 AM559:AM560">
    <cfRule type="cellIs" dxfId="51" priority="331" operator="lessThan">
      <formula>0</formula>
    </cfRule>
    <cfRule type="cellIs" dxfId="50" priority="332" operator="greaterThan">
      <formula>0</formula>
    </cfRule>
    <cfRule type="cellIs" priority="333" stopIfTrue="1" operator="greaterThan">
      <formula>0</formula>
    </cfRule>
    <cfRule type="cellIs" priority="334" stopIfTrue="1" operator="greaterThan">
      <formula>0</formula>
    </cfRule>
    <cfRule type="cellIs" priority="335" stopIfTrue="1" operator="greaterThan">
      <formula>0</formula>
    </cfRule>
  </conditionalFormatting>
  <conditionalFormatting sqref="AI253:AP253 AR253:AY253">
    <cfRule type="cellIs" dxfId="49" priority="59" operator="lessThan">
      <formula>0</formula>
    </cfRule>
    <cfRule type="cellIs" dxfId="48" priority="60" operator="greaterThan">
      <formula>0</formula>
    </cfRule>
  </conditionalFormatting>
  <conditionalFormatting sqref="AI259:AP259 AR259:AY259">
    <cfRule type="cellIs" dxfId="47" priority="57" operator="lessThan">
      <formula>0</formula>
    </cfRule>
    <cfRule type="cellIs" dxfId="46" priority="58" operator="greaterThan">
      <formula>0</formula>
    </cfRule>
  </conditionalFormatting>
  <conditionalFormatting sqref="AI254:AP254">
    <cfRule type="cellIs" dxfId="45" priority="55" operator="lessThan">
      <formula>0</formula>
    </cfRule>
    <cfRule type="cellIs" dxfId="44" priority="56" operator="greaterThan">
      <formula>0</formula>
    </cfRule>
  </conditionalFormatting>
  <conditionalFormatting sqref="AI260:AP260">
    <cfRule type="cellIs" dxfId="43" priority="53" operator="lessThan">
      <formula>0</formula>
    </cfRule>
    <cfRule type="cellIs" dxfId="42" priority="54" operator="greaterThan">
      <formula>0</formula>
    </cfRule>
  </conditionalFormatting>
  <conditionalFormatting sqref="AI278:AP278">
    <cfRule type="cellIs" dxfId="41" priority="51" operator="lessThan">
      <formula>0</formula>
    </cfRule>
    <cfRule type="cellIs" dxfId="40" priority="52" operator="greaterThan">
      <formula>0</formula>
    </cfRule>
  </conditionalFormatting>
  <conditionalFormatting sqref="AI284:AP284">
    <cfRule type="cellIs" dxfId="39" priority="49" operator="lessThan">
      <formula>0</formula>
    </cfRule>
    <cfRule type="cellIs" dxfId="38" priority="50" operator="greaterThan">
      <formula>0</formula>
    </cfRule>
  </conditionalFormatting>
  <conditionalFormatting sqref="AI279:AP279">
    <cfRule type="cellIs" dxfId="37" priority="47" operator="lessThan">
      <formula>0</formula>
    </cfRule>
    <cfRule type="cellIs" dxfId="36" priority="48" operator="greaterThan">
      <formula>0</formula>
    </cfRule>
  </conditionalFormatting>
  <conditionalFormatting sqref="AI285:AP285">
    <cfRule type="cellIs" dxfId="35" priority="45" operator="lessThan">
      <formula>0</formula>
    </cfRule>
    <cfRule type="cellIs" dxfId="34" priority="46" operator="greaterThan">
      <formula>0</formula>
    </cfRule>
  </conditionalFormatting>
  <conditionalFormatting sqref="AI317:AQ317 AS317:BA317">
    <cfRule type="cellIs" dxfId="33" priority="43" operator="lessThan">
      <formula>0</formula>
    </cfRule>
    <cfRule type="cellIs" dxfId="32" priority="44" operator="greaterThan">
      <formula>0</formula>
    </cfRule>
  </conditionalFormatting>
  <conditionalFormatting sqref="AI323:AQ323 AS323:BA323">
    <cfRule type="cellIs" dxfId="31" priority="41" operator="lessThan">
      <formula>0</formula>
    </cfRule>
    <cfRule type="cellIs" dxfId="30" priority="42" operator="greaterThan">
      <formula>0</formula>
    </cfRule>
  </conditionalFormatting>
  <conditionalFormatting sqref="AI318:AQ318">
    <cfRule type="cellIs" dxfId="29" priority="39" operator="lessThan">
      <formula>0</formula>
    </cfRule>
    <cfRule type="cellIs" dxfId="28" priority="40" operator="greaterThan">
      <formula>0</formula>
    </cfRule>
  </conditionalFormatting>
  <conditionalFormatting sqref="AI324:AQ324">
    <cfRule type="cellIs" dxfId="27" priority="37" operator="lessThan">
      <formula>0</formula>
    </cfRule>
    <cfRule type="cellIs" dxfId="26" priority="38" operator="greaterThan">
      <formula>0</formula>
    </cfRule>
  </conditionalFormatting>
  <conditionalFormatting sqref="AI342:AQ342">
    <cfRule type="cellIs" dxfId="25" priority="35" operator="lessThan">
      <formula>0</formula>
    </cfRule>
    <cfRule type="cellIs" dxfId="24" priority="36" operator="greaterThan">
      <formula>0</formula>
    </cfRule>
  </conditionalFormatting>
  <conditionalFormatting sqref="AI348:AQ348">
    <cfRule type="cellIs" dxfId="23" priority="33" operator="lessThan">
      <formula>0</formula>
    </cfRule>
    <cfRule type="cellIs" dxfId="22" priority="34" operator="greaterThan">
      <formula>0</formula>
    </cfRule>
  </conditionalFormatting>
  <conditionalFormatting sqref="AI343:AQ343">
    <cfRule type="cellIs" dxfId="21" priority="31" operator="lessThan">
      <formula>0</formula>
    </cfRule>
    <cfRule type="cellIs" dxfId="20" priority="32" operator="greaterThan">
      <formula>0</formula>
    </cfRule>
  </conditionalFormatting>
  <conditionalFormatting sqref="AI349:AQ349">
    <cfRule type="cellIs" dxfId="19" priority="29" operator="lessThan">
      <formula>0</formula>
    </cfRule>
    <cfRule type="cellIs" dxfId="18" priority="30" operator="greaterThan">
      <formula>0</formula>
    </cfRule>
  </conditionalFormatting>
  <conditionalFormatting sqref="AL812:AM812">
    <cfRule type="cellIs" dxfId="17" priority="17" operator="lessThan">
      <formula>0</formula>
    </cfRule>
    <cfRule type="cellIs" dxfId="16" priority="18" operator="greaterThan">
      <formula>0</formula>
    </cfRule>
  </conditionalFormatting>
  <conditionalFormatting sqref="AL807:AM812">
    <cfRule type="cellIs" dxfId="15" priority="24" operator="lessThan">
      <formula>0</formula>
    </cfRule>
    <cfRule type="cellIs" dxfId="14" priority="25" operator="greaterThan">
      <formula>0</formula>
    </cfRule>
  </conditionalFormatting>
  <conditionalFormatting sqref="AO766:AP773 AL772:AM772 AM766:AM771 AO830:AP841 AM807:AM811 AM891:AM906 AO807:AP812 AO891:AO906">
    <cfRule type="cellIs" dxfId="13" priority="22" operator="lessThan">
      <formula>0</formula>
    </cfRule>
    <cfRule type="cellIs" dxfId="12" priority="23" operator="greaterThan">
      <formula>0</formula>
    </cfRule>
  </conditionalFormatting>
  <conditionalFormatting sqref="AL807:AM812 AL766:AM794">
    <cfRule type="cellIs" priority="26" stopIfTrue="1" operator="greaterThan">
      <formula>0</formula>
    </cfRule>
  </conditionalFormatting>
  <conditionalFormatting sqref="AO807:AP812 AO766:AP794">
    <cfRule type="cellIs" dxfId="11" priority="19" operator="lessThan">
      <formula>0</formula>
    </cfRule>
    <cfRule type="cellIs" dxfId="10" priority="20" operator="greaterThan">
      <formula>0</formula>
    </cfRule>
    <cfRule type="cellIs" priority="21" stopIfTrue="1" operator="greaterThan">
      <formula>0</formula>
    </cfRule>
  </conditionalFormatting>
  <conditionalFormatting sqref="AM569">
    <cfRule type="cellIs" dxfId="9" priority="15" operator="lessThan">
      <formula>0</formula>
    </cfRule>
    <cfRule type="cellIs" dxfId="8" priority="16" operator="greaterThan">
      <formula>0</formula>
    </cfRule>
  </conditionalFormatting>
  <conditionalFormatting sqref="AM569">
    <cfRule type="cellIs" dxfId="7" priority="10" operator="lessThan">
      <formula>0</formula>
    </cfRule>
    <cfRule type="cellIs" dxfId="6" priority="11" operator="greaterThan">
      <formula>0</formula>
    </cfRule>
    <cfRule type="cellIs" priority="12" stopIfTrue="1" operator="greaterThan">
      <formula>0</formula>
    </cfRule>
    <cfRule type="cellIs" priority="13" stopIfTrue="1" operator="greaterThan">
      <formula>0</formula>
    </cfRule>
    <cfRule type="cellIs" priority="14" stopIfTrue="1" operator="greaterThan">
      <formula>0</formula>
    </cfRule>
  </conditionalFormatting>
  <conditionalFormatting sqref="AL558:AM558">
    <cfRule type="cellIs" dxfId="5" priority="8" operator="lessThan">
      <formula>0</formula>
    </cfRule>
    <cfRule type="cellIs" dxfId="4" priority="9" operator="greaterThan">
      <formula>0</formula>
    </cfRule>
  </conditionalFormatting>
  <conditionalFormatting sqref="AM558">
    <cfRule type="cellIs" dxfId="3" priority="3" operator="lessThan">
      <formula>0</formula>
    </cfRule>
    <cfRule type="cellIs" dxfId="2" priority="4" operator="greaterThan">
      <formula>0</formula>
    </cfRule>
    <cfRule type="cellIs" priority="5" stopIfTrue="1" operator="greaterThan">
      <formula>0</formula>
    </cfRule>
    <cfRule type="cellIs" priority="6" stopIfTrue="1" operator="greaterThan">
      <formula>0</formula>
    </cfRule>
    <cfRule type="cellIs" priority="7" stopIfTrue="1" operator="greaterThan">
      <formula>0</formula>
    </cfRule>
  </conditionalFormatting>
  <conditionalFormatting sqref="AM878:AM879 AO878:AO879">
    <cfRule type="cellIs" dxfId="1" priority="1" operator="lessThan">
      <formula>0</formula>
    </cfRule>
    <cfRule type="cellIs" dxfId="0" priority="2" operator="greaterThan">
      <formula>0</formula>
    </cfRule>
  </conditionalFormatting>
  <pageMargins left="0.70866141732283472" right="0.23622047244094491" top="0.31496062992125984" bottom="0.70866141732283472" header="0.31496062992125984" footer="0.35433070866141736"/>
  <pageSetup paperSize="9" scale="65" firstPageNumber="13" fitToWidth="0" fitToHeight="0" orientation="portrait" blackAndWhite="1" useFirstPageNumber="1" horizontalDpi="4294967295" verticalDpi="4294967295" r:id="rId1"/>
  <headerFooter>
    <oddFooter>&amp;C&amp;P
Neoddeliteľnou súčasťou účtovnej závierky je súvaha, výkaz ziskov a strát a poznámky.</oddFooter>
  </headerFooter>
  <rowBreaks count="21" manualBreakCount="21">
    <brk id="75" max="33" man="1"/>
    <brk id="122" max="33" man="1"/>
    <brk id="189" max="33" man="1"/>
    <brk id="234" max="33" man="1"/>
    <brk id="289" max="33" man="1"/>
    <brk id="328" max="33" man="1"/>
    <brk id="371" max="33" man="1"/>
    <brk id="410" max="33" man="1"/>
    <brk id="441" max="33" man="1"/>
    <brk id="461" max="33" man="1"/>
    <brk id="504" max="33" man="1"/>
    <brk id="545" max="33" man="1"/>
    <brk id="570" max="33" man="1"/>
    <brk id="597" max="33" man="1"/>
    <brk id="645" max="33" man="1"/>
    <brk id="709" max="33" man="1"/>
    <brk id="745" max="33" man="1"/>
    <brk id="782" max="33" man="1"/>
    <brk id="825" max="33" man="1"/>
    <brk id="842" max="33" man="1"/>
    <brk id="887" max="33" man="1"/>
  </rowBreaks>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92D050"/>
  </sheetPr>
  <dimension ref="A1:Q143"/>
  <sheetViews>
    <sheetView showGridLines="0" showZeros="0" topLeftCell="A92" zoomScaleNormal="100" workbookViewId="0">
      <selection activeCell="B132" sqref="B132"/>
    </sheetView>
  </sheetViews>
  <sheetFormatPr defaultColWidth="9.1796875" defaultRowHeight="10"/>
  <cols>
    <col min="1" max="1" width="6.81640625" style="178" customWidth="1"/>
    <col min="2" max="2" width="53.54296875" style="230" customWidth="1"/>
    <col min="3" max="3" width="5.81640625" style="178" customWidth="1"/>
    <col min="4" max="4" width="13.453125" style="178" bestFit="1" customWidth="1"/>
    <col min="5" max="5" width="14.26953125" style="178" bestFit="1" customWidth="1"/>
    <col min="6" max="6" width="13.453125" style="178" customWidth="1"/>
    <col min="7" max="7" width="15.1796875" style="178" customWidth="1"/>
    <col min="8" max="8" width="10" style="178" bestFit="1" customWidth="1"/>
    <col min="9" max="11" width="9.1796875" style="178"/>
    <col min="12" max="12" width="9.1796875" style="178" customWidth="1"/>
    <col min="13" max="17" width="9.1796875" style="178" hidden="1" customWidth="1"/>
    <col min="18" max="16384" width="9.1796875" style="178"/>
  </cols>
  <sheetData>
    <row r="1" spans="1:17" ht="12.5" hidden="1">
      <c r="M1" s="179" t="s">
        <v>496</v>
      </c>
    </row>
    <row r="2" spans="1:17" s="185" customFormat="1" ht="12" customHeight="1">
      <c r="A2" s="180" t="s">
        <v>497</v>
      </c>
      <c r="B2" s="936">
        <v>0</v>
      </c>
      <c r="C2" s="181"/>
      <c r="D2" s="182"/>
      <c r="E2" s="183"/>
      <c r="F2" s="183"/>
      <c r="G2" s="184"/>
      <c r="K2" s="179"/>
      <c r="L2" s="179"/>
      <c r="M2" s="179" t="s">
        <v>499</v>
      </c>
      <c r="N2" s="179"/>
      <c r="O2" s="179"/>
      <c r="P2" s="179"/>
      <c r="Q2" s="179"/>
    </row>
    <row r="3" spans="1:17" ht="12" customHeight="1">
      <c r="A3" s="180" t="s">
        <v>500</v>
      </c>
      <c r="B3" s="936" t="s">
        <v>501</v>
      </c>
      <c r="D3" s="182"/>
      <c r="E3" s="183"/>
      <c r="F3" s="183"/>
      <c r="K3" s="179"/>
      <c r="L3" s="186" t="s">
        <v>502</v>
      </c>
      <c r="M3" s="187" t="s">
        <v>498</v>
      </c>
      <c r="N3" s="187" t="s">
        <v>503</v>
      </c>
      <c r="O3" s="187" t="s">
        <v>504</v>
      </c>
      <c r="P3" s="187" t="s">
        <v>505</v>
      </c>
      <c r="Q3" s="187" t="s">
        <v>506</v>
      </c>
    </row>
    <row r="4" spans="1:17" ht="12" customHeight="1">
      <c r="C4" s="375" t="s">
        <v>501</v>
      </c>
      <c r="D4" s="182"/>
      <c r="E4" s="183"/>
      <c r="F4" s="183"/>
      <c r="K4" s="179"/>
      <c r="L4" s="186"/>
      <c r="M4" s="179"/>
      <c r="N4" s="179"/>
      <c r="O4" s="179"/>
      <c r="P4" s="179"/>
      <c r="Q4" s="186" t="s">
        <v>502</v>
      </c>
    </row>
    <row r="5" spans="1:17" ht="13.5" customHeight="1">
      <c r="A5" s="188"/>
      <c r="B5" s="937"/>
      <c r="C5" s="189"/>
      <c r="D5" s="189"/>
      <c r="E5" s="189"/>
      <c r="F5" s="189"/>
      <c r="G5" s="189"/>
      <c r="K5" s="179"/>
      <c r="L5" s="179"/>
      <c r="M5" s="190">
        <v>0.1</v>
      </c>
      <c r="N5" s="191">
        <v>0.01</v>
      </c>
      <c r="O5" s="190">
        <v>0.05</v>
      </c>
      <c r="P5" s="192">
        <v>5.0000000000000001E-3</v>
      </c>
      <c r="Q5" s="193" t="e">
        <f>IF(#REF!=$M$3,M5,IF(#REF!=$N$3,N5,IF(#REF!=$O$3,O5,IF(#REF!=$P$3,P5,""))))</f>
        <v>#REF!</v>
      </c>
    </row>
    <row r="6" spans="1:17" ht="12" customHeight="1">
      <c r="C6" s="194" t="s">
        <v>507</v>
      </c>
      <c r="D6" s="195"/>
      <c r="E6" s="181"/>
      <c r="K6" s="179"/>
      <c r="L6" s="179"/>
      <c r="M6" s="190">
        <v>0.09</v>
      </c>
      <c r="N6" s="191">
        <v>8.9999999999999993E-3</v>
      </c>
      <c r="O6" s="190">
        <v>0.04</v>
      </c>
      <c r="P6" s="192">
        <v>4.0000000000000001E-3</v>
      </c>
      <c r="Q6" s="193" t="e">
        <f>IF(#REF!=$M$3,M6,IF(#REF!=$N$3,N6,IF(#REF!=$O$3,O6,IF(#REF!=$P$3,P6,""))))</f>
        <v>#REF!</v>
      </c>
    </row>
    <row r="7" spans="1:17" s="199" customFormat="1" ht="12" customHeight="1">
      <c r="A7" s="196" t="s">
        <v>508</v>
      </c>
      <c r="B7" s="938" t="s">
        <v>509</v>
      </c>
      <c r="C7" s="196" t="s">
        <v>510</v>
      </c>
      <c r="D7" s="197" t="s">
        <v>511</v>
      </c>
      <c r="E7" s="197"/>
      <c r="F7" s="197"/>
      <c r="G7" s="198" t="s">
        <v>512</v>
      </c>
      <c r="K7" s="179"/>
      <c r="L7" s="179"/>
      <c r="M7" s="190">
        <v>0.08</v>
      </c>
      <c r="N7" s="191">
        <v>8.0000000000000002E-3</v>
      </c>
      <c r="O7" s="190">
        <v>0.03</v>
      </c>
      <c r="P7" s="192">
        <v>3.0000000000000001E-3</v>
      </c>
      <c r="Q7" s="193" t="e">
        <f>IF(#REF!=$M$3,M7,IF(#REF!=$N$3,N7,IF(#REF!=$O$3,O7,IF(#REF!=$P$3,P7,""))))</f>
        <v>#REF!</v>
      </c>
    </row>
    <row r="8" spans="1:17" s="202" customFormat="1" ht="12" customHeight="1">
      <c r="A8" s="200" t="s">
        <v>513</v>
      </c>
      <c r="B8" s="201"/>
      <c r="C8" s="200" t="s">
        <v>514</v>
      </c>
      <c r="D8" s="196" t="s">
        <v>515</v>
      </c>
      <c r="E8" s="196" t="s">
        <v>516</v>
      </c>
      <c r="F8" s="196" t="s">
        <v>517</v>
      </c>
      <c r="G8" s="196" t="s">
        <v>517</v>
      </c>
      <c r="K8" s="179"/>
      <c r="L8" s="179"/>
      <c r="M8" s="190">
        <v>7.0000000000000007E-2</v>
      </c>
      <c r="N8" s="191">
        <v>7.0000000000000001E-3</v>
      </c>
      <c r="O8" s="190">
        <v>0.02</v>
      </c>
      <c r="P8" s="192">
        <v>2.5000000000000001E-3</v>
      </c>
      <c r="Q8" s="193" t="e">
        <f>IF(#REF!=$M$3,M8,IF(#REF!=$N$3,N8,IF(#REF!=$O$3,O8,IF(#REF!=$P$3,P8,""))))</f>
        <v>#REF!</v>
      </c>
    </row>
    <row r="9" spans="1:17" s="199" customFormat="1" ht="12" customHeight="1">
      <c r="A9" s="203" t="s">
        <v>518</v>
      </c>
      <c r="B9" s="939" t="s">
        <v>519</v>
      </c>
      <c r="C9" s="203" t="s">
        <v>520</v>
      </c>
      <c r="D9" s="203">
        <v>1</v>
      </c>
      <c r="E9" s="203">
        <v>2</v>
      </c>
      <c r="F9" s="203">
        <v>3</v>
      </c>
      <c r="G9" s="203">
        <v>4</v>
      </c>
      <c r="K9" s="179"/>
      <c r="L9" s="179"/>
      <c r="M9" s="190">
        <v>0.06</v>
      </c>
      <c r="N9" s="191">
        <v>6.0000000000000001E-3</v>
      </c>
      <c r="O9" s="190">
        <v>0.01</v>
      </c>
      <c r="P9" s="179"/>
      <c r="Q9" s="193" t="e">
        <f>IF(#REF!=$M$3,M9,IF(#REF!=$N$3,N9,IF(#REF!=$O$3,O9,IF(#REF!=$P$3,P9,""))))</f>
        <v>#REF!</v>
      </c>
    </row>
    <row r="10" spans="1:17" s="207" customFormat="1" ht="12" customHeight="1">
      <c r="A10" s="204"/>
      <c r="B10" s="940" t="s">
        <v>521</v>
      </c>
      <c r="C10" s="205" t="s">
        <v>522</v>
      </c>
      <c r="D10" s="877">
        <f>D11+D39+D70</f>
        <v>0</v>
      </c>
      <c r="E10" s="877">
        <f>E11+E39+E70</f>
        <v>0</v>
      </c>
      <c r="F10" s="877">
        <f>F11+F39+F70</f>
        <v>0</v>
      </c>
      <c r="G10" s="877">
        <f>G11+G39+G70</f>
        <v>0</v>
      </c>
      <c r="K10" s="179"/>
      <c r="L10" s="179"/>
      <c r="M10" s="190">
        <v>0.05</v>
      </c>
      <c r="N10" s="191">
        <v>5.0000000000000001E-3</v>
      </c>
      <c r="O10" s="179"/>
      <c r="P10" s="179"/>
      <c r="Q10" s="193" t="e">
        <f>IF(#REF!=$M$3,M10,IF(#REF!=$N$3,N10,IF(#REF!=$O$3,O10,IF(#REF!=$P$3,P10,""))))</f>
        <v>#REF!</v>
      </c>
    </row>
    <row r="11" spans="1:17" s="207" customFormat="1" ht="12" customHeight="1">
      <c r="A11" s="208" t="s">
        <v>523</v>
      </c>
      <c r="B11" s="941" t="s">
        <v>524</v>
      </c>
      <c r="C11" s="205" t="s">
        <v>525</v>
      </c>
      <c r="D11" s="877">
        <f>D12+D20+D30</f>
        <v>0</v>
      </c>
      <c r="E11" s="877">
        <f>E12+E20+E30</f>
        <v>0</v>
      </c>
      <c r="F11" s="877">
        <f>F12+F20+F30</f>
        <v>0</v>
      </c>
      <c r="G11" s="877">
        <f>G12+G20+G30</f>
        <v>0</v>
      </c>
    </row>
    <row r="12" spans="1:17" s="207" customFormat="1" ht="12" customHeight="1">
      <c r="A12" s="209" t="s">
        <v>526</v>
      </c>
      <c r="B12" s="942" t="s">
        <v>527</v>
      </c>
      <c r="C12" s="205" t="s">
        <v>528</v>
      </c>
      <c r="D12" s="877">
        <f>SUM(D13:D19)</f>
        <v>0</v>
      </c>
      <c r="E12" s="877">
        <f>SUM(E13:E19)</f>
        <v>0</v>
      </c>
      <c r="F12" s="877">
        <f>SUM(F13:F19)</f>
        <v>0</v>
      </c>
      <c r="G12" s="877">
        <f>SUM(G13:G19)</f>
        <v>0</v>
      </c>
    </row>
    <row r="13" spans="1:17" s="185" customFormat="1" ht="12" customHeight="1">
      <c r="A13" s="210" t="s">
        <v>529</v>
      </c>
      <c r="B13" s="943" t="s">
        <v>530</v>
      </c>
      <c r="C13" s="211" t="s">
        <v>531</v>
      </c>
      <c r="D13" s="878"/>
      <c r="E13" s="878"/>
      <c r="F13" s="878"/>
      <c r="G13" s="878"/>
      <c r="H13" s="212"/>
    </row>
    <row r="14" spans="1:17" s="185" customFormat="1" ht="12" customHeight="1">
      <c r="A14" s="210" t="s">
        <v>532</v>
      </c>
      <c r="B14" s="943" t="s">
        <v>533</v>
      </c>
      <c r="C14" s="211" t="s">
        <v>534</v>
      </c>
      <c r="D14" s="878"/>
      <c r="E14" s="878"/>
      <c r="F14" s="878"/>
      <c r="G14" s="879"/>
    </row>
    <row r="15" spans="1:17" s="185" customFormat="1" ht="12" customHeight="1">
      <c r="A15" s="210" t="s">
        <v>535</v>
      </c>
      <c r="B15" s="943" t="s">
        <v>536</v>
      </c>
      <c r="C15" s="211" t="s">
        <v>537</v>
      </c>
      <c r="D15" s="878"/>
      <c r="E15" s="878"/>
      <c r="F15" s="878"/>
      <c r="G15" s="878"/>
    </row>
    <row r="16" spans="1:17" s="185" customFormat="1" ht="12" customHeight="1">
      <c r="A16" s="210" t="s">
        <v>538</v>
      </c>
      <c r="B16" s="943" t="s">
        <v>539</v>
      </c>
      <c r="C16" s="211" t="s">
        <v>540</v>
      </c>
      <c r="D16" s="878"/>
      <c r="E16" s="878"/>
      <c r="F16" s="878"/>
      <c r="G16" s="878"/>
    </row>
    <row r="17" spans="1:7" s="185" customFormat="1" ht="12" customHeight="1">
      <c r="A17" s="210" t="s">
        <v>541</v>
      </c>
      <c r="B17" s="944" t="s">
        <v>542</v>
      </c>
      <c r="C17" s="211" t="s">
        <v>543</v>
      </c>
      <c r="D17" s="878"/>
      <c r="E17" s="878"/>
      <c r="F17" s="878"/>
      <c r="G17" s="878"/>
    </row>
    <row r="18" spans="1:7" s="185" customFormat="1" ht="12" customHeight="1">
      <c r="A18" s="210" t="s">
        <v>544</v>
      </c>
      <c r="B18" s="943" t="s">
        <v>545</v>
      </c>
      <c r="C18" s="211" t="s">
        <v>546</v>
      </c>
      <c r="D18" s="878"/>
      <c r="E18" s="878"/>
      <c r="F18" s="878"/>
      <c r="G18" s="878"/>
    </row>
    <row r="19" spans="1:7" s="185" customFormat="1" ht="12" customHeight="1">
      <c r="A19" s="210" t="s">
        <v>547</v>
      </c>
      <c r="B19" s="943" t="s">
        <v>548</v>
      </c>
      <c r="C19" s="211" t="s">
        <v>549</v>
      </c>
      <c r="D19" s="878"/>
      <c r="E19" s="878"/>
      <c r="F19" s="878"/>
      <c r="G19" s="878"/>
    </row>
    <row r="20" spans="1:7" s="207" customFormat="1" ht="12" customHeight="1">
      <c r="A20" s="213" t="s">
        <v>550</v>
      </c>
      <c r="B20" s="942" t="s">
        <v>551</v>
      </c>
      <c r="C20" s="205" t="s">
        <v>552</v>
      </c>
      <c r="D20" s="877">
        <f>SUM(D21:D29)</f>
        <v>0</v>
      </c>
      <c r="E20" s="877">
        <f>SUM(E21:E29)</f>
        <v>0</v>
      </c>
      <c r="F20" s="877">
        <f>SUM(F21:F29)</f>
        <v>0</v>
      </c>
      <c r="G20" s="877">
        <f>SUM(G21:G29)</f>
        <v>0</v>
      </c>
    </row>
    <row r="21" spans="1:7" s="185" customFormat="1" ht="12" customHeight="1">
      <c r="A21" s="214" t="s">
        <v>553</v>
      </c>
      <c r="B21" s="943" t="s">
        <v>554</v>
      </c>
      <c r="C21" s="211" t="s">
        <v>555</v>
      </c>
      <c r="D21" s="878"/>
      <c r="E21" s="878"/>
      <c r="F21" s="878"/>
      <c r="G21" s="878"/>
    </row>
    <row r="22" spans="1:7" s="185" customFormat="1" ht="12" customHeight="1">
      <c r="A22" s="210" t="s">
        <v>532</v>
      </c>
      <c r="B22" s="943" t="s">
        <v>556</v>
      </c>
      <c r="C22" s="211" t="s">
        <v>557</v>
      </c>
      <c r="D22" s="878"/>
      <c r="E22" s="878"/>
      <c r="F22" s="878"/>
      <c r="G22" s="878"/>
    </row>
    <row r="23" spans="1:7" s="185" customFormat="1" ht="12" customHeight="1">
      <c r="A23" s="210" t="s">
        <v>535</v>
      </c>
      <c r="B23" s="943" t="s">
        <v>558</v>
      </c>
      <c r="C23" s="211" t="s">
        <v>559</v>
      </c>
      <c r="D23" s="878"/>
      <c r="E23" s="880"/>
      <c r="F23" s="878"/>
      <c r="G23" s="878"/>
    </row>
    <row r="24" spans="1:7" s="185" customFormat="1" ht="12" customHeight="1">
      <c r="A24" s="210" t="s">
        <v>538</v>
      </c>
      <c r="B24" s="943" t="s">
        <v>560</v>
      </c>
      <c r="C24" s="211" t="s">
        <v>561</v>
      </c>
      <c r="D24" s="878"/>
      <c r="E24" s="878"/>
      <c r="F24" s="878"/>
      <c r="G24" s="880"/>
    </row>
    <row r="25" spans="1:7" s="185" customFormat="1" ht="12" customHeight="1">
      <c r="A25" s="210" t="s">
        <v>541</v>
      </c>
      <c r="B25" s="943" t="s">
        <v>562</v>
      </c>
      <c r="C25" s="211" t="s">
        <v>563</v>
      </c>
      <c r="D25" s="878"/>
      <c r="E25" s="878"/>
      <c r="F25" s="878"/>
      <c r="G25" s="880"/>
    </row>
    <row r="26" spans="1:7" s="185" customFormat="1" ht="12" customHeight="1">
      <c r="A26" s="210" t="s">
        <v>544</v>
      </c>
      <c r="B26" s="944" t="s">
        <v>564</v>
      </c>
      <c r="C26" s="211" t="s">
        <v>565</v>
      </c>
      <c r="D26" s="880"/>
      <c r="E26" s="880"/>
      <c r="F26" s="878"/>
      <c r="G26" s="880"/>
    </row>
    <row r="27" spans="1:7" s="185" customFormat="1" ht="12" customHeight="1">
      <c r="A27" s="210" t="s">
        <v>547</v>
      </c>
      <c r="B27" s="943" t="s">
        <v>566</v>
      </c>
      <c r="C27" s="211" t="s">
        <v>567</v>
      </c>
      <c r="D27" s="878"/>
      <c r="E27" s="878"/>
      <c r="F27" s="878"/>
      <c r="G27" s="878"/>
    </row>
    <row r="28" spans="1:7" s="185" customFormat="1" ht="12" customHeight="1">
      <c r="A28" s="210" t="s">
        <v>568</v>
      </c>
      <c r="B28" s="943" t="s">
        <v>569</v>
      </c>
      <c r="C28" s="211" t="s">
        <v>570</v>
      </c>
      <c r="D28" s="878"/>
      <c r="E28" s="878"/>
      <c r="F28" s="878"/>
      <c r="G28" s="878"/>
    </row>
    <row r="29" spans="1:7" s="185" customFormat="1" ht="12" customHeight="1">
      <c r="A29" s="210" t="s">
        <v>571</v>
      </c>
      <c r="B29" s="943" t="s">
        <v>572</v>
      </c>
      <c r="C29" s="211" t="s">
        <v>573</v>
      </c>
      <c r="D29" s="878"/>
      <c r="E29" s="878"/>
      <c r="F29" s="878"/>
      <c r="G29" s="878"/>
    </row>
    <row r="30" spans="1:7" s="207" customFormat="1" ht="12" customHeight="1">
      <c r="A30" s="213" t="s">
        <v>574</v>
      </c>
      <c r="B30" s="942" t="s">
        <v>575</v>
      </c>
      <c r="C30" s="205" t="s">
        <v>576</v>
      </c>
      <c r="D30" s="877">
        <f>SUM(D31:D38)</f>
        <v>0</v>
      </c>
      <c r="E30" s="877">
        <f>SUM(E31:E38)</f>
        <v>0</v>
      </c>
      <c r="F30" s="877">
        <f>SUM(F31:F38)</f>
        <v>0</v>
      </c>
      <c r="G30" s="877">
        <f>SUM(G31:G38)</f>
        <v>0</v>
      </c>
    </row>
    <row r="31" spans="1:7" s="185" customFormat="1" ht="12" customHeight="1">
      <c r="A31" s="214" t="s">
        <v>577</v>
      </c>
      <c r="B31" s="943" t="s">
        <v>578</v>
      </c>
      <c r="C31" s="211" t="s">
        <v>579</v>
      </c>
      <c r="D31" s="878"/>
      <c r="E31" s="878"/>
      <c r="F31" s="878"/>
      <c r="G31" s="878"/>
    </row>
    <row r="32" spans="1:7" s="185" customFormat="1" ht="12" customHeight="1">
      <c r="A32" s="210" t="s">
        <v>532</v>
      </c>
      <c r="B32" s="943" t="s">
        <v>580</v>
      </c>
      <c r="C32" s="211" t="s">
        <v>581</v>
      </c>
      <c r="D32" s="878"/>
      <c r="E32" s="878"/>
      <c r="F32" s="878"/>
      <c r="G32" s="878"/>
    </row>
    <row r="33" spans="1:7" s="185" customFormat="1" ht="12" customHeight="1">
      <c r="A33" s="210" t="s">
        <v>535</v>
      </c>
      <c r="B33" s="943" t="s">
        <v>582</v>
      </c>
      <c r="C33" s="211" t="s">
        <v>583</v>
      </c>
      <c r="D33" s="878"/>
      <c r="E33" s="878"/>
      <c r="F33" s="878"/>
      <c r="G33" s="878"/>
    </row>
    <row r="34" spans="1:7" s="185" customFormat="1" ht="12" customHeight="1">
      <c r="A34" s="210" t="s">
        <v>538</v>
      </c>
      <c r="B34" s="943" t="s">
        <v>584</v>
      </c>
      <c r="C34" s="211" t="s">
        <v>585</v>
      </c>
      <c r="D34" s="878"/>
      <c r="E34" s="878"/>
      <c r="F34" s="878"/>
      <c r="G34" s="878"/>
    </row>
    <row r="35" spans="1:7" s="185" customFormat="1" ht="12" customHeight="1">
      <c r="A35" s="210" t="s">
        <v>541</v>
      </c>
      <c r="B35" s="944" t="s">
        <v>586</v>
      </c>
      <c r="C35" s="211" t="s">
        <v>587</v>
      </c>
      <c r="D35" s="878"/>
      <c r="E35" s="878"/>
      <c r="F35" s="878"/>
      <c r="G35" s="878"/>
    </row>
    <row r="36" spans="1:7" s="185" customFormat="1" ht="12" customHeight="1">
      <c r="A36" s="210" t="s">
        <v>544</v>
      </c>
      <c r="B36" s="944" t="s">
        <v>588</v>
      </c>
      <c r="C36" s="211" t="s">
        <v>589</v>
      </c>
      <c r="D36" s="878"/>
      <c r="E36" s="878"/>
      <c r="F36" s="878"/>
      <c r="G36" s="878"/>
    </row>
    <row r="37" spans="1:7" s="185" customFormat="1" ht="12" customHeight="1">
      <c r="A37" s="210" t="s">
        <v>547</v>
      </c>
      <c r="B37" s="943" t="s">
        <v>590</v>
      </c>
      <c r="C37" s="211" t="s">
        <v>591</v>
      </c>
      <c r="D37" s="878"/>
      <c r="E37" s="878"/>
      <c r="F37" s="878"/>
      <c r="G37" s="878"/>
    </row>
    <row r="38" spans="1:7" s="185" customFormat="1" ht="12" customHeight="1">
      <c r="A38" s="210" t="s">
        <v>568</v>
      </c>
      <c r="B38" s="943" t="s">
        <v>592</v>
      </c>
      <c r="C38" s="211" t="s">
        <v>593</v>
      </c>
      <c r="D38" s="878"/>
      <c r="E38" s="878"/>
      <c r="F38" s="878"/>
      <c r="G38" s="878"/>
    </row>
    <row r="39" spans="1:7" s="207" customFormat="1" ht="12" customHeight="1">
      <c r="A39" s="213" t="s">
        <v>594</v>
      </c>
      <c r="B39" s="941" t="s">
        <v>595</v>
      </c>
      <c r="C39" s="205" t="s">
        <v>596</v>
      </c>
      <c r="D39" s="877">
        <f>D40+D47+D55+D64</f>
        <v>0</v>
      </c>
      <c r="E39" s="877">
        <f>E40+E47+E55+E64</f>
        <v>0</v>
      </c>
      <c r="F39" s="877">
        <f>F40+F47+F55+F64</f>
        <v>0</v>
      </c>
      <c r="G39" s="877">
        <f>G40+G47+G55+G64</f>
        <v>0</v>
      </c>
    </row>
    <row r="40" spans="1:7" s="207" customFormat="1" ht="12" customHeight="1">
      <c r="A40" s="209" t="s">
        <v>597</v>
      </c>
      <c r="B40" s="942" t="s">
        <v>598</v>
      </c>
      <c r="C40" s="205" t="s">
        <v>599</v>
      </c>
      <c r="D40" s="877">
        <f>SUM(D41:D46)</f>
        <v>0</v>
      </c>
      <c r="E40" s="877">
        <f>SUM(E41:E46)</f>
        <v>0</v>
      </c>
      <c r="F40" s="877">
        <f>SUM(F41:F46)</f>
        <v>0</v>
      </c>
      <c r="G40" s="877">
        <f>SUM(G41:G46)</f>
        <v>0</v>
      </c>
    </row>
    <row r="41" spans="1:7" s="185" customFormat="1" ht="12" customHeight="1">
      <c r="A41" s="214" t="s">
        <v>600</v>
      </c>
      <c r="B41" s="943" t="s">
        <v>601</v>
      </c>
      <c r="C41" s="211" t="s">
        <v>602</v>
      </c>
      <c r="D41" s="878"/>
      <c r="E41" s="878"/>
      <c r="F41" s="878"/>
      <c r="G41" s="878"/>
    </row>
    <row r="42" spans="1:7" s="185" customFormat="1" ht="12" customHeight="1">
      <c r="A42" s="210" t="s">
        <v>532</v>
      </c>
      <c r="B42" s="944" t="s">
        <v>603</v>
      </c>
      <c r="C42" s="211" t="s">
        <v>604</v>
      </c>
      <c r="D42" s="878"/>
      <c r="E42" s="878"/>
      <c r="F42" s="878"/>
      <c r="G42" s="878"/>
    </row>
    <row r="43" spans="1:7" s="185" customFormat="1" ht="12" customHeight="1">
      <c r="A43" s="210" t="s">
        <v>535</v>
      </c>
      <c r="B43" s="943" t="s">
        <v>605</v>
      </c>
      <c r="C43" s="211" t="s">
        <v>606</v>
      </c>
      <c r="D43" s="878"/>
      <c r="E43" s="878"/>
      <c r="F43" s="878"/>
      <c r="G43" s="878"/>
    </row>
    <row r="44" spans="1:7" s="185" customFormat="1" ht="12" customHeight="1">
      <c r="A44" s="210" t="s">
        <v>538</v>
      </c>
      <c r="B44" s="943" t="s">
        <v>607</v>
      </c>
      <c r="C44" s="211" t="s">
        <v>608</v>
      </c>
      <c r="D44" s="878"/>
      <c r="E44" s="878"/>
      <c r="F44" s="878"/>
      <c r="G44" s="878"/>
    </row>
    <row r="45" spans="1:7" s="185" customFormat="1" ht="12" customHeight="1">
      <c r="A45" s="210" t="s">
        <v>541</v>
      </c>
      <c r="B45" s="944" t="s">
        <v>609</v>
      </c>
      <c r="C45" s="211" t="s">
        <v>610</v>
      </c>
      <c r="D45" s="878"/>
      <c r="E45" s="878"/>
      <c r="F45" s="878"/>
      <c r="G45" s="878"/>
    </row>
    <row r="46" spans="1:7" s="185" customFormat="1" ht="12" customHeight="1">
      <c r="A46" s="210" t="s">
        <v>544</v>
      </c>
      <c r="B46" s="943" t="s">
        <v>611</v>
      </c>
      <c r="C46" s="211" t="s">
        <v>612</v>
      </c>
      <c r="D46" s="881"/>
      <c r="E46" s="881"/>
      <c r="F46" s="881"/>
      <c r="G46" s="878"/>
    </row>
    <row r="47" spans="1:7" s="207" customFormat="1" ht="12" customHeight="1">
      <c r="A47" s="213" t="s">
        <v>613</v>
      </c>
      <c r="B47" s="942" t="s">
        <v>614</v>
      </c>
      <c r="C47" s="205" t="s">
        <v>615</v>
      </c>
      <c r="D47" s="877">
        <f>SUM(D48:D54)</f>
        <v>0</v>
      </c>
      <c r="E47" s="877">
        <f>SUM(E48:E54)</f>
        <v>0</v>
      </c>
      <c r="F47" s="877">
        <f>SUM(F48:F54)</f>
        <v>0</v>
      </c>
      <c r="G47" s="877">
        <f>SUM(G48:G54)</f>
        <v>0</v>
      </c>
    </row>
    <row r="48" spans="1:7" s="185" customFormat="1" ht="12" customHeight="1">
      <c r="A48" s="214" t="s">
        <v>616</v>
      </c>
      <c r="B48" s="944" t="s">
        <v>617</v>
      </c>
      <c r="C48" s="211" t="s">
        <v>618</v>
      </c>
      <c r="D48" s="882"/>
      <c r="E48" s="882"/>
      <c r="F48" s="882"/>
      <c r="G48" s="882"/>
    </row>
    <row r="49" spans="1:7" s="185" customFormat="1" ht="12" customHeight="1">
      <c r="A49" s="217" t="s">
        <v>532</v>
      </c>
      <c r="B49" s="945" t="s">
        <v>619</v>
      </c>
      <c r="C49" s="218" t="s">
        <v>620</v>
      </c>
      <c r="D49" s="882"/>
      <c r="E49" s="880"/>
      <c r="F49" s="880"/>
      <c r="G49" s="882"/>
    </row>
    <row r="50" spans="1:7" s="185" customFormat="1" ht="12" customHeight="1">
      <c r="A50" s="210" t="s">
        <v>535</v>
      </c>
      <c r="B50" s="943" t="s">
        <v>621</v>
      </c>
      <c r="C50" s="211" t="s">
        <v>622</v>
      </c>
      <c r="D50" s="882"/>
      <c r="E50" s="882"/>
      <c r="F50" s="882"/>
      <c r="G50" s="882"/>
    </row>
    <row r="51" spans="1:7" s="185" customFormat="1" ht="12" customHeight="1">
      <c r="A51" s="210" t="s">
        <v>538</v>
      </c>
      <c r="B51" s="943" t="s">
        <v>623</v>
      </c>
      <c r="C51" s="211" t="s">
        <v>624</v>
      </c>
      <c r="D51" s="882"/>
      <c r="E51" s="882"/>
      <c r="F51" s="882"/>
      <c r="G51" s="882"/>
    </row>
    <row r="52" spans="1:7" s="185" customFormat="1" ht="12" customHeight="1">
      <c r="A52" s="210" t="s">
        <v>541</v>
      </c>
      <c r="B52" s="944" t="s">
        <v>625</v>
      </c>
      <c r="C52" s="211" t="s">
        <v>626</v>
      </c>
      <c r="D52" s="882"/>
      <c r="E52" s="882"/>
      <c r="F52" s="882"/>
      <c r="G52" s="882"/>
    </row>
    <row r="53" spans="1:7" s="185" customFormat="1" ht="12" customHeight="1">
      <c r="A53" s="210" t="s">
        <v>544</v>
      </c>
      <c r="B53" s="944" t="s">
        <v>627</v>
      </c>
      <c r="C53" s="211" t="s">
        <v>628</v>
      </c>
      <c r="D53" s="882"/>
      <c r="E53" s="883"/>
      <c r="F53" s="883"/>
      <c r="G53" s="882"/>
    </row>
    <row r="54" spans="1:7" s="185" customFormat="1" ht="12" customHeight="1">
      <c r="A54" s="210" t="s">
        <v>547</v>
      </c>
      <c r="B54" s="943" t="s">
        <v>629</v>
      </c>
      <c r="C54" s="211" t="s">
        <v>630</v>
      </c>
      <c r="D54" s="882"/>
      <c r="E54" s="883"/>
      <c r="F54" s="883"/>
      <c r="G54" s="882"/>
    </row>
    <row r="55" spans="1:7" s="207" customFormat="1" ht="12" customHeight="1">
      <c r="A55" s="213" t="s">
        <v>631</v>
      </c>
      <c r="B55" s="942" t="s">
        <v>632</v>
      </c>
      <c r="C55" s="205" t="s">
        <v>633</v>
      </c>
      <c r="D55" s="877">
        <f>SUM(D56:D63)</f>
        <v>0</v>
      </c>
      <c r="E55" s="877">
        <f>SUM(E56:E63)</f>
        <v>0</v>
      </c>
      <c r="F55" s="877">
        <f>SUM(F56:F63)</f>
        <v>0</v>
      </c>
      <c r="G55" s="877">
        <f>SUM(G56:G63)</f>
        <v>0</v>
      </c>
    </row>
    <row r="56" spans="1:7" s="185" customFormat="1" ht="12" customHeight="1">
      <c r="A56" s="214" t="s">
        <v>634</v>
      </c>
      <c r="B56" s="944" t="s">
        <v>635</v>
      </c>
      <c r="C56" s="211" t="s">
        <v>636</v>
      </c>
      <c r="D56" s="882"/>
      <c r="E56" s="882"/>
      <c r="F56" s="882"/>
      <c r="G56" s="882"/>
    </row>
    <row r="57" spans="1:7" s="185" customFormat="1" ht="12" customHeight="1">
      <c r="A57" s="217" t="s">
        <v>532</v>
      </c>
      <c r="B57" s="945" t="s">
        <v>619</v>
      </c>
      <c r="C57" s="218" t="s">
        <v>637</v>
      </c>
      <c r="D57" s="882"/>
      <c r="E57" s="880"/>
      <c r="F57" s="880"/>
      <c r="G57" s="882"/>
    </row>
    <row r="58" spans="1:7" s="185" customFormat="1" ht="12" customHeight="1">
      <c r="A58" s="210" t="s">
        <v>535</v>
      </c>
      <c r="B58" s="943" t="s">
        <v>638</v>
      </c>
      <c r="C58" s="211" t="s">
        <v>639</v>
      </c>
      <c r="D58" s="882"/>
      <c r="E58" s="882"/>
      <c r="F58" s="882"/>
      <c r="G58" s="882"/>
    </row>
    <row r="59" spans="1:7" s="185" customFormat="1" ht="12" customHeight="1">
      <c r="A59" s="210" t="s">
        <v>538</v>
      </c>
      <c r="B59" s="943" t="s">
        <v>623</v>
      </c>
      <c r="C59" s="211" t="s">
        <v>640</v>
      </c>
      <c r="D59" s="882"/>
      <c r="E59" s="882"/>
      <c r="F59" s="882"/>
      <c r="G59" s="882"/>
    </row>
    <row r="60" spans="1:7" s="185" customFormat="1" ht="12" customHeight="1">
      <c r="A60" s="210" t="s">
        <v>541</v>
      </c>
      <c r="B60" s="944" t="s">
        <v>641</v>
      </c>
      <c r="C60" s="211" t="s">
        <v>642</v>
      </c>
      <c r="D60" s="882"/>
      <c r="E60" s="882"/>
      <c r="F60" s="882"/>
      <c r="G60" s="882"/>
    </row>
    <row r="61" spans="1:7" s="185" customFormat="1" ht="12" customHeight="1">
      <c r="A61" s="210" t="s">
        <v>544</v>
      </c>
      <c r="B61" s="943" t="s">
        <v>643</v>
      </c>
      <c r="C61" s="211" t="s">
        <v>644</v>
      </c>
      <c r="D61" s="882"/>
      <c r="E61" s="882"/>
      <c r="F61" s="882"/>
      <c r="G61" s="882"/>
    </row>
    <row r="62" spans="1:7" s="185" customFormat="1" ht="12" customHeight="1">
      <c r="A62" s="210" t="s">
        <v>547</v>
      </c>
      <c r="B62" s="943" t="s">
        <v>645</v>
      </c>
      <c r="C62" s="211" t="s">
        <v>646</v>
      </c>
      <c r="D62" s="882"/>
      <c r="E62" s="882"/>
      <c r="F62" s="882"/>
      <c r="G62" s="882"/>
    </row>
    <row r="63" spans="1:7" s="185" customFormat="1" ht="12" customHeight="1">
      <c r="A63" s="210" t="s">
        <v>568</v>
      </c>
      <c r="B63" s="946" t="s">
        <v>647</v>
      </c>
      <c r="C63" s="211" t="s">
        <v>648</v>
      </c>
      <c r="D63" s="882"/>
      <c r="E63" s="882"/>
      <c r="F63" s="882"/>
      <c r="G63" s="882"/>
    </row>
    <row r="64" spans="1:7" s="207" customFormat="1" ht="12" customHeight="1">
      <c r="A64" s="213" t="s">
        <v>649</v>
      </c>
      <c r="B64" s="942" t="s">
        <v>650</v>
      </c>
      <c r="C64" s="205" t="s">
        <v>651</v>
      </c>
      <c r="D64" s="877">
        <f>SUM(D65:D69)</f>
        <v>0</v>
      </c>
      <c r="E64" s="877">
        <f>SUM(E65:E69)</f>
        <v>0</v>
      </c>
      <c r="F64" s="877">
        <f>SUM(F65:F69)</f>
        <v>0</v>
      </c>
      <c r="G64" s="877">
        <f>SUM(G65:G69)</f>
        <v>0</v>
      </c>
    </row>
    <row r="65" spans="1:7" s="207" customFormat="1" ht="12" customHeight="1">
      <c r="A65" s="214" t="s">
        <v>652</v>
      </c>
      <c r="B65" s="943" t="s">
        <v>653</v>
      </c>
      <c r="C65" s="211" t="s">
        <v>654</v>
      </c>
      <c r="D65" s="878"/>
      <c r="E65" s="878"/>
      <c r="F65" s="880"/>
      <c r="G65" s="878"/>
    </row>
    <row r="66" spans="1:7" s="185" customFormat="1" ht="12" customHeight="1">
      <c r="A66" s="210" t="s">
        <v>532</v>
      </c>
      <c r="B66" s="943" t="s">
        <v>655</v>
      </c>
      <c r="C66" s="211" t="s">
        <v>656</v>
      </c>
      <c r="D66" s="878"/>
      <c r="E66" s="878"/>
      <c r="F66" s="878"/>
      <c r="G66" s="878"/>
    </row>
    <row r="67" spans="1:7" s="185" customFormat="1" ht="12" customHeight="1">
      <c r="A67" s="210" t="s">
        <v>535</v>
      </c>
      <c r="B67" s="943" t="s">
        <v>657</v>
      </c>
      <c r="C67" s="211" t="s">
        <v>658</v>
      </c>
      <c r="D67" s="878"/>
      <c r="E67" s="878"/>
      <c r="F67" s="878"/>
      <c r="G67" s="878"/>
    </row>
    <row r="68" spans="1:7" s="185" customFormat="1" ht="12" customHeight="1">
      <c r="A68" s="210" t="s">
        <v>538</v>
      </c>
      <c r="B68" s="943" t="s">
        <v>659</v>
      </c>
      <c r="C68" s="211" t="s">
        <v>660</v>
      </c>
      <c r="D68" s="878"/>
      <c r="E68" s="878"/>
      <c r="F68" s="878"/>
      <c r="G68" s="878"/>
    </row>
    <row r="69" spans="1:7" s="185" customFormat="1" ht="12" customHeight="1">
      <c r="A69" s="210" t="s">
        <v>541</v>
      </c>
      <c r="B69" s="943" t="s">
        <v>661</v>
      </c>
      <c r="C69" s="211" t="s">
        <v>662</v>
      </c>
      <c r="D69" s="878"/>
      <c r="E69" s="878"/>
      <c r="F69" s="878"/>
      <c r="G69" s="878"/>
    </row>
    <row r="70" spans="1:7" s="207" customFormat="1" ht="12" customHeight="1">
      <c r="A70" s="213" t="s">
        <v>663</v>
      </c>
      <c r="B70" s="942" t="s">
        <v>664</v>
      </c>
      <c r="C70" s="205" t="s">
        <v>665</v>
      </c>
      <c r="D70" s="877">
        <f>SUM(D71:D74)</f>
        <v>0</v>
      </c>
      <c r="E70" s="877">
        <f>SUM(E71:E74)</f>
        <v>0</v>
      </c>
      <c r="F70" s="877">
        <f>SUM(F71:F74)</f>
        <v>0</v>
      </c>
      <c r="G70" s="877">
        <f>SUM(G71:G74)</f>
        <v>0</v>
      </c>
    </row>
    <row r="71" spans="1:7" s="185" customFormat="1" ht="12" customHeight="1">
      <c r="A71" s="214" t="s">
        <v>666</v>
      </c>
      <c r="B71" s="943" t="s">
        <v>667</v>
      </c>
      <c r="C71" s="211" t="s">
        <v>668</v>
      </c>
      <c r="D71" s="884"/>
      <c r="E71" s="885"/>
      <c r="F71" s="880"/>
      <c r="G71" s="885"/>
    </row>
    <row r="72" spans="1:7" s="185" customFormat="1" ht="12" customHeight="1">
      <c r="A72" s="210" t="s">
        <v>532</v>
      </c>
      <c r="B72" s="944" t="s">
        <v>669</v>
      </c>
      <c r="C72" s="211" t="s">
        <v>670</v>
      </c>
      <c r="D72" s="880"/>
      <c r="E72" s="880"/>
      <c r="F72" s="880"/>
      <c r="G72" s="880"/>
    </row>
    <row r="73" spans="1:7" s="185" customFormat="1" ht="12" customHeight="1">
      <c r="A73" s="210" t="s">
        <v>535</v>
      </c>
      <c r="B73" s="943" t="s">
        <v>671</v>
      </c>
      <c r="C73" s="211" t="s">
        <v>672</v>
      </c>
      <c r="D73" s="880"/>
      <c r="E73" s="880"/>
      <c r="F73" s="880"/>
      <c r="G73" s="880"/>
    </row>
    <row r="74" spans="1:7" s="185" customFormat="1" ht="12" customHeight="1">
      <c r="A74" s="210" t="s">
        <v>538</v>
      </c>
      <c r="B74" s="943" t="s">
        <v>673</v>
      </c>
      <c r="C74" s="211" t="s">
        <v>674</v>
      </c>
      <c r="D74" s="878"/>
      <c r="E74" s="878"/>
      <c r="F74" s="878"/>
      <c r="G74" s="878"/>
    </row>
    <row r="75" spans="1:7" s="185" customFormat="1" ht="12" customHeight="1">
      <c r="A75" s="219"/>
      <c r="B75" s="947" t="s">
        <v>675</v>
      </c>
      <c r="C75" s="220">
        <v>888</v>
      </c>
      <c r="D75" s="886">
        <f>(SUM(D10:D74))</f>
        <v>0</v>
      </c>
      <c r="E75" s="886">
        <f>(SUM(E10:E74))</f>
        <v>0</v>
      </c>
      <c r="F75" s="886">
        <f>SUM(F10:F74)</f>
        <v>0</v>
      </c>
      <c r="G75" s="886">
        <f>(SUM(G10:G74))</f>
        <v>0</v>
      </c>
    </row>
    <row r="76" spans="1:7" s="185" customFormat="1" ht="12" customHeight="1">
      <c r="A76" s="221"/>
      <c r="B76" s="230"/>
      <c r="D76" s="222"/>
      <c r="E76" s="222"/>
      <c r="F76" s="222"/>
      <c r="G76" s="222"/>
    </row>
    <row r="77" spans="1:7" s="185" customFormat="1" ht="12" customHeight="1">
      <c r="A77" s="221"/>
      <c r="B77" s="230"/>
      <c r="D77" s="222"/>
      <c r="E77" s="222"/>
      <c r="F77" s="222"/>
      <c r="G77" s="222"/>
    </row>
    <row r="78" spans="1:7" s="185" customFormat="1" ht="12" customHeight="1">
      <c r="A78" s="223" t="s">
        <v>508</v>
      </c>
      <c r="B78" s="948" t="s">
        <v>676</v>
      </c>
      <c r="C78" s="223" t="s">
        <v>510</v>
      </c>
      <c r="D78" s="224" t="s">
        <v>677</v>
      </c>
      <c r="E78" s="224" t="s">
        <v>678</v>
      </c>
      <c r="F78" s="225"/>
      <c r="G78" s="225"/>
    </row>
    <row r="79" spans="1:7" s="185" customFormat="1" ht="12" customHeight="1">
      <c r="A79" s="226" t="s">
        <v>513</v>
      </c>
      <c r="B79" s="949"/>
      <c r="C79" s="226" t="s">
        <v>514</v>
      </c>
      <c r="D79" s="227" t="s">
        <v>679</v>
      </c>
      <c r="E79" s="227" t="s">
        <v>679</v>
      </c>
      <c r="F79" s="225"/>
      <c r="G79" s="225"/>
    </row>
    <row r="80" spans="1:7" s="230" customFormat="1" ht="12" customHeight="1">
      <c r="A80" s="228" t="s">
        <v>518</v>
      </c>
      <c r="B80" s="950" t="s">
        <v>519</v>
      </c>
      <c r="C80" s="228" t="s">
        <v>520</v>
      </c>
      <c r="D80" s="229">
        <v>5</v>
      </c>
      <c r="E80" s="229">
        <v>6</v>
      </c>
      <c r="F80" s="225"/>
      <c r="G80" s="225"/>
    </row>
    <row r="81" spans="1:7" s="207" customFormat="1" ht="12" customHeight="1">
      <c r="A81" s="231"/>
      <c r="B81" s="951" t="s">
        <v>680</v>
      </c>
      <c r="C81" s="232" t="s">
        <v>681</v>
      </c>
      <c r="D81" s="877"/>
      <c r="E81" s="877"/>
      <c r="F81" s="233"/>
      <c r="G81" s="233"/>
    </row>
    <row r="82" spans="1:7" s="207" customFormat="1" ht="12" customHeight="1">
      <c r="A82" s="231" t="s">
        <v>523</v>
      </c>
      <c r="B82" s="951" t="s">
        <v>682</v>
      </c>
      <c r="C82" s="232" t="s">
        <v>683</v>
      </c>
      <c r="D82" s="877"/>
      <c r="E82" s="877"/>
      <c r="F82" s="2343"/>
      <c r="G82" s="2343"/>
    </row>
    <row r="83" spans="1:7" s="207" customFormat="1" ht="12" customHeight="1">
      <c r="A83" s="231" t="s">
        <v>526</v>
      </c>
      <c r="B83" s="951" t="s">
        <v>684</v>
      </c>
      <c r="C83" s="232" t="s">
        <v>685</v>
      </c>
      <c r="D83" s="877"/>
      <c r="E83" s="877"/>
      <c r="F83" s="215"/>
      <c r="G83" s="215"/>
    </row>
    <row r="84" spans="1:7" s="185" customFormat="1" ht="12" customHeight="1">
      <c r="A84" s="234" t="s">
        <v>529</v>
      </c>
      <c r="B84" s="952" t="s">
        <v>686</v>
      </c>
      <c r="C84" s="235" t="s">
        <v>687</v>
      </c>
      <c r="D84" s="878"/>
      <c r="E84" s="878"/>
      <c r="F84" s="215"/>
      <c r="G84" s="215"/>
    </row>
    <row r="85" spans="1:7" s="185" customFormat="1" ht="12" customHeight="1">
      <c r="A85" s="234" t="s">
        <v>532</v>
      </c>
      <c r="B85" s="952" t="s">
        <v>688</v>
      </c>
      <c r="C85" s="235" t="s">
        <v>689</v>
      </c>
      <c r="D85" s="878"/>
      <c r="E85" s="878"/>
      <c r="F85" s="225"/>
      <c r="G85" s="206"/>
    </row>
    <row r="86" spans="1:7" s="185" customFormat="1" ht="12" customHeight="1">
      <c r="A86" s="234" t="s">
        <v>535</v>
      </c>
      <c r="B86" s="952" t="s">
        <v>690</v>
      </c>
      <c r="C86" s="235" t="s">
        <v>691</v>
      </c>
      <c r="D86" s="878"/>
      <c r="E86" s="878"/>
      <c r="F86" s="225"/>
      <c r="G86" s="206"/>
    </row>
    <row r="87" spans="1:7" s="185" customFormat="1" ht="12" customHeight="1">
      <c r="A87" s="210" t="s">
        <v>538</v>
      </c>
      <c r="B87" s="943" t="s">
        <v>692</v>
      </c>
      <c r="C87" s="211" t="s">
        <v>693</v>
      </c>
      <c r="D87" s="887"/>
      <c r="E87" s="878"/>
      <c r="F87" s="225"/>
      <c r="G87" s="216"/>
    </row>
    <row r="88" spans="1:7" s="207" customFormat="1" ht="12" customHeight="1">
      <c r="A88" s="231" t="s">
        <v>550</v>
      </c>
      <c r="B88" s="951" t="s">
        <v>694</v>
      </c>
      <c r="C88" s="232" t="s">
        <v>695</v>
      </c>
      <c r="D88" s="877"/>
      <c r="E88" s="877"/>
      <c r="F88" s="233"/>
      <c r="G88" s="206"/>
    </row>
    <row r="89" spans="1:7" s="185" customFormat="1" ht="12" customHeight="1">
      <c r="A89" s="234" t="s">
        <v>553</v>
      </c>
      <c r="B89" s="952" t="s">
        <v>696</v>
      </c>
      <c r="C89" s="235" t="s">
        <v>697</v>
      </c>
      <c r="D89" s="878"/>
      <c r="E89" s="878"/>
      <c r="F89" s="225"/>
      <c r="G89" s="206"/>
    </row>
    <row r="90" spans="1:7" s="185" customFormat="1" ht="12" customHeight="1">
      <c r="A90" s="234" t="s">
        <v>532</v>
      </c>
      <c r="B90" s="952" t="s">
        <v>698</v>
      </c>
      <c r="C90" s="235" t="s">
        <v>699</v>
      </c>
      <c r="D90" s="878"/>
      <c r="E90" s="878"/>
      <c r="F90" s="225"/>
      <c r="G90" s="206"/>
    </row>
    <row r="91" spans="1:7" s="185" customFormat="1" ht="12" customHeight="1">
      <c r="A91" s="234" t="s">
        <v>535</v>
      </c>
      <c r="B91" s="952" t="s">
        <v>700</v>
      </c>
      <c r="C91" s="235" t="s">
        <v>701</v>
      </c>
      <c r="D91" s="878"/>
      <c r="E91" s="878"/>
      <c r="F91" s="225"/>
      <c r="G91" s="206"/>
    </row>
    <row r="92" spans="1:7" s="185" customFormat="1" ht="12" customHeight="1">
      <c r="A92" s="234" t="s">
        <v>538</v>
      </c>
      <c r="B92" s="952" t="s">
        <v>702</v>
      </c>
      <c r="C92" s="235" t="s">
        <v>703</v>
      </c>
      <c r="D92" s="878"/>
      <c r="E92" s="878"/>
      <c r="F92" s="225"/>
      <c r="G92" s="206"/>
    </row>
    <row r="93" spans="1:7" s="185" customFormat="1" ht="12" customHeight="1">
      <c r="A93" s="234" t="s">
        <v>541</v>
      </c>
      <c r="B93" s="952" t="s">
        <v>704</v>
      </c>
      <c r="C93" s="235" t="s">
        <v>705</v>
      </c>
      <c r="D93" s="878"/>
      <c r="E93" s="878"/>
      <c r="F93" s="225"/>
      <c r="G93" s="206"/>
    </row>
    <row r="94" spans="1:7" s="185" customFormat="1" ht="12" customHeight="1">
      <c r="A94" s="234" t="s">
        <v>544</v>
      </c>
      <c r="B94" s="952" t="s">
        <v>706</v>
      </c>
      <c r="C94" s="235" t="s">
        <v>707</v>
      </c>
      <c r="D94" s="878"/>
      <c r="E94" s="878"/>
      <c r="F94" s="225"/>
      <c r="G94" s="206"/>
    </row>
    <row r="95" spans="1:7" s="207" customFormat="1" ht="12" customHeight="1">
      <c r="A95" s="231" t="s">
        <v>574</v>
      </c>
      <c r="B95" s="951" t="s">
        <v>708</v>
      </c>
      <c r="C95" s="232" t="s">
        <v>709</v>
      </c>
      <c r="D95" s="877"/>
      <c r="E95" s="877"/>
      <c r="F95" s="233"/>
      <c r="G95" s="206"/>
    </row>
    <row r="96" spans="1:7" s="185" customFormat="1" ht="12" customHeight="1">
      <c r="A96" s="234" t="s">
        <v>577</v>
      </c>
      <c r="B96" s="952" t="s">
        <v>710</v>
      </c>
      <c r="C96" s="235" t="s">
        <v>711</v>
      </c>
      <c r="D96" s="878"/>
      <c r="E96" s="878"/>
      <c r="F96" s="225"/>
      <c r="G96" s="206"/>
    </row>
    <row r="97" spans="1:7" s="185" customFormat="1" ht="12" customHeight="1">
      <c r="A97" s="234" t="s">
        <v>532</v>
      </c>
      <c r="B97" s="952" t="s">
        <v>712</v>
      </c>
      <c r="C97" s="235" t="s">
        <v>713</v>
      </c>
      <c r="D97" s="878"/>
      <c r="E97" s="878"/>
      <c r="F97" s="225"/>
      <c r="G97" s="206"/>
    </row>
    <row r="98" spans="1:7" s="185" customFormat="1" ht="12" customHeight="1">
      <c r="A98" s="234" t="s">
        <v>535</v>
      </c>
      <c r="B98" s="952" t="s">
        <v>714</v>
      </c>
      <c r="C98" s="235" t="s">
        <v>715</v>
      </c>
      <c r="D98" s="878"/>
      <c r="E98" s="878"/>
      <c r="F98" s="225"/>
      <c r="G98" s="206"/>
    </row>
    <row r="99" spans="1:7" s="207" customFormat="1" ht="12" customHeight="1">
      <c r="A99" s="231" t="s">
        <v>716</v>
      </c>
      <c r="B99" s="951" t="s">
        <v>717</v>
      </c>
      <c r="C99" s="232" t="s">
        <v>718</v>
      </c>
      <c r="D99" s="877"/>
      <c r="E99" s="877"/>
      <c r="F99" s="233"/>
      <c r="G99" s="206"/>
    </row>
    <row r="100" spans="1:7" s="185" customFormat="1" ht="12" customHeight="1">
      <c r="A100" s="234" t="s">
        <v>719</v>
      </c>
      <c r="B100" s="952" t="s">
        <v>720</v>
      </c>
      <c r="C100" s="235" t="s">
        <v>721</v>
      </c>
      <c r="D100" s="878"/>
      <c r="E100" s="878"/>
      <c r="F100" s="225"/>
      <c r="G100" s="206"/>
    </row>
    <row r="101" spans="1:7" s="185" customFormat="1" ht="12" customHeight="1">
      <c r="A101" s="234" t="s">
        <v>532</v>
      </c>
      <c r="B101" s="952" t="s">
        <v>722</v>
      </c>
      <c r="C101" s="235" t="s">
        <v>723</v>
      </c>
      <c r="D101" s="878"/>
      <c r="E101" s="878"/>
      <c r="F101" s="225"/>
      <c r="G101" s="206"/>
    </row>
    <row r="102" spans="1:7" s="238" customFormat="1" ht="10.5">
      <c r="A102" s="236" t="s">
        <v>724</v>
      </c>
      <c r="B102" s="953" t="s">
        <v>725</v>
      </c>
      <c r="C102" s="237" t="s">
        <v>726</v>
      </c>
      <c r="D102" s="888"/>
      <c r="E102" s="888"/>
      <c r="F102" s="233"/>
    </row>
    <row r="103" spans="1:7" s="207" customFormat="1" ht="12" customHeight="1">
      <c r="A103" s="231" t="s">
        <v>594</v>
      </c>
      <c r="B103" s="951" t="s">
        <v>727</v>
      </c>
      <c r="C103" s="232" t="s">
        <v>728</v>
      </c>
      <c r="D103" s="877"/>
      <c r="E103" s="877"/>
      <c r="F103" s="239"/>
      <c r="G103" s="206"/>
    </row>
    <row r="104" spans="1:7" s="207" customFormat="1" ht="12" customHeight="1">
      <c r="A104" s="231" t="s">
        <v>597</v>
      </c>
      <c r="B104" s="951" t="s">
        <v>729</v>
      </c>
      <c r="C104" s="232" t="s">
        <v>730</v>
      </c>
      <c r="D104" s="877"/>
      <c r="E104" s="877"/>
      <c r="F104" s="2342"/>
      <c r="G104" s="2342"/>
    </row>
    <row r="105" spans="1:7" s="185" customFormat="1" ht="12" customHeight="1">
      <c r="A105" s="234" t="s">
        <v>600</v>
      </c>
      <c r="B105" s="952" t="s">
        <v>731</v>
      </c>
      <c r="C105" s="235" t="s">
        <v>732</v>
      </c>
      <c r="D105" s="878"/>
      <c r="E105" s="878"/>
      <c r="F105" s="215"/>
      <c r="G105" s="215"/>
    </row>
    <row r="106" spans="1:7" s="185" customFormat="1" ht="12" customHeight="1">
      <c r="A106" s="234" t="s">
        <v>532</v>
      </c>
      <c r="B106" s="952" t="s">
        <v>733</v>
      </c>
      <c r="C106" s="235" t="s">
        <v>734</v>
      </c>
      <c r="D106" s="878"/>
      <c r="E106" s="878"/>
      <c r="F106" s="215"/>
      <c r="G106" s="215"/>
    </row>
    <row r="107" spans="1:7" s="185" customFormat="1" ht="12" customHeight="1">
      <c r="A107" s="234" t="s">
        <v>535</v>
      </c>
      <c r="B107" s="952" t="s">
        <v>735</v>
      </c>
      <c r="C107" s="235" t="s">
        <v>736</v>
      </c>
      <c r="D107" s="878"/>
      <c r="E107" s="878"/>
      <c r="F107" s="215"/>
      <c r="G107" s="215"/>
    </row>
    <row r="108" spans="1:7" s="185" customFormat="1" ht="12" customHeight="1">
      <c r="A108" s="234" t="s">
        <v>538</v>
      </c>
      <c r="B108" s="952" t="s">
        <v>737</v>
      </c>
      <c r="C108" s="235" t="s">
        <v>738</v>
      </c>
      <c r="D108" s="878"/>
      <c r="E108" s="878"/>
      <c r="F108" s="225"/>
      <c r="G108" s="206"/>
    </row>
    <row r="109" spans="1:7" s="207" customFormat="1" ht="12" customHeight="1">
      <c r="A109" s="231" t="s">
        <v>613</v>
      </c>
      <c r="B109" s="951" t="s">
        <v>739</v>
      </c>
      <c r="C109" s="232" t="s">
        <v>740</v>
      </c>
      <c r="D109" s="877"/>
      <c r="E109" s="877"/>
      <c r="F109" s="2342"/>
      <c r="G109" s="2342"/>
    </row>
    <row r="110" spans="1:7" s="185" customFormat="1" ht="12" customHeight="1">
      <c r="A110" s="240" t="s">
        <v>616</v>
      </c>
      <c r="B110" s="954" t="s">
        <v>741</v>
      </c>
      <c r="C110" s="241" t="s">
        <v>742</v>
      </c>
      <c r="D110" s="880"/>
      <c r="E110" s="882"/>
      <c r="F110" s="215"/>
      <c r="G110" s="215"/>
    </row>
    <row r="111" spans="1:7" s="185" customFormat="1" ht="12" customHeight="1">
      <c r="A111" s="240" t="s">
        <v>532</v>
      </c>
      <c r="B111" s="954" t="s">
        <v>619</v>
      </c>
      <c r="C111" s="241" t="s">
        <v>743</v>
      </c>
      <c r="D111" s="880"/>
      <c r="E111" s="882"/>
      <c r="F111" s="215"/>
      <c r="G111" s="215"/>
    </row>
    <row r="112" spans="1:7" s="185" customFormat="1" ht="12" customHeight="1">
      <c r="A112" s="240" t="s">
        <v>535</v>
      </c>
      <c r="B112" s="954" t="s">
        <v>744</v>
      </c>
      <c r="C112" s="241" t="s">
        <v>745</v>
      </c>
      <c r="D112" s="880"/>
      <c r="E112" s="882"/>
      <c r="F112" s="215"/>
      <c r="G112" s="215"/>
    </row>
    <row r="113" spans="1:7" s="185" customFormat="1" ht="12" customHeight="1">
      <c r="A113" s="240" t="s">
        <v>538</v>
      </c>
      <c r="B113" s="954" t="s">
        <v>746</v>
      </c>
      <c r="C113" s="241" t="s">
        <v>747</v>
      </c>
      <c r="D113" s="880"/>
      <c r="E113" s="882"/>
      <c r="F113" s="225"/>
      <c r="G113" s="206"/>
    </row>
    <row r="114" spans="1:7" s="185" customFormat="1" ht="12" customHeight="1">
      <c r="A114" s="240" t="s">
        <v>541</v>
      </c>
      <c r="B114" s="954" t="s">
        <v>748</v>
      </c>
      <c r="C114" s="241" t="s">
        <v>749</v>
      </c>
      <c r="D114" s="880"/>
      <c r="E114" s="882"/>
      <c r="F114" s="225"/>
      <c r="G114" s="206"/>
    </row>
    <row r="115" spans="1:7" s="185" customFormat="1" ht="12" customHeight="1">
      <c r="A115" s="240" t="s">
        <v>544</v>
      </c>
      <c r="B115" s="954" t="s">
        <v>750</v>
      </c>
      <c r="C115" s="241" t="s">
        <v>751</v>
      </c>
      <c r="D115" s="880"/>
      <c r="E115" s="882"/>
      <c r="F115" s="225"/>
      <c r="G115" s="206"/>
    </row>
    <row r="116" spans="1:7" s="185" customFormat="1" ht="12" customHeight="1">
      <c r="A116" s="240" t="s">
        <v>547</v>
      </c>
      <c r="B116" s="954" t="s">
        <v>752</v>
      </c>
      <c r="C116" s="241" t="s">
        <v>753</v>
      </c>
      <c r="D116" s="882"/>
      <c r="E116" s="882"/>
      <c r="F116" s="225"/>
      <c r="G116" s="206"/>
    </row>
    <row r="117" spans="1:7" s="185" customFormat="1" ht="12" customHeight="1">
      <c r="A117" s="240" t="s">
        <v>568</v>
      </c>
      <c r="B117" s="954" t="s">
        <v>754</v>
      </c>
      <c r="C117" s="241" t="s">
        <v>755</v>
      </c>
      <c r="D117" s="882"/>
      <c r="E117" s="882"/>
      <c r="F117" s="225"/>
      <c r="G117" s="206"/>
    </row>
    <row r="118" spans="1:7" s="185" customFormat="1" ht="12" customHeight="1">
      <c r="A118" s="240" t="s">
        <v>571</v>
      </c>
      <c r="B118" s="954" t="s">
        <v>756</v>
      </c>
      <c r="C118" s="241" t="s">
        <v>757</v>
      </c>
      <c r="D118" s="882"/>
      <c r="E118" s="882"/>
      <c r="F118" s="225"/>
      <c r="G118" s="206"/>
    </row>
    <row r="119" spans="1:7" s="185" customFormat="1" ht="12" customHeight="1">
      <c r="A119" s="240" t="s">
        <v>758</v>
      </c>
      <c r="B119" s="954" t="s">
        <v>759</v>
      </c>
      <c r="C119" s="241" t="s">
        <v>760</v>
      </c>
      <c r="D119" s="882"/>
      <c r="E119" s="882"/>
      <c r="F119" s="225"/>
      <c r="G119" s="206"/>
    </row>
    <row r="120" spans="1:7" s="185" customFormat="1" ht="12" customHeight="1">
      <c r="A120" s="240" t="s">
        <v>761</v>
      </c>
      <c r="B120" s="955" t="s">
        <v>762</v>
      </c>
      <c r="C120" s="241" t="s">
        <v>763</v>
      </c>
      <c r="D120" s="882"/>
      <c r="E120" s="882"/>
      <c r="F120" s="225"/>
      <c r="G120" s="206"/>
    </row>
    <row r="121" spans="1:7" s="207" customFormat="1" ht="12" customHeight="1">
      <c r="A121" s="231" t="s">
        <v>631</v>
      </c>
      <c r="B121" s="951" t="s">
        <v>764</v>
      </c>
      <c r="C121" s="232" t="s">
        <v>765</v>
      </c>
      <c r="D121" s="877"/>
      <c r="E121" s="877"/>
      <c r="F121" s="2342"/>
      <c r="G121" s="2342"/>
    </row>
    <row r="122" spans="1:7" s="185" customFormat="1" ht="12" customHeight="1">
      <c r="A122" s="234" t="s">
        <v>634</v>
      </c>
      <c r="B122" s="952" t="s">
        <v>766</v>
      </c>
      <c r="C122" s="235" t="s">
        <v>767</v>
      </c>
      <c r="D122" s="880"/>
      <c r="E122" s="882"/>
      <c r="F122" s="215"/>
      <c r="G122" s="215"/>
    </row>
    <row r="123" spans="1:7" s="185" customFormat="1" ht="12" customHeight="1">
      <c r="A123" s="240" t="s">
        <v>532</v>
      </c>
      <c r="B123" s="954" t="s">
        <v>619</v>
      </c>
      <c r="C123" s="241" t="s">
        <v>768</v>
      </c>
      <c r="D123" s="880"/>
      <c r="E123" s="882"/>
      <c r="F123" s="215"/>
      <c r="G123" s="215"/>
    </row>
    <row r="124" spans="1:7" s="185" customFormat="1" ht="12" customHeight="1">
      <c r="A124" s="234" t="s">
        <v>535</v>
      </c>
      <c r="B124" s="952" t="s">
        <v>769</v>
      </c>
      <c r="C124" s="235" t="s">
        <v>770</v>
      </c>
      <c r="D124" s="880"/>
      <c r="E124" s="882"/>
      <c r="F124" s="215"/>
      <c r="G124" s="215"/>
    </row>
    <row r="125" spans="1:7" s="185" customFormat="1" ht="12" customHeight="1">
      <c r="A125" s="234" t="s">
        <v>538</v>
      </c>
      <c r="B125" s="952" t="s">
        <v>771</v>
      </c>
      <c r="C125" s="235" t="s">
        <v>772</v>
      </c>
      <c r="D125" s="880"/>
      <c r="E125" s="882"/>
      <c r="F125" s="215"/>
      <c r="G125" s="215"/>
    </row>
    <row r="126" spans="1:7" s="185" customFormat="1" ht="12" customHeight="1">
      <c r="A126" s="234" t="s">
        <v>541</v>
      </c>
      <c r="B126" s="952" t="s">
        <v>773</v>
      </c>
      <c r="C126" s="235" t="s">
        <v>774</v>
      </c>
      <c r="D126" s="880"/>
      <c r="E126" s="882"/>
      <c r="F126" s="2343"/>
      <c r="G126" s="2343"/>
    </row>
    <row r="127" spans="1:7" s="185" customFormat="1" ht="12" customHeight="1">
      <c r="A127" s="234" t="s">
        <v>544</v>
      </c>
      <c r="B127" s="952" t="s">
        <v>775</v>
      </c>
      <c r="C127" s="235" t="s">
        <v>776</v>
      </c>
      <c r="D127" s="880"/>
      <c r="E127" s="882"/>
      <c r="F127" s="2343"/>
      <c r="G127" s="2343"/>
    </row>
    <row r="128" spans="1:7" s="185" customFormat="1" ht="12" customHeight="1">
      <c r="A128" s="234" t="s">
        <v>547</v>
      </c>
      <c r="B128" s="952" t="s">
        <v>777</v>
      </c>
      <c r="C128" s="235" t="s">
        <v>778</v>
      </c>
      <c r="D128" s="882"/>
      <c r="E128" s="882"/>
      <c r="F128" s="2343"/>
      <c r="G128" s="2343"/>
    </row>
    <row r="129" spans="1:7" s="185" customFormat="1" ht="12" customHeight="1">
      <c r="A129" s="234" t="s">
        <v>568</v>
      </c>
      <c r="B129" s="952" t="s">
        <v>779</v>
      </c>
      <c r="C129" s="235" t="s">
        <v>780</v>
      </c>
      <c r="D129" s="882"/>
      <c r="E129" s="882"/>
      <c r="F129" s="225"/>
      <c r="G129" s="206"/>
    </row>
    <row r="130" spans="1:7" s="185" customFormat="1" ht="12" customHeight="1">
      <c r="A130" s="234" t="s">
        <v>571</v>
      </c>
      <c r="B130" s="952" t="s">
        <v>781</v>
      </c>
      <c r="C130" s="235" t="s">
        <v>782</v>
      </c>
      <c r="D130" s="882"/>
      <c r="E130" s="882"/>
      <c r="F130" s="225"/>
      <c r="G130" s="206"/>
    </row>
    <row r="131" spans="1:7" s="185" customFormat="1" ht="12" customHeight="1">
      <c r="A131" s="234" t="s">
        <v>758</v>
      </c>
      <c r="B131" s="956" t="s">
        <v>783</v>
      </c>
      <c r="C131" s="235" t="s">
        <v>784</v>
      </c>
      <c r="D131" s="882"/>
      <c r="E131" s="882"/>
      <c r="F131" s="225"/>
      <c r="G131" s="206"/>
    </row>
    <row r="132" spans="1:7" s="185" customFormat="1" ht="12" customHeight="1">
      <c r="A132" s="242" t="s">
        <v>649</v>
      </c>
      <c r="B132" s="957" t="s">
        <v>785</v>
      </c>
      <c r="C132" s="243" t="s">
        <v>786</v>
      </c>
      <c r="D132" s="889"/>
      <c r="E132" s="889"/>
      <c r="F132" s="2342"/>
      <c r="G132" s="2342"/>
    </row>
    <row r="133" spans="1:7" s="207" customFormat="1" ht="12" customHeight="1">
      <c r="A133" s="231" t="s">
        <v>787</v>
      </c>
      <c r="B133" s="951" t="s">
        <v>788</v>
      </c>
      <c r="C133" s="232" t="s">
        <v>789</v>
      </c>
      <c r="D133" s="877"/>
      <c r="E133" s="877"/>
      <c r="F133" s="2342"/>
      <c r="G133" s="2342"/>
    </row>
    <row r="134" spans="1:7" s="185" customFormat="1" ht="12" customHeight="1">
      <c r="A134" s="234" t="s">
        <v>790</v>
      </c>
      <c r="B134" s="952" t="s">
        <v>791</v>
      </c>
      <c r="C134" s="235" t="s">
        <v>792</v>
      </c>
      <c r="D134" s="882"/>
      <c r="E134" s="882"/>
      <c r="F134" s="215"/>
      <c r="G134" s="215"/>
    </row>
    <row r="135" spans="1:7" s="185" customFormat="1" ht="12" customHeight="1">
      <c r="A135" s="234" t="s">
        <v>532</v>
      </c>
      <c r="B135" s="952" t="s">
        <v>793</v>
      </c>
      <c r="C135" s="235" t="s">
        <v>794</v>
      </c>
      <c r="D135" s="882"/>
      <c r="E135" s="882"/>
      <c r="F135" s="215"/>
      <c r="G135" s="215"/>
    </row>
    <row r="136" spans="1:7" s="207" customFormat="1" ht="12" customHeight="1">
      <c r="A136" s="231" t="s">
        <v>663</v>
      </c>
      <c r="B136" s="951" t="s">
        <v>795</v>
      </c>
      <c r="C136" s="232" t="s">
        <v>796</v>
      </c>
      <c r="D136" s="877"/>
      <c r="E136" s="877"/>
      <c r="F136" s="2342"/>
      <c r="G136" s="2342"/>
    </row>
    <row r="137" spans="1:7" s="185" customFormat="1" ht="12" customHeight="1">
      <c r="A137" s="234" t="s">
        <v>666</v>
      </c>
      <c r="B137" s="952" t="s">
        <v>797</v>
      </c>
      <c r="C137" s="235" t="s">
        <v>798</v>
      </c>
      <c r="D137" s="878"/>
      <c r="E137" s="878"/>
      <c r="F137" s="215"/>
      <c r="G137" s="215"/>
    </row>
    <row r="138" spans="1:7" s="185" customFormat="1" ht="12" customHeight="1">
      <c r="A138" s="234" t="s">
        <v>532</v>
      </c>
      <c r="B138" s="952" t="s">
        <v>799</v>
      </c>
      <c r="C138" s="235" t="s">
        <v>800</v>
      </c>
      <c r="D138" s="880"/>
      <c r="E138" s="880"/>
      <c r="F138" s="215"/>
      <c r="G138" s="215"/>
    </row>
    <row r="139" spans="1:7" s="185" customFormat="1" ht="12" customHeight="1">
      <c r="A139" s="234" t="s">
        <v>535</v>
      </c>
      <c r="B139" s="952" t="s">
        <v>801</v>
      </c>
      <c r="C139" s="235" t="s">
        <v>802</v>
      </c>
      <c r="D139" s="880"/>
      <c r="E139" s="880"/>
      <c r="F139" s="2343"/>
      <c r="G139" s="2343"/>
    </row>
    <row r="140" spans="1:7" s="185" customFormat="1" ht="12" customHeight="1">
      <c r="A140" s="234" t="s">
        <v>538</v>
      </c>
      <c r="B140" s="952" t="s">
        <v>803</v>
      </c>
      <c r="C140" s="235" t="s">
        <v>804</v>
      </c>
      <c r="D140" s="878"/>
      <c r="E140" s="878"/>
      <c r="F140" s="225"/>
      <c r="G140" s="206"/>
    </row>
    <row r="141" spans="1:7" ht="12" customHeight="1">
      <c r="A141" s="244"/>
      <c r="B141" s="958" t="s">
        <v>805</v>
      </c>
      <c r="C141" s="245" t="s">
        <v>806</v>
      </c>
      <c r="D141" s="886"/>
      <c r="E141" s="886"/>
      <c r="F141" s="225"/>
      <c r="G141" s="206"/>
    </row>
    <row r="142" spans="1:7" ht="15" customHeight="1">
      <c r="A142" s="246"/>
      <c r="B142" s="959"/>
      <c r="C142" s="247"/>
      <c r="D142" s="248"/>
      <c r="E142" s="248"/>
    </row>
    <row r="143" spans="1:7" ht="15" customHeight="1">
      <c r="A143" s="246"/>
      <c r="B143" s="959"/>
      <c r="C143" s="247"/>
      <c r="D143" s="248"/>
      <c r="E143" s="248"/>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pageSetUpPr fitToPage="1"/>
  </sheetPr>
  <dimension ref="A1:E88"/>
  <sheetViews>
    <sheetView showGridLines="0" showZeros="0" topLeftCell="A25" zoomScaleNormal="100" workbookViewId="0">
      <selection activeCell="B53" sqref="B53"/>
    </sheetView>
  </sheetViews>
  <sheetFormatPr defaultColWidth="9.1796875" defaultRowHeight="10"/>
  <cols>
    <col min="1" max="1" width="5.7265625" style="178" customWidth="1"/>
    <col min="2" max="2" width="65" style="178" customWidth="1"/>
    <col min="3" max="3" width="9.26953125" style="199" customWidth="1"/>
    <col min="4" max="4" width="15.54296875" style="290" customWidth="1"/>
    <col min="5" max="5" width="14.54296875" style="178" customWidth="1"/>
    <col min="6" max="16384" width="9.1796875" style="178"/>
  </cols>
  <sheetData>
    <row r="1" spans="1:5" ht="12" customHeight="1">
      <c r="A1" s="180" t="s">
        <v>497</v>
      </c>
      <c r="B1" s="249">
        <v>0</v>
      </c>
      <c r="C1" s="250"/>
      <c r="D1" s="251"/>
      <c r="E1" s="252"/>
    </row>
    <row r="2" spans="1:5" s="185" customFormat="1" ht="12" customHeight="1">
      <c r="A2" s="180" t="s">
        <v>500</v>
      </c>
      <c r="B2" s="253" t="s">
        <v>807</v>
      </c>
      <c r="C2" s="250"/>
      <c r="D2" s="251"/>
      <c r="E2" s="252"/>
    </row>
    <row r="3" spans="1:5" ht="11.25" customHeight="1">
      <c r="B3" s="376" t="s">
        <v>807</v>
      </c>
      <c r="C3" s="178"/>
      <c r="D3" s="178"/>
    </row>
    <row r="4" spans="1:5" ht="11.25" customHeight="1">
      <c r="A4" s="188"/>
      <c r="B4" s="189"/>
      <c r="C4" s="189"/>
      <c r="D4" s="254"/>
      <c r="E4" s="255"/>
    </row>
    <row r="5" spans="1:5" ht="12" customHeight="1">
      <c r="B5" s="256" t="s">
        <v>808</v>
      </c>
      <c r="C5" s="195"/>
      <c r="D5" s="257"/>
      <c r="E5" s="258"/>
    </row>
    <row r="6" spans="1:5" s="199" customFormat="1" ht="12" customHeight="1">
      <c r="A6" s="259" t="s">
        <v>508</v>
      </c>
      <c r="B6" s="260" t="s">
        <v>809</v>
      </c>
      <c r="C6" s="259" t="s">
        <v>510</v>
      </c>
      <c r="D6" s="261" t="s">
        <v>810</v>
      </c>
      <c r="E6" s="262"/>
    </row>
    <row r="7" spans="1:5" s="202" customFormat="1" ht="12" customHeight="1">
      <c r="A7" s="263" t="s">
        <v>513</v>
      </c>
      <c r="B7" s="264"/>
      <c r="C7" s="263" t="s">
        <v>514</v>
      </c>
      <c r="D7" s="265" t="s">
        <v>811</v>
      </c>
      <c r="E7" s="266" t="s">
        <v>812</v>
      </c>
    </row>
    <row r="8" spans="1:5" s="199" customFormat="1" ht="12" customHeight="1">
      <c r="A8" s="267" t="s">
        <v>518</v>
      </c>
      <c r="B8" s="268" t="s">
        <v>519</v>
      </c>
      <c r="C8" s="267" t="s">
        <v>520</v>
      </c>
      <c r="D8" s="269">
        <v>1</v>
      </c>
      <c r="E8" s="267">
        <v>2</v>
      </c>
    </row>
    <row r="9" spans="1:5" s="185" customFormat="1" ht="12" customHeight="1">
      <c r="A9" s="270" t="s">
        <v>813</v>
      </c>
      <c r="B9" s="271" t="s">
        <v>1380</v>
      </c>
      <c r="C9" s="272" t="s">
        <v>814</v>
      </c>
      <c r="D9" s="890"/>
      <c r="E9" s="891"/>
    </row>
    <row r="10" spans="1:5" s="185" customFormat="1" ht="12" customHeight="1">
      <c r="A10" s="270" t="s">
        <v>815</v>
      </c>
      <c r="B10" s="271" t="s">
        <v>816</v>
      </c>
      <c r="C10" s="272" t="s">
        <v>817</v>
      </c>
      <c r="D10" s="892"/>
      <c r="E10" s="893"/>
    </row>
    <row r="11" spans="1:5" s="275" customFormat="1" ht="12" customHeight="1">
      <c r="A11" s="273" t="s">
        <v>818</v>
      </c>
      <c r="B11" s="273" t="s">
        <v>819</v>
      </c>
      <c r="C11" s="274" t="s">
        <v>820</v>
      </c>
      <c r="D11" s="894">
        <f>D9-D10</f>
        <v>0</v>
      </c>
      <c r="E11" s="894">
        <f>E9-E10</f>
        <v>0</v>
      </c>
    </row>
    <row r="12" spans="1:5" s="207" customFormat="1" ht="12" customHeight="1">
      <c r="A12" s="276" t="s">
        <v>821</v>
      </c>
      <c r="B12" s="276" t="s">
        <v>822</v>
      </c>
      <c r="C12" s="277" t="s">
        <v>823</v>
      </c>
      <c r="D12" s="895">
        <f>SUM(D13:D15)</f>
        <v>0</v>
      </c>
      <c r="E12" s="895">
        <f>SUM(E13:E15)</f>
        <v>0</v>
      </c>
    </row>
    <row r="13" spans="1:5" s="185" customFormat="1" ht="12" customHeight="1">
      <c r="A13" s="270" t="s">
        <v>824</v>
      </c>
      <c r="B13" s="271" t="s">
        <v>825</v>
      </c>
      <c r="C13" s="272" t="s">
        <v>826</v>
      </c>
      <c r="D13" s="890"/>
      <c r="E13" s="891"/>
    </row>
    <row r="14" spans="1:5" s="185" customFormat="1" ht="12" customHeight="1">
      <c r="A14" s="270" t="s">
        <v>532</v>
      </c>
      <c r="B14" s="271" t="s">
        <v>827</v>
      </c>
      <c r="C14" s="272" t="s">
        <v>828</v>
      </c>
      <c r="D14" s="890"/>
      <c r="E14" s="891"/>
    </row>
    <row r="15" spans="1:5" s="185" customFormat="1" ht="12" customHeight="1">
      <c r="A15" s="270" t="s">
        <v>535</v>
      </c>
      <c r="B15" s="271" t="s">
        <v>829</v>
      </c>
      <c r="C15" s="272" t="s">
        <v>830</v>
      </c>
      <c r="D15" s="890"/>
      <c r="E15" s="891"/>
    </row>
    <row r="16" spans="1:5" s="185" customFormat="1" ht="12" customHeight="1">
      <c r="A16" s="278" t="s">
        <v>594</v>
      </c>
      <c r="B16" s="279" t="s">
        <v>831</v>
      </c>
      <c r="C16" s="280" t="s">
        <v>832</v>
      </c>
      <c r="D16" s="896">
        <f>SUM(D17:D18)</f>
        <v>0</v>
      </c>
      <c r="E16" s="896">
        <f>SUM(E17:E18)</f>
        <v>0</v>
      </c>
    </row>
    <row r="17" spans="1:5" s="185" customFormat="1" ht="12" customHeight="1">
      <c r="A17" s="270" t="s">
        <v>833</v>
      </c>
      <c r="B17" s="271" t="s">
        <v>834</v>
      </c>
      <c r="C17" s="272" t="s">
        <v>835</v>
      </c>
      <c r="D17" s="890"/>
      <c r="E17" s="891"/>
    </row>
    <row r="18" spans="1:5" s="185" customFormat="1" ht="12" customHeight="1">
      <c r="A18" s="270" t="s">
        <v>836</v>
      </c>
      <c r="B18" s="271" t="s">
        <v>837</v>
      </c>
      <c r="C18" s="272" t="s">
        <v>838</v>
      </c>
      <c r="D18" s="892"/>
      <c r="E18" s="891"/>
    </row>
    <row r="19" spans="1:5" s="275" customFormat="1" ht="12" customHeight="1">
      <c r="A19" s="273" t="s">
        <v>818</v>
      </c>
      <c r="B19" s="273" t="s">
        <v>839</v>
      </c>
      <c r="C19" s="274" t="s">
        <v>840</v>
      </c>
      <c r="D19" s="894">
        <f>D11+D12-D16</f>
        <v>0</v>
      </c>
      <c r="E19" s="894">
        <f>E11+E12-E16</f>
        <v>0</v>
      </c>
    </row>
    <row r="20" spans="1:5" s="207" customFormat="1" ht="12" customHeight="1">
      <c r="A20" s="276" t="s">
        <v>663</v>
      </c>
      <c r="B20" s="276" t="s">
        <v>841</v>
      </c>
      <c r="C20" s="277" t="s">
        <v>842</v>
      </c>
      <c r="D20" s="895">
        <f>SUM(D21:D24)</f>
        <v>0</v>
      </c>
      <c r="E20" s="895">
        <f>SUM(E21:E24)</f>
        <v>0</v>
      </c>
    </row>
    <row r="21" spans="1:5" s="185" customFormat="1" ht="12" customHeight="1">
      <c r="A21" s="270" t="s">
        <v>666</v>
      </c>
      <c r="B21" s="271" t="s">
        <v>843</v>
      </c>
      <c r="C21" s="272" t="s">
        <v>844</v>
      </c>
      <c r="D21" s="890"/>
      <c r="E21" s="891"/>
    </row>
    <row r="22" spans="1:5" s="185" customFormat="1" ht="12" customHeight="1">
      <c r="A22" s="270" t="s">
        <v>836</v>
      </c>
      <c r="B22" s="271" t="s">
        <v>845</v>
      </c>
      <c r="C22" s="272" t="s">
        <v>846</v>
      </c>
      <c r="D22" s="890"/>
      <c r="E22" s="891"/>
    </row>
    <row r="23" spans="1:5" s="185" customFormat="1" ht="12" customHeight="1">
      <c r="A23" s="270" t="s">
        <v>847</v>
      </c>
      <c r="B23" s="271" t="s">
        <v>848</v>
      </c>
      <c r="C23" s="272" t="s">
        <v>849</v>
      </c>
      <c r="D23" s="890"/>
      <c r="E23" s="891"/>
    </row>
    <row r="24" spans="1:5" s="185" customFormat="1" ht="12" customHeight="1">
      <c r="A24" s="270" t="s">
        <v>850</v>
      </c>
      <c r="B24" s="271" t="s">
        <v>851</v>
      </c>
      <c r="C24" s="272" t="s">
        <v>852</v>
      </c>
      <c r="D24" s="890"/>
      <c r="E24" s="891"/>
    </row>
    <row r="25" spans="1:5" s="185" customFormat="1" ht="12" customHeight="1">
      <c r="A25" s="270" t="s">
        <v>853</v>
      </c>
      <c r="B25" s="271" t="s">
        <v>854</v>
      </c>
      <c r="C25" s="272" t="s">
        <v>855</v>
      </c>
      <c r="D25" s="890"/>
      <c r="E25" s="891"/>
    </row>
    <row r="26" spans="1:5" s="185" customFormat="1" ht="12" customHeight="1">
      <c r="A26" s="270" t="s">
        <v>856</v>
      </c>
      <c r="B26" s="271" t="s">
        <v>857</v>
      </c>
      <c r="C26" s="272" t="s">
        <v>858</v>
      </c>
      <c r="D26" s="890"/>
      <c r="E26" s="891"/>
    </row>
    <row r="27" spans="1:5" s="185" customFormat="1" ht="12" customHeight="1">
      <c r="A27" s="270" t="s">
        <v>859</v>
      </c>
      <c r="B27" s="271" t="s">
        <v>860</v>
      </c>
      <c r="C27" s="272" t="s">
        <v>861</v>
      </c>
      <c r="D27" s="890"/>
      <c r="E27" s="891"/>
    </row>
    <row r="28" spans="1:5" s="185" customFormat="1" ht="12" customHeight="1">
      <c r="A28" s="270" t="s">
        <v>862</v>
      </c>
      <c r="B28" s="271" t="s">
        <v>863</v>
      </c>
      <c r="C28" s="272" t="s">
        <v>864</v>
      </c>
      <c r="D28" s="890"/>
      <c r="E28" s="891"/>
    </row>
    <row r="29" spans="1:5" s="185" customFormat="1" ht="12" customHeight="1">
      <c r="A29" s="270" t="s">
        <v>865</v>
      </c>
      <c r="B29" s="281" t="s">
        <v>866</v>
      </c>
      <c r="C29" s="272" t="s">
        <v>867</v>
      </c>
      <c r="D29" s="890"/>
      <c r="E29" s="891"/>
    </row>
    <row r="30" spans="1:5" s="185" customFormat="1" ht="12" customHeight="1">
      <c r="A30" s="270" t="s">
        <v>868</v>
      </c>
      <c r="B30" s="281" t="s">
        <v>869</v>
      </c>
      <c r="C30" s="272" t="s">
        <v>870</v>
      </c>
      <c r="D30" s="890"/>
      <c r="E30" s="891"/>
    </row>
    <row r="31" spans="1:5" s="185" customFormat="1" ht="12" customHeight="1">
      <c r="A31" s="270" t="s">
        <v>871</v>
      </c>
      <c r="B31" s="281" t="s">
        <v>872</v>
      </c>
      <c r="C31" s="272" t="s">
        <v>873</v>
      </c>
      <c r="D31" s="890"/>
      <c r="E31" s="891"/>
    </row>
    <row r="32" spans="1:5" s="185" customFormat="1" ht="12" customHeight="1">
      <c r="A32" s="270" t="s">
        <v>874</v>
      </c>
      <c r="B32" s="281" t="s">
        <v>875</v>
      </c>
      <c r="C32" s="272" t="s">
        <v>876</v>
      </c>
      <c r="D32" s="890"/>
      <c r="E32" s="891"/>
    </row>
    <row r="33" spans="1:5" s="185" customFormat="1" ht="12" customHeight="1">
      <c r="A33" s="270" t="s">
        <v>877</v>
      </c>
      <c r="B33" s="281" t="s">
        <v>878</v>
      </c>
      <c r="C33" s="272" t="s">
        <v>879</v>
      </c>
      <c r="D33" s="890"/>
      <c r="E33" s="891"/>
    </row>
    <row r="34" spans="1:5" s="275" customFormat="1" ht="31" customHeight="1">
      <c r="A34" s="273" t="s">
        <v>880</v>
      </c>
      <c r="B34" s="282" t="s">
        <v>881</v>
      </c>
      <c r="C34" s="283" t="s">
        <v>882</v>
      </c>
      <c r="D34" s="894">
        <f>D19-D20-D25-D26+D27-D28-D29+D30-D31+(-D32)-(-D33)</f>
        <v>0</v>
      </c>
      <c r="E34" s="894">
        <f>E19-E20-E25-E26+E27-E28-E29+E30-E31+(-E32)-(-E33)</f>
        <v>0</v>
      </c>
    </row>
    <row r="35" spans="1:5" s="185" customFormat="1" ht="12" customHeight="1">
      <c r="A35" s="270" t="s">
        <v>883</v>
      </c>
      <c r="B35" s="281" t="s">
        <v>884</v>
      </c>
      <c r="C35" s="272" t="s">
        <v>885</v>
      </c>
      <c r="D35" s="890"/>
      <c r="E35" s="891"/>
    </row>
    <row r="36" spans="1:5" s="185" customFormat="1" ht="12" customHeight="1">
      <c r="A36" s="270" t="s">
        <v>886</v>
      </c>
      <c r="B36" s="281" t="s">
        <v>887</v>
      </c>
      <c r="C36" s="272" t="s">
        <v>888</v>
      </c>
      <c r="D36" s="890"/>
      <c r="E36" s="891"/>
    </row>
    <row r="37" spans="1:5" s="185" customFormat="1" ht="12" customHeight="1">
      <c r="A37" s="278" t="s">
        <v>889</v>
      </c>
      <c r="B37" s="278" t="s">
        <v>890</v>
      </c>
      <c r="C37" s="280" t="s">
        <v>891</v>
      </c>
      <c r="D37" s="896">
        <f>(SUM(D38:D40))</f>
        <v>0</v>
      </c>
      <c r="E37" s="896">
        <f>(SUM(E38:E40))</f>
        <v>0</v>
      </c>
    </row>
    <row r="38" spans="1:5" s="185" customFormat="1" ht="12" customHeight="1">
      <c r="A38" s="270" t="s">
        <v>892</v>
      </c>
      <c r="B38" s="281" t="s">
        <v>893</v>
      </c>
      <c r="C38" s="272" t="s">
        <v>894</v>
      </c>
      <c r="D38" s="890"/>
      <c r="E38" s="891"/>
    </row>
    <row r="39" spans="1:5" s="185" customFormat="1" ht="12" customHeight="1">
      <c r="A39" s="270" t="s">
        <v>895</v>
      </c>
      <c r="B39" s="281" t="s">
        <v>896</v>
      </c>
      <c r="C39" s="272" t="s">
        <v>897</v>
      </c>
      <c r="D39" s="890"/>
      <c r="E39" s="891"/>
    </row>
    <row r="40" spans="1:5" s="185" customFormat="1" ht="12" customHeight="1">
      <c r="A40" s="270" t="s">
        <v>898</v>
      </c>
      <c r="B40" s="281" t="s">
        <v>899</v>
      </c>
      <c r="C40" s="272" t="s">
        <v>900</v>
      </c>
      <c r="D40" s="890"/>
      <c r="E40" s="891"/>
    </row>
    <row r="41" spans="1:5" s="185" customFormat="1" ht="12" customHeight="1">
      <c r="A41" s="270" t="s">
        <v>901</v>
      </c>
      <c r="B41" s="281" t="s">
        <v>902</v>
      </c>
      <c r="C41" s="272" t="s">
        <v>903</v>
      </c>
      <c r="D41" s="890"/>
      <c r="E41" s="891"/>
    </row>
    <row r="42" spans="1:5" s="185" customFormat="1" ht="12" customHeight="1">
      <c r="A42" s="270" t="s">
        <v>904</v>
      </c>
      <c r="B42" s="281" t="s">
        <v>905</v>
      </c>
      <c r="C42" s="272" t="s">
        <v>906</v>
      </c>
      <c r="D42" s="890"/>
      <c r="E42" s="891"/>
    </row>
    <row r="43" spans="1:5" s="185" customFormat="1" ht="12" customHeight="1">
      <c r="A43" s="270" t="s">
        <v>907</v>
      </c>
      <c r="B43" s="281" t="s">
        <v>908</v>
      </c>
      <c r="C43" s="272" t="s">
        <v>909</v>
      </c>
      <c r="D43" s="890"/>
      <c r="E43" s="891"/>
    </row>
    <row r="44" spans="1:5" s="185" customFormat="1" ht="12" customHeight="1">
      <c r="A44" s="270" t="s">
        <v>910</v>
      </c>
      <c r="B44" s="281" t="s">
        <v>911</v>
      </c>
      <c r="C44" s="272" t="s">
        <v>912</v>
      </c>
      <c r="D44" s="890"/>
      <c r="E44" s="891"/>
    </row>
    <row r="45" spans="1:5" s="185" customFormat="1" ht="12" customHeight="1">
      <c r="A45" s="270" t="s">
        <v>913</v>
      </c>
      <c r="B45" s="281" t="s">
        <v>914</v>
      </c>
      <c r="C45" s="272" t="s">
        <v>915</v>
      </c>
      <c r="D45" s="890"/>
      <c r="E45" s="891"/>
    </row>
    <row r="46" spans="1:5" s="185" customFormat="1" ht="12" customHeight="1">
      <c r="A46" s="270" t="s">
        <v>916</v>
      </c>
      <c r="B46" s="281" t="s">
        <v>917</v>
      </c>
      <c r="C46" s="272" t="s">
        <v>918</v>
      </c>
      <c r="D46" s="890"/>
      <c r="E46" s="891"/>
    </row>
    <row r="47" spans="1:5" s="185" customFormat="1" ht="12" customHeight="1">
      <c r="A47" s="270" t="s">
        <v>919</v>
      </c>
      <c r="B47" s="281" t="s">
        <v>920</v>
      </c>
      <c r="C47" s="272" t="s">
        <v>921</v>
      </c>
      <c r="D47" s="890"/>
      <c r="E47" s="891"/>
    </row>
    <row r="48" spans="1:5" s="185" customFormat="1" ht="12" customHeight="1">
      <c r="A48" s="270" t="s">
        <v>922</v>
      </c>
      <c r="B48" s="281" t="s">
        <v>923</v>
      </c>
      <c r="C48" s="272" t="s">
        <v>924</v>
      </c>
      <c r="D48" s="890"/>
      <c r="E48" s="891"/>
    </row>
    <row r="49" spans="1:5" s="185" customFormat="1" ht="12" customHeight="1">
      <c r="A49" s="270" t="s">
        <v>925</v>
      </c>
      <c r="B49" s="281" t="s">
        <v>926</v>
      </c>
      <c r="C49" s="272" t="s">
        <v>927</v>
      </c>
      <c r="D49" s="890"/>
      <c r="E49" s="891"/>
    </row>
    <row r="50" spans="1:5" s="185" customFormat="1" ht="12" customHeight="1">
      <c r="A50" s="270" t="s">
        <v>928</v>
      </c>
      <c r="B50" s="281" t="s">
        <v>929</v>
      </c>
      <c r="C50" s="272" t="s">
        <v>930</v>
      </c>
      <c r="D50" s="890"/>
      <c r="E50" s="891"/>
    </row>
    <row r="51" spans="1:5" s="185" customFormat="1" ht="12" customHeight="1">
      <c r="A51" s="270" t="s">
        <v>931</v>
      </c>
      <c r="B51" s="281" t="s">
        <v>932</v>
      </c>
      <c r="C51" s="272" t="s">
        <v>933</v>
      </c>
      <c r="D51" s="890"/>
      <c r="E51" s="891"/>
    </row>
    <row r="52" spans="1:5" s="185" customFormat="1" ht="12" customHeight="1">
      <c r="A52" s="270" t="s">
        <v>934</v>
      </c>
      <c r="B52" s="281" t="s">
        <v>935</v>
      </c>
      <c r="C52" s="272" t="s">
        <v>936</v>
      </c>
      <c r="D52" s="890"/>
      <c r="E52" s="891"/>
    </row>
    <row r="53" spans="1:5" s="185" customFormat="1" ht="12" customHeight="1">
      <c r="A53" s="270" t="s">
        <v>937</v>
      </c>
      <c r="B53" s="281" t="s">
        <v>938</v>
      </c>
      <c r="C53" s="272" t="s">
        <v>939</v>
      </c>
      <c r="D53" s="890"/>
      <c r="E53" s="891"/>
    </row>
    <row r="54" spans="1:5" s="275" customFormat="1" ht="30" customHeight="1">
      <c r="A54" s="276" t="s">
        <v>880</v>
      </c>
      <c r="B54" s="282" t="s">
        <v>940</v>
      </c>
      <c r="C54" s="283" t="s">
        <v>941</v>
      </c>
      <c r="D54" s="894">
        <f>D35-D36+D37+D41-D42+D43-D44-D45+D46-D47+D48-D49+D50-D51+(-D52)-(-D53)</f>
        <v>0</v>
      </c>
      <c r="E54" s="894">
        <f>E35-E36+E37+E41-E42+E43-E44-E45+E46-E47+E48-E49+E50-E51+(-E52)-(-E53)</f>
        <v>0</v>
      </c>
    </row>
    <row r="55" spans="1:5" s="185" customFormat="1" ht="12" customHeight="1">
      <c r="A55" s="278" t="s">
        <v>942</v>
      </c>
      <c r="B55" s="278" t="s">
        <v>943</v>
      </c>
      <c r="C55" s="280" t="s">
        <v>944</v>
      </c>
      <c r="D55" s="896"/>
      <c r="E55" s="896"/>
    </row>
    <row r="56" spans="1:5" s="185" customFormat="1" ht="12" customHeight="1">
      <c r="A56" s="278" t="s">
        <v>945</v>
      </c>
      <c r="B56" s="278" t="s">
        <v>946</v>
      </c>
      <c r="C56" s="280" t="s">
        <v>947</v>
      </c>
      <c r="D56" s="896">
        <f>SUM(D57:D58)</f>
        <v>0</v>
      </c>
      <c r="E56" s="896">
        <f>SUM(E57:E58)</f>
        <v>0</v>
      </c>
    </row>
    <row r="57" spans="1:5" s="185" customFormat="1" ht="12" customHeight="1">
      <c r="A57" s="270" t="s">
        <v>948</v>
      </c>
      <c r="B57" s="284" t="s">
        <v>949</v>
      </c>
      <c r="C57" s="272" t="s">
        <v>950</v>
      </c>
      <c r="D57" s="891"/>
      <c r="E57" s="891"/>
    </row>
    <row r="58" spans="1:5" s="275" customFormat="1" ht="12" customHeight="1">
      <c r="A58" s="270" t="s">
        <v>836</v>
      </c>
      <c r="B58" s="284" t="s">
        <v>951</v>
      </c>
      <c r="C58" s="272" t="s">
        <v>952</v>
      </c>
      <c r="D58" s="891"/>
      <c r="E58" s="891"/>
    </row>
    <row r="59" spans="1:5" s="185" customFormat="1" ht="12" customHeight="1">
      <c r="A59" s="276" t="s">
        <v>942</v>
      </c>
      <c r="B59" s="273" t="s">
        <v>953</v>
      </c>
      <c r="C59" s="283" t="s">
        <v>954</v>
      </c>
      <c r="D59" s="894">
        <f>D55-D56</f>
        <v>0</v>
      </c>
      <c r="E59" s="894">
        <f>E55-E56</f>
        <v>0</v>
      </c>
    </row>
    <row r="60" spans="1:5" s="185" customFormat="1" ht="12" customHeight="1">
      <c r="A60" s="270" t="s">
        <v>955</v>
      </c>
      <c r="B60" s="281" t="s">
        <v>956</v>
      </c>
      <c r="C60" s="272" t="s">
        <v>957</v>
      </c>
      <c r="D60" s="891"/>
      <c r="E60" s="891"/>
    </row>
    <row r="61" spans="1:5" s="185" customFormat="1" ht="12" customHeight="1">
      <c r="A61" s="270" t="s">
        <v>958</v>
      </c>
      <c r="B61" s="281" t="s">
        <v>959</v>
      </c>
      <c r="C61" s="272" t="s">
        <v>960</v>
      </c>
      <c r="D61" s="891"/>
      <c r="E61" s="891"/>
    </row>
    <row r="62" spans="1:5" s="185" customFormat="1" ht="12" customHeight="1">
      <c r="A62" s="278" t="s">
        <v>880</v>
      </c>
      <c r="B62" s="278" t="s">
        <v>961</v>
      </c>
      <c r="C62" s="280" t="s">
        <v>962</v>
      </c>
      <c r="D62" s="896">
        <f>D60-D61</f>
        <v>0</v>
      </c>
      <c r="E62" s="896">
        <f>E60-E61</f>
        <v>0</v>
      </c>
    </row>
    <row r="63" spans="1:5" s="185" customFormat="1" ht="12" customHeight="1">
      <c r="A63" s="278" t="s">
        <v>963</v>
      </c>
      <c r="B63" s="278" t="s">
        <v>964</v>
      </c>
      <c r="C63" s="280" t="s">
        <v>965</v>
      </c>
      <c r="D63" s="896">
        <f>SUM(D64:D65)</f>
        <v>0</v>
      </c>
      <c r="E63" s="896">
        <f>SUM(E64:E65)</f>
        <v>0</v>
      </c>
    </row>
    <row r="64" spans="1:5" s="275" customFormat="1" ht="12" customHeight="1">
      <c r="A64" s="270" t="s">
        <v>966</v>
      </c>
      <c r="B64" s="284" t="s">
        <v>967</v>
      </c>
      <c r="C64" s="272" t="s">
        <v>968</v>
      </c>
      <c r="D64" s="891"/>
      <c r="E64" s="891"/>
    </row>
    <row r="65" spans="1:5" s="185" customFormat="1" ht="12" customHeight="1">
      <c r="A65" s="270" t="s">
        <v>836</v>
      </c>
      <c r="B65" s="284" t="s">
        <v>969</v>
      </c>
      <c r="C65" s="272" t="s">
        <v>970</v>
      </c>
      <c r="D65" s="891"/>
      <c r="E65" s="891"/>
    </row>
    <row r="66" spans="1:5" s="285" customFormat="1" ht="12" customHeight="1">
      <c r="A66" s="276" t="s">
        <v>880</v>
      </c>
      <c r="B66" s="273" t="s">
        <v>971</v>
      </c>
      <c r="C66" s="280" t="s">
        <v>972</v>
      </c>
      <c r="D66" s="894">
        <f>D62-D63</f>
        <v>0</v>
      </c>
      <c r="E66" s="894">
        <f>E62-E63</f>
        <v>0</v>
      </c>
    </row>
    <row r="67" spans="1:5" s="185" customFormat="1" ht="12" customHeight="1">
      <c r="A67" s="278" t="s">
        <v>973</v>
      </c>
      <c r="B67" s="286" t="s">
        <v>974</v>
      </c>
      <c r="C67" s="280" t="s">
        <v>975</v>
      </c>
      <c r="D67" s="896">
        <f>D55+D62</f>
        <v>0</v>
      </c>
      <c r="E67" s="896">
        <f>E55+E62</f>
        <v>0</v>
      </c>
    </row>
    <row r="68" spans="1:5" ht="12" customHeight="1">
      <c r="A68" s="270" t="s">
        <v>976</v>
      </c>
      <c r="B68" s="271" t="s">
        <v>977</v>
      </c>
      <c r="C68" s="272" t="s">
        <v>978</v>
      </c>
      <c r="D68" s="897"/>
      <c r="E68" s="891"/>
    </row>
    <row r="69" spans="1:5" ht="12" customHeight="1">
      <c r="A69" s="287" t="s">
        <v>973</v>
      </c>
      <c r="B69" s="288" t="s">
        <v>979</v>
      </c>
      <c r="C69" s="289" t="s">
        <v>980</v>
      </c>
      <c r="D69" s="898">
        <f>D59+D66-D68</f>
        <v>0</v>
      </c>
      <c r="E69" s="898">
        <f>E59+E66-E68</f>
        <v>0</v>
      </c>
    </row>
    <row r="70" spans="1:5" ht="12" customHeight="1"/>
    <row r="71" spans="1:5" ht="12" customHeight="1"/>
    <row r="72" spans="1:5" ht="12" customHeight="1"/>
    <row r="73" spans="1:5" ht="12" customHeight="1">
      <c r="E73" s="290"/>
    </row>
    <row r="74" spans="1:5" ht="12" customHeight="1"/>
    <row r="75" spans="1:5" ht="12" customHeight="1"/>
    <row r="76" spans="1:5" ht="12" customHeight="1"/>
    <row r="77" spans="1:5" ht="12" customHeight="1"/>
    <row r="78" spans="1:5" ht="12" customHeight="1"/>
    <row r="79" spans="1:5" ht="12" customHeight="1"/>
    <row r="80" spans="1:5" ht="12" customHeight="1"/>
    <row r="81" ht="12" customHeight="1"/>
    <row r="82" ht="12" customHeight="1"/>
    <row r="83" ht="12" customHeight="1"/>
    <row r="84" ht="12" customHeight="1"/>
    <row r="85" ht="12" customHeight="1"/>
    <row r="86" ht="12" customHeight="1"/>
    <row r="87" ht="12" customHeight="1"/>
    <row r="88" ht="12" customHeight="1"/>
  </sheetData>
  <pageMargins left="0.64" right="0.19685039370078741" top="0.28000000000000003" bottom="0.59055118110236227" header="0.21" footer="0.31496062992125984"/>
  <pageSetup paperSize="9" scale="10" fitToWidth="2" orientation="portrait" horizontalDpi="360" verticalDpi="300" r:id="rId1"/>
  <headerFooter alignWithMargins="0">
    <oddFooter>&amp;C&amp;"EYlogo,Regular"&amp;8e&amp;R&amp;"Times New Roman CE,Tučné"&amp;5Lead schedules v2.0</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796875" defaultRowHeight="12.5"/>
  <cols>
    <col min="1" max="45" width="2.54296875" style="899" customWidth="1"/>
    <col min="46" max="46" width="7.7265625" style="899" customWidth="1"/>
    <col min="47" max="61" width="2.54296875" style="899" customWidth="1"/>
    <col min="62" max="16384" width="9.1796875" style="899"/>
  </cols>
  <sheetData>
    <row r="1" spans="1:37" s="500" customFormat="1" ht="9">
      <c r="C1" s="501" t="s">
        <v>1716</v>
      </c>
    </row>
    <row r="2" spans="1:37" s="397" customFormat="1" ht="21" customHeight="1">
      <c r="C2" s="499" t="s">
        <v>1717</v>
      </c>
      <c r="D2" s="498"/>
      <c r="E2" s="498"/>
      <c r="F2" s="498"/>
      <c r="G2" s="498"/>
      <c r="H2" s="498"/>
      <c r="I2" s="498"/>
      <c r="J2" s="498"/>
      <c r="K2" s="497"/>
      <c r="Q2" s="496" t="s">
        <v>1409</v>
      </c>
    </row>
    <row r="3" spans="1:37" ht="13.5" thickBot="1">
      <c r="N3" s="904"/>
      <c r="O3" s="904" t="s">
        <v>1714</v>
      </c>
    </row>
    <row r="4" spans="1:37" ht="28.5" customHeight="1" thickBot="1">
      <c r="K4" s="901" t="s">
        <v>1715</v>
      </c>
      <c r="L4" s="494"/>
      <c r="M4" s="494"/>
      <c r="N4" s="494"/>
      <c r="O4" s="494" t="str">
        <f>+MID('Input data'!$B$11,1,1)</f>
        <v>3</v>
      </c>
      <c r="P4" s="494" t="str">
        <f>+MID('Input data'!$B$11,2,1)</f>
        <v>1</v>
      </c>
      <c r="Q4" s="494" t="s">
        <v>1063</v>
      </c>
      <c r="R4" s="494" t="str">
        <f>LEFT('Input data'!B13,1)</f>
        <v>0</v>
      </c>
      <c r="S4" s="494" t="str">
        <f>RIGHT('Input data'!B13,1)</f>
        <v>3</v>
      </c>
      <c r="T4" s="494" t="s">
        <v>1063</v>
      </c>
      <c r="U4" s="494" t="str">
        <f>+LEFT('Input data'!$B$14,1)</f>
        <v>2</v>
      </c>
      <c r="V4" s="494" t="str">
        <f>+MID('Input data'!$B$14,2,1)</f>
        <v>0</v>
      </c>
      <c r="W4" s="494" t="str">
        <f>+MID('Input data'!$B$14,3,1)</f>
        <v>1</v>
      </c>
      <c r="X4" s="494" t="str">
        <f>+MID('Input data'!$B$14,4,1)</f>
        <v>9</v>
      </c>
      <c r="Y4" s="902"/>
      <c r="Z4" s="491"/>
    </row>
    <row r="5" spans="1:37" ht="7.5" customHeight="1" thickBot="1"/>
    <row r="6" spans="1:37" s="487" customFormat="1" ht="14.25" customHeight="1">
      <c r="A6" s="490" t="s">
        <v>1065</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1066</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row r="10" spans="1:37" s="462" customFormat="1" ht="14.25" customHeight="1">
      <c r="A10" s="464" t="s">
        <v>1231</v>
      </c>
      <c r="B10" s="463"/>
      <c r="C10" s="463"/>
      <c r="D10" s="463"/>
      <c r="E10" s="463"/>
      <c r="F10" s="463"/>
      <c r="G10" s="463"/>
      <c r="H10" s="463"/>
      <c r="I10" s="407"/>
      <c r="J10" s="406"/>
      <c r="K10" s="480" t="s">
        <v>1069</v>
      </c>
      <c r="L10" s="463"/>
      <c r="M10" s="481"/>
      <c r="N10" s="481"/>
      <c r="O10" s="481"/>
      <c r="P10" s="463"/>
      <c r="Q10" s="480" t="s">
        <v>1069</v>
      </c>
      <c r="R10" s="463"/>
      <c r="S10" s="407"/>
      <c r="T10" s="463"/>
      <c r="U10" s="463"/>
      <c r="V10" s="479"/>
      <c r="W10" s="463"/>
      <c r="X10" s="463"/>
      <c r="Y10" s="463"/>
      <c r="Z10" s="463"/>
      <c r="AA10" s="463"/>
      <c r="AB10" s="463"/>
      <c r="AC10" s="463"/>
      <c r="AD10" s="480" t="s">
        <v>1070</v>
      </c>
      <c r="AE10" s="480"/>
      <c r="AF10" s="480"/>
      <c r="AG10" s="480" t="s">
        <v>1071</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78" t="str">
        <f>IF('Input data'!D7="x","x"," ")</f>
        <v>x</v>
      </c>
      <c r="M11" s="470" t="s">
        <v>1075</v>
      </c>
      <c r="N11" s="472"/>
      <c r="O11" s="472"/>
      <c r="P11" s="472"/>
      <c r="Q11" s="472"/>
      <c r="R11" s="478" t="str">
        <f>IF('Input data'!D17="x","x"," ")</f>
        <v>x</v>
      </c>
      <c r="S11" s="470" t="s">
        <v>1076</v>
      </c>
      <c r="T11" s="465"/>
      <c r="U11" s="465"/>
      <c r="V11" s="471"/>
      <c r="W11" s="470" t="s">
        <v>1072</v>
      </c>
      <c r="X11" s="465"/>
      <c r="Y11" s="465"/>
      <c r="Z11" s="465"/>
      <c r="AA11" s="465"/>
      <c r="AB11" s="470" t="s">
        <v>1073</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8</v>
      </c>
      <c r="AK11" s="471"/>
    </row>
    <row r="12" spans="1:37" s="462" customFormat="1" ht="19.5" customHeight="1" thickBot="1">
      <c r="A12" s="403" t="s">
        <v>1074</v>
      </c>
      <c r="B12" s="465"/>
      <c r="C12" s="465"/>
      <c r="D12" s="465"/>
      <c r="E12" s="465"/>
      <c r="F12" s="465"/>
      <c r="G12" s="465"/>
      <c r="H12" s="399"/>
      <c r="I12" s="399"/>
      <c r="J12" s="398"/>
      <c r="K12" s="399"/>
      <c r="L12" s="474" t="str">
        <f>IF('Input data'!D8="x","x", "")</f>
        <v/>
      </c>
      <c r="M12" s="470" t="s">
        <v>1078</v>
      </c>
      <c r="N12" s="472"/>
      <c r="O12" s="472"/>
      <c r="P12" s="472"/>
      <c r="Q12" s="472"/>
      <c r="R12" s="475" t="str">
        <f>IF('Input data'!D18="x","x"," ")</f>
        <v xml:space="preserve"> </v>
      </c>
      <c r="S12" s="470" t="s">
        <v>1079</v>
      </c>
      <c r="T12" s="465"/>
      <c r="U12" s="465"/>
      <c r="V12" s="471"/>
      <c r="W12" s="477"/>
      <c r="X12" s="467"/>
      <c r="Y12" s="467"/>
      <c r="Z12" s="467"/>
      <c r="AA12" s="467"/>
      <c r="AB12" s="466" t="s">
        <v>1077</v>
      </c>
      <c r="AC12" s="467"/>
      <c r="AD12" s="439" t="str">
        <f>MID('Input data'!$B$13,1,1)</f>
        <v>0</v>
      </c>
      <c r="AE12" s="439" t="str">
        <f>MID('Input data'!$B$13,2,1)</f>
        <v>3</v>
      </c>
      <c r="AF12" s="439"/>
      <c r="AG12" s="439" t="str">
        <f>MID('Input data'!$B$14,1,1)</f>
        <v>2</v>
      </c>
      <c r="AH12" s="439" t="str">
        <f>MID('Input data'!$B$14,2,1)</f>
        <v>0</v>
      </c>
      <c r="AI12" s="439" t="str">
        <f>MID('Input data'!$B$14,3,1)</f>
        <v>1</v>
      </c>
      <c r="AJ12" s="439" t="str">
        <f>MID('Input data'!$B$14,4,1)</f>
        <v>9</v>
      </c>
      <c r="AK12" s="468"/>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905"/>
      <c r="L13" s="826"/>
      <c r="M13" s="827" t="s">
        <v>1410</v>
      </c>
      <c r="N13" s="826"/>
      <c r="O13" s="826"/>
      <c r="P13" s="826"/>
      <c r="Q13" s="826"/>
      <c r="R13" s="906" t="s">
        <v>1082</v>
      </c>
      <c r="S13" s="826"/>
      <c r="T13" s="826"/>
      <c r="U13" s="826"/>
      <c r="V13" s="829"/>
      <c r="W13" s="470" t="s">
        <v>1080</v>
      </c>
      <c r="X13" s="465"/>
      <c r="Y13" s="402"/>
      <c r="Z13" s="399"/>
      <c r="AA13" s="399"/>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478"/>
      <c r="M14" s="470" t="s">
        <v>1718</v>
      </c>
      <c r="N14" s="472"/>
      <c r="O14" s="472"/>
      <c r="P14" s="472"/>
      <c r="Q14" s="472"/>
      <c r="S14" s="472"/>
      <c r="T14" s="465"/>
      <c r="U14" s="465"/>
      <c r="V14" s="471"/>
      <c r="W14" s="470" t="s">
        <v>983</v>
      </c>
      <c r="X14" s="465"/>
      <c r="Y14" s="402"/>
      <c r="Z14" s="399"/>
      <c r="AA14" s="399"/>
      <c r="AB14" s="470" t="s">
        <v>1073</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7</v>
      </c>
      <c r="AK14" s="398"/>
    </row>
    <row r="15" spans="1:37" s="462" customFormat="1" ht="19.5" customHeight="1" thickBot="1">
      <c r="A15" s="469" t="str">
        <f>LEFT('Input data'!$F$7,1)</f>
        <v>2</v>
      </c>
      <c r="B15" s="394" t="str">
        <f>MID('Input data'!$F$7,2,1)</f>
        <v>7</v>
      </c>
      <c r="C15" s="467" t="s">
        <v>1063</v>
      </c>
      <c r="D15" s="394" t="str">
        <f>MID('Input data'!$F$7,3,1)</f>
        <v>3</v>
      </c>
      <c r="E15" s="394" t="str">
        <f>MID('Input data'!$F$7,4,1)</f>
        <v>1</v>
      </c>
      <c r="F15" s="418" t="s">
        <v>1063</v>
      </c>
      <c r="G15" s="394" t="str">
        <f>MID('Input data'!$F$7,5,1)</f>
        <v>0</v>
      </c>
      <c r="H15" s="394"/>
      <c r="I15" s="394"/>
      <c r="J15" s="393"/>
      <c r="K15" s="394"/>
      <c r="L15" s="394"/>
      <c r="M15" s="466" t="s">
        <v>1719</v>
      </c>
      <c r="N15" s="394"/>
      <c r="O15" s="394"/>
      <c r="P15" s="394"/>
      <c r="Q15" s="394"/>
      <c r="R15" s="907" t="s">
        <v>1082</v>
      </c>
      <c r="S15" s="394"/>
      <c r="T15" s="467"/>
      <c r="U15" s="467"/>
      <c r="V15" s="468"/>
      <c r="W15" s="466" t="s">
        <v>1083</v>
      </c>
      <c r="X15" s="467"/>
      <c r="Y15" s="395"/>
      <c r="Z15" s="394"/>
      <c r="AA15" s="394"/>
      <c r="AB15" s="466" t="s">
        <v>1077</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8</v>
      </c>
      <c r="AK15" s="393"/>
    </row>
    <row r="16" spans="1:37" s="462" customFormat="1" ht="4.5" customHeigh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44"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44" s="462" customFormat="1" ht="15.5">
      <c r="A18" s="464" t="s">
        <v>1084</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44" s="462" customFormat="1" ht="19.5" customHeight="1">
      <c r="A19" s="449" t="str">
        <f>+LEFT('Input data'!$F$3,1)</f>
        <v>F</v>
      </c>
      <c r="B19" s="441" t="str">
        <f>+MID('Input data'!$F$3,2,1)</f>
        <v>o</v>
      </c>
      <c r="C19" s="441" t="str">
        <f>+MID('Input data'!$F$3,3,1)</f>
        <v>s</v>
      </c>
      <c r="D19" s="441" t="str">
        <f>+MID('Input data'!$F$3,4,1)</f>
        <v>s</v>
      </c>
      <c r="E19" s="441" t="str">
        <f>+MID('Input data'!$F$3,5,1)</f>
        <v xml:space="preserve"> </v>
      </c>
      <c r="F19" s="441" t="str">
        <f>+MID('Input data'!$F$3,6,1)</f>
        <v>F</v>
      </c>
      <c r="G19" s="441" t="str">
        <f>+MID('Input data'!$F$3,7,1)</f>
        <v>i</v>
      </c>
      <c r="H19" s="441" t="str">
        <f>+MID('Input data'!$F$3,8,1)</f>
        <v>b</v>
      </c>
      <c r="I19" s="441" t="str">
        <f>+MID('Input data'!$F$3,9,1)</f>
        <v>r</v>
      </c>
      <c r="J19" s="441" t="str">
        <f>+MID('Input data'!$F$3,10,1)</f>
        <v>e</v>
      </c>
      <c r="K19" s="441" t="str">
        <f>+MID('Input data'!$F$3,11,1)</f>
        <v xml:space="preserve"> </v>
      </c>
      <c r="L19" s="441" t="str">
        <f>+MID('Input data'!$F$3,12,1)</f>
        <v>O</v>
      </c>
      <c r="M19" s="441" t="str">
        <f>+MID('Input data'!$F$3,13,1)</f>
        <v>p</v>
      </c>
      <c r="N19" s="441" t="str">
        <f>+MID('Input data'!$F$3,14,1)</f>
        <v>t</v>
      </c>
      <c r="O19" s="441" t="str">
        <f>+MID('Input data'!$F$3,15,1)</f>
        <v>i</v>
      </c>
      <c r="P19" s="441" t="str">
        <f>+MID('Input data'!$F$3,16,1)</f>
        <v>c</v>
      </c>
      <c r="Q19" s="441" t="str">
        <f>+MID('Input data'!$F$3,17,1)</f>
        <v>s</v>
      </c>
      <c r="R19" s="441" t="str">
        <f>+MID('Input data'!$F$3,18,1)</f>
        <v>,</v>
      </c>
      <c r="S19" s="441" t="str">
        <f>+MID('Input data'!$F$3,19,1)</f>
        <v xml:space="preserve"> </v>
      </c>
      <c r="T19" s="441" t="str">
        <f>+MID('Input data'!$F$3,20,1)</f>
        <v>s</v>
      </c>
      <c r="U19" s="441" t="str">
        <f>+MID('Input data'!$F$3,21,1)</f>
        <v>.</v>
      </c>
      <c r="V19" s="441" t="str">
        <f>+MID('Input data'!$F$3,22,1)</f>
        <v>r</v>
      </c>
      <c r="W19" s="441" t="str">
        <f>+MID('Input data'!$F$3,23,1)</f>
        <v>.</v>
      </c>
      <c r="X19" s="441" t="str">
        <f>+MID('Input data'!$F$3,24,1)</f>
        <v>o</v>
      </c>
      <c r="Y19" s="441" t="str">
        <f>+MID('Input data'!$F$3,25,1)</f>
        <v>.</v>
      </c>
      <c r="Z19" s="441" t="str">
        <f>+MID('Input data'!$F$3,26,1)</f>
        <v xml:space="preserve"> </v>
      </c>
      <c r="AA19" s="441" t="str">
        <f>+MID('Input data'!$F$3,27,1)</f>
        <v xml:space="preserve">
</v>
      </c>
      <c r="AB19" s="441" t="str">
        <f>+MID('Input data'!$F$3,28,1)</f>
        <v/>
      </c>
      <c r="AC19" s="441" t="str">
        <f>+MID('Input data'!$F$3,29,1)</f>
        <v/>
      </c>
      <c r="AD19" s="441" t="str">
        <f>+MID('Input data'!$F$3,30,1)</f>
        <v/>
      </c>
      <c r="AE19" s="441" t="str">
        <f>+MID('Input data'!$F$3,31,1)</f>
        <v/>
      </c>
      <c r="AF19" s="441" t="str">
        <f>+MID('Input data'!$F$3,32,1)</f>
        <v/>
      </c>
      <c r="AG19" s="441" t="str">
        <f>+MID('Input data'!$F$3,33,1)</f>
        <v/>
      </c>
      <c r="AH19" s="441" t="str">
        <f>+MID('Input data'!$F$3,34,1)</f>
        <v/>
      </c>
      <c r="AI19" s="441" t="str">
        <f>+MID('Input data'!$F$3,35,1)</f>
        <v/>
      </c>
      <c r="AJ19" s="441" t="str">
        <f>+MID('Input data'!$F$3,36,1)</f>
        <v/>
      </c>
      <c r="AK19" s="448" t="str">
        <f>+MID('Input data'!$F$3,37,1)</f>
        <v/>
      </c>
    </row>
    <row r="20" spans="1:44" ht="19.5" customHeight="1">
      <c r="A20" s="449" t="str">
        <f>+MID('Input data'!$F$3,38,1)</f>
        <v/>
      </c>
      <c r="B20" s="441" t="str">
        <f>+MID('Input data'!$F$3,39,1)</f>
        <v/>
      </c>
      <c r="C20" s="441" t="str">
        <f>+MID('Input data'!$F$3,40,1)</f>
        <v/>
      </c>
      <c r="D20" s="441" t="str">
        <f>+MID('Input data'!$F$3,41,1)</f>
        <v/>
      </c>
      <c r="E20" s="441" t="str">
        <f>+MID('Input data'!$F$3,42,1)</f>
        <v/>
      </c>
      <c r="F20" s="441" t="str">
        <f>+MID('Input data'!$F$3,43,1)</f>
        <v/>
      </c>
      <c r="G20" s="441" t="str">
        <f>+MID('Input data'!$F$3,44,1)</f>
        <v/>
      </c>
      <c r="H20" s="441" t="str">
        <f>+MID('Input data'!$F$3,45,1)</f>
        <v/>
      </c>
      <c r="I20" s="441" t="str">
        <f>+MID('Input data'!$F$3,46,1)</f>
        <v/>
      </c>
      <c r="J20" s="441" t="str">
        <f>+MID('Input data'!$F$3,47,1)</f>
        <v/>
      </c>
      <c r="K20" s="441" t="str">
        <f>+MID('Input data'!$F$3,48,1)</f>
        <v/>
      </c>
      <c r="L20" s="441" t="str">
        <f>+MID('Input data'!$F$3,49,1)</f>
        <v/>
      </c>
      <c r="M20" s="441" t="str">
        <f>+MID('Input data'!$F$3,50,1)</f>
        <v/>
      </c>
      <c r="N20" s="441" t="str">
        <f>+MID('Input data'!$F$3,51,1)</f>
        <v/>
      </c>
      <c r="O20" s="441" t="str">
        <f>+MID('Input data'!$F$3,52,1)</f>
        <v/>
      </c>
      <c r="P20" s="441" t="str">
        <f>+MID('Input data'!$F$3,53,1)</f>
        <v/>
      </c>
      <c r="Q20" s="441" t="str">
        <f>+MID('Input data'!$F$3,54,1)</f>
        <v/>
      </c>
      <c r="R20" s="441" t="str">
        <f>+MID('Input data'!$F$3,55,1)</f>
        <v/>
      </c>
      <c r="S20" s="441" t="str">
        <f>+MID('Input data'!$F$3,56,1)</f>
        <v/>
      </c>
      <c r="T20" s="441" t="str">
        <f>+MID('Input data'!$F$3,57,1)</f>
        <v/>
      </c>
      <c r="U20" s="441" t="str">
        <f>+MID('Input data'!$F$3,58,1)</f>
        <v/>
      </c>
      <c r="V20" s="441" t="str">
        <f>+MID('Input data'!$F$3,59,1)</f>
        <v/>
      </c>
      <c r="W20" s="441" t="str">
        <f>+MID('Input data'!$F$3,60,1)</f>
        <v/>
      </c>
      <c r="X20" s="441" t="str">
        <f>+MID('Input data'!$F$3,61,1)</f>
        <v/>
      </c>
      <c r="Y20" s="441" t="str">
        <f>+MID('Input data'!$F$3,62,1)</f>
        <v/>
      </c>
      <c r="Z20" s="441" t="str">
        <f>+MID('Input data'!$F$3,63,1)</f>
        <v/>
      </c>
      <c r="AA20" s="441" t="str">
        <f>+MID('Input data'!$F$3,64,1)</f>
        <v/>
      </c>
      <c r="AB20" s="441" t="str">
        <f>+MID('Input data'!$F$3,65,1)</f>
        <v/>
      </c>
      <c r="AC20" s="441" t="str">
        <f>+MID('Input data'!$F$3,66,1)</f>
        <v/>
      </c>
      <c r="AD20" s="441" t="str">
        <f>+MID('Input data'!$F$3,67,1)</f>
        <v/>
      </c>
      <c r="AE20" s="441" t="str">
        <f>+MID('Input data'!$F$3,68,1)</f>
        <v/>
      </c>
      <c r="AF20" s="441" t="str">
        <f>+MID('Input data'!$F$3,69,1)</f>
        <v/>
      </c>
      <c r="AG20" s="441" t="str">
        <f>+MID('Input data'!$F$3,70,1)</f>
        <v/>
      </c>
      <c r="AH20" s="441" t="str">
        <f>+MID('Input data'!$F$3,71,1)</f>
        <v/>
      </c>
      <c r="AI20" s="441" t="str">
        <f>+MID('Input data'!$F$3,72,1)</f>
        <v/>
      </c>
      <c r="AJ20" s="441" t="str">
        <f>+MID('Input data'!$F$3,73,1)</f>
        <v/>
      </c>
      <c r="AK20" s="448" t="str">
        <f>+MID('Input data'!$F$3,74,1)</f>
        <v/>
      </c>
    </row>
    <row r="21" spans="1:44" ht="14.25" customHeight="1">
      <c r="A21" s="461"/>
      <c r="B21" s="460"/>
      <c r="C21" s="460"/>
      <c r="D21" s="460"/>
      <c r="E21" s="460"/>
      <c r="F21" s="460"/>
      <c r="G21" s="460"/>
      <c r="H21" s="460"/>
      <c r="I21" s="460"/>
      <c r="J21" s="460"/>
      <c r="K21" s="460"/>
      <c r="L21" s="460"/>
      <c r="M21" s="460"/>
      <c r="N21" s="460"/>
      <c r="O21" s="460"/>
      <c r="P21" s="460"/>
      <c r="Q21" s="460"/>
      <c r="R21" s="460"/>
      <c r="S21" s="460"/>
      <c r="T21" s="460"/>
      <c r="U21" s="460"/>
      <c r="V21" s="460"/>
      <c r="W21" s="459"/>
      <c r="X21" s="459"/>
      <c r="Y21" s="459"/>
      <c r="Z21" s="459"/>
      <c r="AA21" s="459"/>
      <c r="AB21" s="459"/>
      <c r="AC21" s="459"/>
      <c r="AD21" s="459"/>
      <c r="AE21" s="459"/>
      <c r="AF21" s="459"/>
      <c r="AG21" s="459"/>
      <c r="AH21" s="459"/>
      <c r="AI21" s="459"/>
      <c r="AJ21" s="459"/>
      <c r="AK21" s="458"/>
    </row>
    <row r="22" spans="1:44" ht="19.5" hidden="1" customHeight="1">
      <c r="A22" s="457"/>
      <c r="B22" s="456"/>
      <c r="C22" s="456"/>
      <c r="D22" s="456"/>
      <c r="E22" s="456"/>
      <c r="F22" s="456"/>
      <c r="G22" s="456" t="e">
        <f>+MID('Input data'!#REF!,7,1)</f>
        <v>#REF!</v>
      </c>
      <c r="H22" s="456" t="e">
        <f>+MID('Input data'!#REF!,8,1)</f>
        <v>#REF!</v>
      </c>
      <c r="I22" s="456" t="e">
        <f>+MID('Input data'!#REF!,9,1)</f>
        <v>#REF!</v>
      </c>
      <c r="J22" s="456" t="e">
        <f>+MID('Input data'!#REF!,10,1)</f>
        <v>#REF!</v>
      </c>
      <c r="K22" s="456" t="e">
        <f>+MID('Input data'!#REF!,11,1)</f>
        <v>#REF!</v>
      </c>
      <c r="L22" s="456" t="e">
        <f>+MID('Input data'!#REF!,12,1)</f>
        <v>#REF!</v>
      </c>
      <c r="M22" s="456" t="e">
        <f>+MID('Input data'!#REF!,13,1)</f>
        <v>#REF!</v>
      </c>
      <c r="N22" s="456" t="e">
        <f>+MID('Input data'!#REF!,14,1)</f>
        <v>#REF!</v>
      </c>
      <c r="O22" s="456" t="e">
        <f>+MID('Input data'!#REF!,15,1)</f>
        <v>#REF!</v>
      </c>
      <c r="P22" s="456" t="e">
        <f>+MID('Input data'!#REF!,16,1)</f>
        <v>#REF!</v>
      </c>
      <c r="Q22" s="456" t="e">
        <f>+MID('Input data'!#REF!,17,1)</f>
        <v>#REF!</v>
      </c>
      <c r="R22" s="456" t="e">
        <f>+MID('Input data'!#REF!,18,1)</f>
        <v>#REF!</v>
      </c>
      <c r="S22" s="456" t="e">
        <f>+MID('Input data'!#REF!,19,1)</f>
        <v>#REF!</v>
      </c>
      <c r="T22" s="456" t="e">
        <f>+MID('Input data'!#REF!,20,1)</f>
        <v>#REF!</v>
      </c>
      <c r="U22" s="456" t="e">
        <f>+MID('Input data'!#REF!,21,1)</f>
        <v>#REF!</v>
      </c>
      <c r="V22" s="456" t="e">
        <f>+MID('Input data'!#REF!,22,1)</f>
        <v>#REF!</v>
      </c>
      <c r="W22" s="456" t="e">
        <f>+MID('Input data'!#REF!,23,1)</f>
        <v>#REF!</v>
      </c>
      <c r="X22" s="456" t="e">
        <f>+MID('Input data'!#REF!,24,1)</f>
        <v>#REF!</v>
      </c>
      <c r="Y22" s="456" t="e">
        <f>+MID('Input data'!#REF!,25,1)</f>
        <v>#REF!</v>
      </c>
      <c r="Z22" s="456" t="e">
        <f>+MID('Input data'!#REF!,26,1)</f>
        <v>#REF!</v>
      </c>
      <c r="AA22" s="456" t="e">
        <f>+MID('Input data'!#REF!,27,1)</f>
        <v>#REF!</v>
      </c>
      <c r="AB22" s="456" t="e">
        <f>+MID('Input data'!#REF!,28,1)</f>
        <v>#REF!</v>
      </c>
      <c r="AC22" s="456" t="e">
        <f>+MID('Input data'!#REF!,29,1)</f>
        <v>#REF!</v>
      </c>
      <c r="AD22" s="456" t="e">
        <f>+MID('Input data'!#REF!,30,1)</f>
        <v>#REF!</v>
      </c>
      <c r="AE22" s="456" t="e">
        <f>+MID('Input data'!#REF!,31,1)</f>
        <v>#REF!</v>
      </c>
      <c r="AF22" s="456" t="e">
        <f>+MID('Input data'!#REF!,32,1)</f>
        <v>#REF!</v>
      </c>
      <c r="AG22" s="456" t="e">
        <f>+MID('Input data'!#REF!,33,1)</f>
        <v>#REF!</v>
      </c>
      <c r="AH22" s="456" t="e">
        <f>+MID('Input data'!#REF!,34,1)</f>
        <v>#REF!</v>
      </c>
      <c r="AI22" s="456" t="e">
        <f>+MID('Input data'!#REF!,35,1)</f>
        <v>#REF!</v>
      </c>
      <c r="AJ22" s="456" t="e">
        <f>+MID('Input data'!#REF!,36,1)</f>
        <v>#REF!</v>
      </c>
      <c r="AK22" s="455" t="e">
        <f>+MID('Input data'!#REF!,37,1)</f>
        <v>#REF!</v>
      </c>
    </row>
    <row r="23" spans="1:44" s="450" customFormat="1" ht="12" customHeight="1">
      <c r="A23" s="454" t="s">
        <v>1085</v>
      </c>
      <c r="B23" s="453"/>
      <c r="C23" s="453"/>
      <c r="D23" s="453"/>
      <c r="E23" s="453"/>
      <c r="F23" s="453"/>
      <c r="G23" s="453"/>
      <c r="H23" s="453"/>
      <c r="I23" s="453"/>
      <c r="J23" s="453"/>
      <c r="K23" s="453"/>
      <c r="L23" s="453"/>
      <c r="M23" s="453"/>
      <c r="N23" s="453"/>
      <c r="O23" s="453"/>
      <c r="P23" s="453"/>
      <c r="Q23" s="453"/>
      <c r="R23" s="453"/>
      <c r="S23" s="453"/>
      <c r="T23" s="453"/>
      <c r="U23" s="453"/>
      <c r="V23" s="453"/>
      <c r="W23" s="452"/>
      <c r="X23" s="452"/>
      <c r="Y23" s="452"/>
      <c r="Z23" s="452"/>
      <c r="AA23" s="452"/>
      <c r="AB23" s="452"/>
      <c r="AC23" s="452"/>
      <c r="AD23" s="452"/>
      <c r="AE23" s="452"/>
      <c r="AF23" s="452"/>
      <c r="AG23" s="452"/>
      <c r="AH23" s="452"/>
      <c r="AI23" s="452"/>
      <c r="AJ23" s="452"/>
      <c r="AK23" s="451"/>
    </row>
    <row r="24" spans="1:44" ht="13">
      <c r="A24" s="446" t="s">
        <v>1086</v>
      </c>
      <c r="B24" s="900"/>
      <c r="C24" s="900"/>
      <c r="D24" s="900"/>
      <c r="E24" s="900"/>
      <c r="F24" s="900"/>
      <c r="G24" s="900"/>
      <c r="H24" s="900"/>
      <c r="I24" s="900"/>
      <c r="J24" s="900"/>
      <c r="K24" s="900"/>
      <c r="L24" s="900"/>
      <c r="M24" s="900"/>
      <c r="N24" s="900"/>
      <c r="O24" s="900"/>
      <c r="P24" s="900"/>
      <c r="Q24" s="900"/>
      <c r="R24" s="900"/>
      <c r="S24" s="900"/>
      <c r="T24" s="900"/>
      <c r="U24" s="900"/>
      <c r="V24" s="900"/>
      <c r="W24" s="399"/>
      <c r="X24" s="399"/>
      <c r="Y24" s="399"/>
      <c r="Z24" s="399"/>
      <c r="AA24" s="399"/>
      <c r="AB24" s="900"/>
      <c r="AC24" s="399"/>
      <c r="AD24" s="402" t="s">
        <v>1087</v>
      </c>
      <c r="AE24" s="399"/>
      <c r="AF24" s="399"/>
      <c r="AG24" s="399"/>
      <c r="AH24" s="399"/>
      <c r="AI24" s="399"/>
      <c r="AJ24" s="399"/>
      <c r="AK24" s="398"/>
    </row>
    <row r="25" spans="1:44" ht="19.5" customHeight="1">
      <c r="A25" s="449" t="str">
        <f>+LEFT('Input data'!$C$28,1)</f>
        <v>O</v>
      </c>
      <c r="B25" s="441" t="str">
        <f>+MID('Input data'!$C$28,2,1)</f>
        <v>d</v>
      </c>
      <c r="C25" s="441" t="str">
        <f>+MID('Input data'!$C$28,3,1)</f>
        <v>b</v>
      </c>
      <c r="D25" s="441" t="str">
        <f>+MID('Input data'!$C$28,4,1)</f>
        <v>o</v>
      </c>
      <c r="E25" s="441" t="str">
        <f>+MID('Input data'!$C$28,5,1)</f>
        <v>r</v>
      </c>
      <c r="F25" s="441" t="str">
        <f>+MID('Input data'!$C$28,6,1)</f>
        <v>á</v>
      </c>
      <c r="G25" s="441" t="str">
        <f>+MID('Input data'!$C$28,7,1)</f>
        <v>r</v>
      </c>
      <c r="H25" s="441" t="str">
        <f>+MID('Input data'!$C$28,8,1)</f>
        <v>s</v>
      </c>
      <c r="I25" s="441" t="str">
        <f>+MID('Input data'!$C$28,9,1)</f>
        <v>k</v>
      </c>
      <c r="J25" s="441" t="str">
        <f>+MID('Input data'!$C$28,10,1)</f>
        <v>a</v>
      </c>
      <c r="K25" s="441" t="str">
        <f>+MID('Input data'!$C$28,11,1)</f>
        <v/>
      </c>
      <c r="L25" s="441" t="str">
        <f>+MID('Input data'!$C$28,12,1)</f>
        <v/>
      </c>
      <c r="M25" s="441" t="str">
        <f>+MID('Input data'!$C$28,13,1)</f>
        <v/>
      </c>
      <c r="N25" s="441" t="str">
        <f>+MID('Input data'!$C$28,14,1)</f>
        <v/>
      </c>
      <c r="O25" s="441" t="str">
        <f>+MID('Input data'!$C$28,15,1)</f>
        <v/>
      </c>
      <c r="P25" s="441" t="str">
        <f>+MID('Input data'!$C$28,16,1)</f>
        <v/>
      </c>
      <c r="Q25" s="441" t="str">
        <f>+MID('Input data'!$C$28,17,1)</f>
        <v/>
      </c>
      <c r="R25" s="441" t="str">
        <f>+MID('Input data'!$C$28,18,1)</f>
        <v/>
      </c>
      <c r="S25" s="441" t="str">
        <f>+MID('Input data'!$C$28,19,1)</f>
        <v/>
      </c>
      <c r="T25" s="441" t="str">
        <f>+MID('Input data'!$C$28,20,1)</f>
        <v/>
      </c>
      <c r="U25" s="441" t="str">
        <f>+MID('Input data'!$C$28,21,1)</f>
        <v/>
      </c>
      <c r="V25" s="441" t="str">
        <f>+MID('Input data'!$C$28,22,1)</f>
        <v/>
      </c>
      <c r="W25" s="441" t="str">
        <f>+MID('Input data'!$C$28,23,1)</f>
        <v/>
      </c>
      <c r="X25" s="441" t="str">
        <f>+MID('Input data'!$C$28,24,1)</f>
        <v/>
      </c>
      <c r="Y25" s="441" t="str">
        <f>+MID('Input data'!$C$28,25,1)</f>
        <v/>
      </c>
      <c r="Z25" s="441" t="str">
        <f>+MID('Input data'!$C$28,26,1)</f>
        <v/>
      </c>
      <c r="AA25" s="441" t="str">
        <f>+MID('Input data'!$C$28,27,1)</f>
        <v/>
      </c>
      <c r="AB25" s="441" t="str">
        <f>+MID('Input data'!$C$28,28,1)</f>
        <v/>
      </c>
      <c r="AC25" s="443"/>
      <c r="AD25" s="441" t="str">
        <f>+LEFT('Input data'!$C$30,1)</f>
        <v>5</v>
      </c>
      <c r="AE25" s="441" t="str">
        <f>+MID('Input data'!$C$30,2,1)</f>
        <v>2</v>
      </c>
      <c r="AF25" s="441" t="str">
        <f>+MID('Input data'!$C$30,3,1)</f>
        <v/>
      </c>
      <c r="AG25" s="441" t="str">
        <f>+MID('Input data'!$C$30,4,1)</f>
        <v/>
      </c>
      <c r="AH25" s="441" t="str">
        <f>+MID('Input data'!$C$30,5,1)</f>
        <v/>
      </c>
      <c r="AI25" s="441" t="str">
        <f>+MID('Input data'!$C$30,6,1)</f>
        <v/>
      </c>
      <c r="AJ25" s="441" t="str">
        <f>+MID('Input data'!$C$30,7,1)</f>
        <v/>
      </c>
      <c r="AK25" s="448" t="str">
        <f>+MID('Input data'!$C$30,8,1)</f>
        <v/>
      </c>
      <c r="AR25" s="935"/>
    </row>
    <row r="26" spans="1:44" ht="13">
      <c r="A26" s="446" t="s">
        <v>1088</v>
      </c>
      <c r="B26" s="928"/>
      <c r="C26" s="928"/>
      <c r="D26" s="928"/>
      <c r="E26" s="928"/>
      <c r="F26" s="928"/>
      <c r="G26" s="445" t="s">
        <v>1089</v>
      </c>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44" s="447" customFormat="1" ht="19.5" customHeight="1">
      <c r="A27" s="449" t="str">
        <f>+LEFT('Input data'!$C$32,1)</f>
        <v>8</v>
      </c>
      <c r="B27" s="441" t="str">
        <f>+MID('Input data'!$C$32,2,1)</f>
        <v>3</v>
      </c>
      <c r="C27" s="441" t="str">
        <f>+MID('Input data'!$C$32,3,1)</f>
        <v>1</v>
      </c>
      <c r="D27" s="441" t="str">
        <f>+MID('Input data'!$C$32,4,1)</f>
        <v xml:space="preserve"> </v>
      </c>
      <c r="E27" s="441" t="str">
        <f>+MID('Input data'!$C$32,5,1)</f>
        <v>0</v>
      </c>
      <c r="F27" s="441"/>
      <c r="G27" s="441" t="str">
        <f>+LEFT('Input data'!$C$34,1)</f>
        <v>B</v>
      </c>
      <c r="H27" s="441" t="str">
        <f>+MID('Input data'!$C$34,2,1)</f>
        <v>r</v>
      </c>
      <c r="I27" s="441" t="str">
        <f>+MID('Input data'!$C$34,3,1)</f>
        <v>a</v>
      </c>
      <c r="J27" s="441" t="str">
        <f>+MID('Input data'!$C$34,4,1)</f>
        <v>t</v>
      </c>
      <c r="K27" s="441" t="str">
        <f>+MID('Input data'!$C$34,5,1)</f>
        <v>i</v>
      </c>
      <c r="L27" s="441" t="str">
        <f>+MID('Input data'!$C$34,6,1)</f>
        <v>s</v>
      </c>
      <c r="M27" s="441" t="str">
        <f>+MID('Input data'!$C$34,7,1)</f>
        <v>l</v>
      </c>
      <c r="N27" s="441" t="str">
        <f>+MID('Input data'!$C$34,8,1)</f>
        <v>a</v>
      </c>
      <c r="O27" s="441" t="str">
        <f>+MID('Input data'!$C$34,9,1)</f>
        <v>v</v>
      </c>
      <c r="P27" s="441" t="str">
        <f>+MID('Input data'!$C$34,10,1)</f>
        <v>a</v>
      </c>
      <c r="Q27" s="441" t="str">
        <f>+MID('Input data'!$C$34,11,1)</f>
        <v xml:space="preserve"> </v>
      </c>
      <c r="R27" s="441" t="str">
        <f>+MID('Input data'!$C$34,12,1)</f>
        <v/>
      </c>
      <c r="S27" s="441" t="str">
        <f>+MID('Input data'!$C$34,13,1)</f>
        <v/>
      </c>
      <c r="T27" s="441" t="str">
        <f>+MID('Input data'!$C$34,14,1)</f>
        <v/>
      </c>
      <c r="U27" s="441" t="str">
        <f>+MID('Input data'!$C$34,15,1)</f>
        <v/>
      </c>
      <c r="V27" s="441" t="str">
        <f>+MID('Input data'!$C$34,16,1)</f>
        <v/>
      </c>
      <c r="W27" s="441" t="str">
        <f>+MID('Input data'!$C$34,17,1)</f>
        <v/>
      </c>
      <c r="X27" s="441" t="str">
        <f>+MID('Input data'!$C$34,18,1)</f>
        <v/>
      </c>
      <c r="Y27" s="441" t="str">
        <f>+MID('Input data'!$C$34,19,1)</f>
        <v/>
      </c>
      <c r="Z27" s="441" t="str">
        <f>+MID('Input data'!$C$34,20,1)</f>
        <v/>
      </c>
      <c r="AA27" s="441" t="str">
        <f>+MID('Input data'!$C$34,21,1)</f>
        <v/>
      </c>
      <c r="AB27" s="441" t="str">
        <f>+MID('Input data'!$C$34,22,1)</f>
        <v/>
      </c>
      <c r="AC27" s="441" t="str">
        <f>+MID('Input data'!$C$34,23,1)</f>
        <v/>
      </c>
      <c r="AD27" s="441" t="str">
        <f>+MID('Input data'!$C$34,24,1)</f>
        <v/>
      </c>
      <c r="AE27" s="441" t="str">
        <f>+MID('Input data'!$C$34,25,1)</f>
        <v/>
      </c>
      <c r="AF27" s="441" t="str">
        <f>+MID('Input data'!$C$34,26,1)</f>
        <v/>
      </c>
      <c r="AG27" s="441" t="str">
        <f>+MID('Input data'!$C$34,27,1)</f>
        <v/>
      </c>
      <c r="AH27" s="441" t="str">
        <f>+MID('Input data'!$C$34,28,1)</f>
        <v/>
      </c>
      <c r="AI27" s="441" t="str">
        <f>+MID('Input data'!$C$34,29,1)</f>
        <v/>
      </c>
      <c r="AJ27" s="441" t="str">
        <f>+MID('Input data'!$C$34,30,1)</f>
        <v/>
      </c>
      <c r="AK27" s="448" t="str">
        <f>+MID('Input data'!$C$34,31,1)</f>
        <v/>
      </c>
    </row>
    <row r="28" spans="1:44" ht="13">
      <c r="A28" s="446" t="s">
        <v>1090</v>
      </c>
      <c r="B28" s="928"/>
      <c r="C28" s="928"/>
      <c r="D28" s="928"/>
      <c r="E28" s="928"/>
      <c r="F28" s="928"/>
      <c r="G28" s="445"/>
      <c r="H28" s="445"/>
      <c r="I28" s="445"/>
      <c r="J28" s="445"/>
      <c r="K28" s="445"/>
      <c r="L28" s="445"/>
      <c r="M28" s="445"/>
      <c r="N28" s="928"/>
      <c r="O28" s="445" t="s">
        <v>1091</v>
      </c>
      <c r="P28" s="445"/>
      <c r="Q28" s="445"/>
      <c r="R28" s="445"/>
      <c r="S28" s="445"/>
      <c r="T28" s="445"/>
      <c r="U28" s="445"/>
      <c r="V28" s="445"/>
      <c r="W28" s="445"/>
      <c r="X28" s="445"/>
      <c r="Y28" s="445"/>
      <c r="Z28" s="445"/>
      <c r="AA28" s="445"/>
      <c r="AB28" s="445"/>
      <c r="AC28" s="445"/>
      <c r="AD28" s="445"/>
      <c r="AE28" s="399"/>
      <c r="AF28" s="399"/>
      <c r="AG28" s="399"/>
      <c r="AH28" s="399"/>
      <c r="AI28" s="399"/>
      <c r="AJ28" s="399"/>
      <c r="AK28" s="398"/>
    </row>
    <row r="29" spans="1:44" ht="19.5" customHeight="1">
      <c r="A29" s="444">
        <v>0</v>
      </c>
      <c r="B29" s="441" t="str">
        <f>+LEFT('Input data'!$C$36,1)</f>
        <v>2</v>
      </c>
      <c r="C29" s="441" t="str">
        <f>+MID('Input data'!$C$36,2,1)</f>
        <v/>
      </c>
      <c r="D29" s="441" t="str">
        <f>+MID('Input data'!$C$36,3,1)</f>
        <v/>
      </c>
      <c r="E29" s="441" t="s">
        <v>1092</v>
      </c>
      <c r="F29" s="441" t="str">
        <f>+LEFT('Input data'!$C$38,1)</f>
        <v>4</v>
      </c>
      <c r="G29" s="441" t="str">
        <f>+MID('Input data'!$C$38,2,1)</f>
        <v>8</v>
      </c>
      <c r="H29" s="441" t="str">
        <f>+MID('Input data'!$C$38,3,1)</f>
        <v>2</v>
      </c>
      <c r="I29" s="441" t="str">
        <f>+MID('Input data'!$C$38,4,1)</f>
        <v>0</v>
      </c>
      <c r="J29" s="441" t="str">
        <f>+MID('Input data'!$C$38,5,1)</f>
        <v>5</v>
      </c>
      <c r="K29" s="441" t="str">
        <f>+MID('Input data'!$C$38,6,1)</f>
        <v>2</v>
      </c>
      <c r="L29" s="441" t="str">
        <f>+MID('Input data'!$C$38,7,1)</f>
        <v>0</v>
      </c>
      <c r="M29" s="441" t="str">
        <f>+MID('Input data'!$C$38,8,1)</f>
        <v>0</v>
      </c>
      <c r="N29" s="443"/>
      <c r="O29" s="442">
        <v>0</v>
      </c>
      <c r="P29" s="441" t="str">
        <f>+LEFT('Input data'!$C$36,1)</f>
        <v>2</v>
      </c>
      <c r="Q29" s="441" t="str">
        <f>+MID('Input data'!$C$36,2,1)</f>
        <v/>
      </c>
      <c r="R29" s="441" t="str">
        <f>+MID('Input data'!$C$36,3,1)</f>
        <v/>
      </c>
      <c r="S29" s="441" t="s">
        <v>1092</v>
      </c>
      <c r="T29" s="441" t="str">
        <f>+LEFT('Input data'!$C$40,1)</f>
        <v/>
      </c>
      <c r="U29" s="441" t="str">
        <f>+MID('Input data'!$C$40,2,1)</f>
        <v/>
      </c>
      <c r="V29" s="441" t="str">
        <f>+MID('Input data'!$C$40,3,1)</f>
        <v/>
      </c>
      <c r="W29" s="441" t="str">
        <f>+MID('Input data'!$C$40,4,1)</f>
        <v/>
      </c>
      <c r="X29" s="441" t="str">
        <f>+MID('Input data'!$C$40,5,1)</f>
        <v/>
      </c>
      <c r="Y29" s="441" t="str">
        <f>+MID('Input data'!$C$40,6,1)</f>
        <v/>
      </c>
      <c r="Z29" s="441" t="str">
        <f>+MID('Input data'!$C$40,7,1)</f>
        <v/>
      </c>
      <c r="AA29" s="441" t="str">
        <f>+MID('Input data'!$C$40,8,1)</f>
        <v/>
      </c>
      <c r="AB29" s="441"/>
      <c r="AC29" s="441"/>
      <c r="AD29" s="441"/>
      <c r="AE29" s="399"/>
      <c r="AF29" s="399"/>
      <c r="AG29" s="399" t="s">
        <v>1093</v>
      </c>
      <c r="AH29" s="399"/>
      <c r="AI29" s="399"/>
      <c r="AJ29" s="399"/>
      <c r="AK29" s="398"/>
    </row>
    <row r="30" spans="1:44" s="391" customFormat="1" ht="13">
      <c r="A30" s="403" t="s">
        <v>1094</v>
      </c>
      <c r="B30" s="402"/>
      <c r="C30" s="402"/>
      <c r="D30" s="402"/>
      <c r="E30" s="402"/>
      <c r="F30" s="402"/>
      <c r="G30" s="402"/>
      <c r="H30" s="402"/>
      <c r="I30" s="402"/>
      <c r="J30" s="402"/>
      <c r="K30" s="402"/>
      <c r="L30" s="402"/>
      <c r="M30" s="402"/>
      <c r="N30" s="402"/>
      <c r="O30" s="402"/>
      <c r="P30" s="402"/>
      <c r="Q30" s="402"/>
      <c r="R30" s="402"/>
      <c r="S30" s="402"/>
      <c r="T30" s="402"/>
      <c r="U30" s="402"/>
      <c r="V30" s="402"/>
      <c r="W30" s="399"/>
      <c r="X30" s="399"/>
      <c r="Y30" s="399"/>
      <c r="Z30" s="399"/>
      <c r="AA30" s="399"/>
      <c r="AB30" s="399"/>
      <c r="AC30" s="399"/>
      <c r="AD30" s="399"/>
      <c r="AE30" s="399"/>
      <c r="AF30" s="399"/>
      <c r="AG30" s="399"/>
      <c r="AH30" s="399"/>
      <c r="AI30" s="399"/>
      <c r="AJ30" s="399"/>
      <c r="AK30" s="398"/>
    </row>
    <row r="31" spans="1:44" ht="19.5" customHeight="1" thickBot="1">
      <c r="A31" s="440" t="str">
        <f>+LEFT('Input data'!$B$42,1)</f>
        <v>o</v>
      </c>
      <c r="B31" s="439" t="str">
        <f>+MID('Input data'!$B$42,2,1)</f>
        <v>f</v>
      </c>
      <c r="C31" s="439" t="str">
        <f>+MID('Input data'!$B$42,3,1)</f>
        <v>f</v>
      </c>
      <c r="D31" s="439" t="str">
        <f>+MID('Input data'!$B$42,4,1)</f>
        <v>i</v>
      </c>
      <c r="E31" s="439" t="str">
        <f>+MID('Input data'!$B$42,5,1)</f>
        <v>c</v>
      </c>
      <c r="F31" s="439" t="str">
        <f>+MID('Input data'!$B$42,6,1)</f>
        <v>e</v>
      </c>
      <c r="G31" s="439" t="str">
        <f>+MID('Input data'!$B$42,7,1)</f>
        <v>.</v>
      </c>
      <c r="H31" s="439" t="str">
        <f>+MID('Input data'!$B$42,8,1)</f>
        <v>s</v>
      </c>
      <c r="I31" s="439" t="str">
        <f>+MID('Input data'!$B$42,9,1)</f>
        <v>k</v>
      </c>
      <c r="J31" s="439" t="str">
        <f>+MID('Input data'!$B$42,10,1)</f>
        <v>@</v>
      </c>
      <c r="K31" s="439" t="str">
        <f>+MID('Input data'!$B$42,11,1)</f>
        <v>f</v>
      </c>
      <c r="L31" s="439" t="str">
        <f>+MID('Input data'!$B$42,12,1)</f>
        <v>o</v>
      </c>
      <c r="M31" s="439" t="str">
        <f>+MID('Input data'!$B$42,13,1)</f>
        <v>s</v>
      </c>
      <c r="N31" s="439" t="str">
        <f>+MID('Input data'!$B$42,14,1)</f>
        <v>s</v>
      </c>
      <c r="O31" s="439" t="str">
        <f>+MID('Input data'!$B$42,15,1)</f>
        <v>f</v>
      </c>
      <c r="P31" s="439" t="str">
        <f>+MID('Input data'!$B$42,16,1)</f>
        <v>i</v>
      </c>
      <c r="Q31" s="439" t="str">
        <f>+MID('Input data'!$B$42,17,1)</f>
        <v>b</v>
      </c>
      <c r="R31" s="439" t="str">
        <f>+MID('Input data'!$B$42,18,1)</f>
        <v>r</v>
      </c>
      <c r="S31" s="439" t="str">
        <f>+MID('Input data'!$B$42,19,1)</f>
        <v>e</v>
      </c>
      <c r="T31" s="439" t="str">
        <f>+MID('Input data'!$B$42,20,1)</f>
        <v>o</v>
      </c>
      <c r="U31" s="439" t="str">
        <f>+MID('Input data'!$B$42,21,1)</f>
        <v>p</v>
      </c>
      <c r="V31" s="439" t="str">
        <f>+MID('Input data'!$B$42,22,1)</f>
        <v>t</v>
      </c>
      <c r="W31" s="439" t="str">
        <f>+MID('Input data'!$B$42,23,1)</f>
        <v>i</v>
      </c>
      <c r="X31" s="439" t="str">
        <f>+MID('Input data'!$B$42,24,1)</f>
        <v>c</v>
      </c>
      <c r="Y31" s="439" t="str">
        <f>+MID('Input data'!$B$42,25,1)</f>
        <v>s</v>
      </c>
      <c r="Z31" s="439" t="str">
        <f>+MID('Input data'!$B$42,26,1)</f>
        <v>.</v>
      </c>
      <c r="AA31" s="439" t="str">
        <f>+MID('Input data'!$B$42,27,1)</f>
        <v>c</v>
      </c>
      <c r="AB31" s="439" t="str">
        <f>+MID('Input data'!$B$42,28,1)</f>
        <v>o</v>
      </c>
      <c r="AC31" s="439" t="str">
        <f>+MID('Input data'!$B$42,29,1)</f>
        <v>m</v>
      </c>
      <c r="AD31" s="439" t="str">
        <f>+MID('Input data'!$B$42,30,1)</f>
        <v/>
      </c>
      <c r="AE31" s="439" t="str">
        <f>+MID('Input data'!$B$42,31,1)</f>
        <v/>
      </c>
      <c r="AF31" s="439" t="str">
        <f>+MID('Input data'!$B$42,32,1)</f>
        <v/>
      </c>
      <c r="AG31" s="439" t="str">
        <f>+MID('Input data'!$B$42,33,1)</f>
        <v/>
      </c>
      <c r="AH31" s="439" t="str">
        <f>+MID('Input data'!$B$42,34,1)</f>
        <v/>
      </c>
      <c r="AI31" s="439" t="str">
        <f>+MID('Input data'!$B$42,35,1)</f>
        <v/>
      </c>
      <c r="AJ31" s="439" t="str">
        <f>+MID('Input data'!$B$42,36,1)</f>
        <v/>
      </c>
      <c r="AK31" s="438" t="str">
        <f>+MID('Input data'!$B$42,37,1)</f>
        <v/>
      </c>
    </row>
    <row r="32" spans="1:44" s="391" customFormat="1" ht="4.5" customHeight="1" thickBot="1">
      <c r="W32" s="392"/>
      <c r="X32" s="392"/>
      <c r="Y32" s="392"/>
      <c r="Z32" s="392"/>
      <c r="AA32" s="392"/>
      <c r="AB32" s="392"/>
      <c r="AC32" s="392"/>
      <c r="AD32" s="392"/>
      <c r="AE32" s="392"/>
      <c r="AF32" s="392"/>
      <c r="AG32" s="392"/>
      <c r="AH32" s="392"/>
      <c r="AI32" s="392"/>
      <c r="AJ32" s="392"/>
      <c r="AK32" s="392"/>
    </row>
    <row r="33" spans="1:37" s="434" customFormat="1" ht="13" customHeight="1">
      <c r="A33" s="437" t="s">
        <v>1095</v>
      </c>
      <c r="B33" s="436"/>
      <c r="C33" s="436"/>
      <c r="D33" s="436"/>
      <c r="E33" s="436"/>
      <c r="F33" s="436"/>
      <c r="G33" s="436"/>
      <c r="H33" s="436"/>
      <c r="I33" s="436"/>
      <c r="J33" s="436"/>
      <c r="K33" s="435"/>
      <c r="L33" s="2344" t="s">
        <v>1721</v>
      </c>
      <c r="M33" s="1639"/>
      <c r="N33" s="1639"/>
      <c r="O33" s="1639"/>
      <c r="P33" s="1639"/>
      <c r="Q33" s="1639"/>
      <c r="R33" s="1639"/>
      <c r="S33" s="1639"/>
      <c r="T33" s="2345"/>
      <c r="U33" s="1639" t="s">
        <v>1097</v>
      </c>
      <c r="V33" s="1639"/>
      <c r="W33" s="1639"/>
      <c r="X33" s="1639"/>
      <c r="Y33" s="1639"/>
      <c r="Z33" s="1639"/>
      <c r="AA33" s="1639"/>
      <c r="AB33" s="2345"/>
      <c r="AC33" s="2344" t="s">
        <v>1720</v>
      </c>
      <c r="AD33" s="1639"/>
      <c r="AE33" s="1639"/>
      <c r="AF33" s="1639"/>
      <c r="AG33" s="1639"/>
      <c r="AH33" s="1639"/>
      <c r="AI33" s="1639"/>
      <c r="AJ33" s="1639"/>
      <c r="AK33" s="1640"/>
    </row>
    <row r="34" spans="1:37" s="391" customFormat="1" ht="19.5" customHeight="1">
      <c r="A34" s="420" t="str">
        <f>LEFT(TEXT('Input data'!F34,"dd.m.yyyy"),1)</f>
        <v>1</v>
      </c>
      <c r="B34" s="419" t="str">
        <f>MID(TEXT('Input data'!$F$34,"dd.mm.yyyy"),2,1)</f>
        <v>5</v>
      </c>
      <c r="C34" s="418" t="s">
        <v>1063</v>
      </c>
      <c r="D34" s="419" t="str">
        <f>MID(TEXT('Input data'!$F$34,"dd.mm.yyyy"),4,1)</f>
        <v>0</v>
      </c>
      <c r="E34" s="419" t="str">
        <f>MID(TEXT('Input data'!$F$34,"dd.mm.yyyy"),5,1)</f>
        <v>5</v>
      </c>
      <c r="F34" s="418" t="s">
        <v>1063</v>
      </c>
      <c r="G34" s="417" t="str">
        <f>MID(TEXT('Input data'!$F$34,"dd.mm.yyyy"),7,1)</f>
        <v>2</v>
      </c>
      <c r="H34" s="417" t="str">
        <f>MID(TEXT('Input data'!$F$34,"dd.mm.yyyy"),8,1)</f>
        <v>0</v>
      </c>
      <c r="I34" s="417" t="str">
        <f>MID(TEXT('Input data'!$F$34,"dd.mm.yyyy"),9,1)</f>
        <v>1</v>
      </c>
      <c r="J34" s="417" t="str">
        <f>MID(TEXT('Input data'!$F$34,"dd.mm.yyyy"),10,1)</f>
        <v>9</v>
      </c>
      <c r="K34" s="433"/>
      <c r="L34" s="2346"/>
      <c r="M34" s="1641"/>
      <c r="N34" s="1641"/>
      <c r="O34" s="1641"/>
      <c r="P34" s="1641"/>
      <c r="Q34" s="1641"/>
      <c r="R34" s="1641"/>
      <c r="S34" s="1641"/>
      <c r="T34" s="2347"/>
      <c r="U34" s="1641"/>
      <c r="V34" s="1641"/>
      <c r="W34" s="1641"/>
      <c r="X34" s="1641"/>
      <c r="Y34" s="1641"/>
      <c r="Z34" s="1641"/>
      <c r="AA34" s="1641"/>
      <c r="AB34" s="2347"/>
      <c r="AC34" s="2346"/>
      <c r="AD34" s="1641"/>
      <c r="AE34" s="1641"/>
      <c r="AF34" s="1641"/>
      <c r="AG34" s="1641"/>
      <c r="AH34" s="1641"/>
      <c r="AI34" s="1641"/>
      <c r="AJ34" s="1641"/>
      <c r="AK34" s="1642"/>
    </row>
    <row r="35" spans="1:37" s="391" customFormat="1" ht="13" customHeight="1">
      <c r="A35" s="432"/>
      <c r="B35" s="431"/>
      <c r="C35" s="431"/>
      <c r="D35" s="431"/>
      <c r="E35" s="431"/>
      <c r="F35" s="431"/>
      <c r="G35" s="430"/>
      <c r="H35" s="430"/>
      <c r="I35" s="430"/>
      <c r="J35" s="430"/>
      <c r="K35" s="429"/>
      <c r="L35" s="2346"/>
      <c r="M35" s="1641"/>
      <c r="N35" s="1641"/>
      <c r="O35" s="1641"/>
      <c r="P35" s="1641"/>
      <c r="Q35" s="1641"/>
      <c r="R35" s="1641"/>
      <c r="S35" s="1641"/>
      <c r="T35" s="2347"/>
      <c r="U35" s="1641"/>
      <c r="V35" s="1641"/>
      <c r="W35" s="1641"/>
      <c r="X35" s="1641"/>
      <c r="Y35" s="1641"/>
      <c r="Z35" s="1641"/>
      <c r="AA35" s="1641"/>
      <c r="AB35" s="2347"/>
      <c r="AC35" s="2346"/>
      <c r="AD35" s="1641"/>
      <c r="AE35" s="1641"/>
      <c r="AF35" s="1641"/>
      <c r="AG35" s="1641"/>
      <c r="AH35" s="1641"/>
      <c r="AI35" s="1641"/>
      <c r="AJ35" s="1641"/>
      <c r="AK35" s="1642"/>
    </row>
    <row r="36" spans="1:37" s="391" customFormat="1" ht="13">
      <c r="A36" s="403" t="s">
        <v>1099</v>
      </c>
      <c r="B36" s="402"/>
      <c r="C36" s="402"/>
      <c r="D36" s="402"/>
      <c r="E36" s="402"/>
      <c r="F36" s="402"/>
      <c r="G36" s="428"/>
      <c r="H36" s="428"/>
      <c r="I36" s="428"/>
      <c r="J36" s="428"/>
      <c r="K36" s="427"/>
      <c r="L36" s="426"/>
      <c r="M36" s="426"/>
      <c r="N36" s="426"/>
      <c r="O36" s="426"/>
      <c r="P36" s="426"/>
      <c r="Q36" s="426"/>
      <c r="R36" s="426"/>
      <c r="S36" s="402"/>
      <c r="T36" s="424"/>
      <c r="U36" s="425"/>
      <c r="V36" s="425"/>
      <c r="W36" s="425"/>
      <c r="X36" s="425"/>
      <c r="Y36" s="425"/>
      <c r="Z36" s="399"/>
      <c r="AA36" s="425"/>
      <c r="AB36" s="424"/>
      <c r="AC36" s="423"/>
      <c r="AD36" s="422"/>
      <c r="AE36" s="422"/>
      <c r="AF36" s="422"/>
      <c r="AG36" s="422"/>
      <c r="AH36" s="422"/>
      <c r="AI36" s="422"/>
      <c r="AJ36" s="422"/>
      <c r="AK36" s="421"/>
    </row>
    <row r="37" spans="1:37" s="391" customFormat="1" ht="19.5" customHeight="1">
      <c r="A37" s="420" t="str">
        <f>IF('Input data'!$F$36="","",LEFT(TEXT('Input data'!$F$36,"dd.mm.yyyy"),1))</f>
        <v/>
      </c>
      <c r="B37" s="419" t="str">
        <f>IF('Input data'!$F$36="","",MID(TEXT('Input data'!$F$36,"dd.mm.yyyy"),2,1))</f>
        <v/>
      </c>
      <c r="C37" s="418" t="s">
        <v>1063</v>
      </c>
      <c r="D37" s="419" t="str">
        <f>IF('Input data'!$F$36="","",MID(TEXT('Input data'!$F$36,"dd.mm.yyyy"),4,1))</f>
        <v/>
      </c>
      <c r="E37" s="419" t="str">
        <f>IF('Input data'!$F$36="","",MID(TEXT('Input data'!$F$36,"dd.mm.yyyy"),5,1))</f>
        <v/>
      </c>
      <c r="F37" s="418" t="s">
        <v>1063</v>
      </c>
      <c r="G37" s="417" t="str">
        <f>IF('Input data'!$F$36="","",MID(TEXT('Input data'!$F$36,"dd.mm.yyyy"),7,1))</f>
        <v/>
      </c>
      <c r="H37" s="417" t="str">
        <f>IF('Input data'!$F$36="","",MID(TEXT('Input data'!$F$36,"dd.mm.yyyy"),8,1))</f>
        <v/>
      </c>
      <c r="I37" s="417" t="str">
        <f>IF('Input data'!$F$36="","",MID(TEXT('Input data'!$F$36,"dd.mm.yyyy"),9,1))</f>
        <v/>
      </c>
      <c r="J37" s="417" t="str">
        <f>IF('Input data'!$F$36="","",MID(TEXT('Input data'!$F$36,"dd.mm.yyyy"),10,1))</f>
        <v/>
      </c>
      <c r="K37" s="416"/>
      <c r="L37" s="415"/>
      <c r="M37" s="414"/>
      <c r="N37" s="414"/>
      <c r="O37" s="414"/>
      <c r="P37" s="414"/>
      <c r="Q37" s="414"/>
      <c r="R37" s="414"/>
      <c r="S37" s="414"/>
      <c r="T37" s="413"/>
      <c r="U37" s="415"/>
      <c r="V37" s="414"/>
      <c r="W37" s="414"/>
      <c r="X37" s="414"/>
      <c r="Y37" s="414"/>
      <c r="Z37" s="414"/>
      <c r="AA37" s="414"/>
      <c r="AB37" s="413"/>
      <c r="AC37" s="399"/>
      <c r="AD37" s="399"/>
      <c r="AE37" s="399"/>
      <c r="AF37" s="399"/>
      <c r="AG37" s="399"/>
      <c r="AH37" s="399"/>
      <c r="AI37" s="399"/>
      <c r="AJ37" s="399"/>
      <c r="AK37" s="398"/>
    </row>
    <row r="38" spans="1:37" s="397" customFormat="1" ht="12" thickBot="1">
      <c r="A38" s="412"/>
      <c r="B38" s="411"/>
      <c r="C38" s="411"/>
      <c r="D38" s="411"/>
      <c r="E38" s="411"/>
      <c r="F38" s="411"/>
      <c r="G38" s="411"/>
      <c r="H38" s="411"/>
      <c r="I38" s="411"/>
      <c r="J38" s="411"/>
      <c r="K38" s="410"/>
      <c r="L38" s="2348">
        <f>'Input data'!F40</f>
        <v>0</v>
      </c>
      <c r="M38" s="2349"/>
      <c r="N38" s="2349"/>
      <c r="O38" s="2349"/>
      <c r="P38" s="2349"/>
      <c r="Q38" s="2349"/>
      <c r="R38" s="2349"/>
      <c r="S38" s="2349"/>
      <c r="T38" s="2350"/>
      <c r="U38" s="2348" t="e">
        <f>'Input data'!#REF!</f>
        <v>#REF!</v>
      </c>
      <c r="V38" s="2349"/>
      <c r="W38" s="2349"/>
      <c r="X38" s="2349"/>
      <c r="Y38" s="2349"/>
      <c r="Z38" s="2349"/>
      <c r="AA38" s="2349"/>
      <c r="AB38" s="2350"/>
      <c r="AC38" s="2351" t="e">
        <f>'Input data'!#REF!</f>
        <v>#REF!</v>
      </c>
      <c r="AD38" s="2349"/>
      <c r="AE38" s="2349"/>
      <c r="AF38" s="2349"/>
      <c r="AG38" s="2349"/>
      <c r="AH38" s="2349"/>
      <c r="AI38" s="2349"/>
      <c r="AJ38" s="2349"/>
      <c r="AK38" s="2352"/>
    </row>
    <row r="39" spans="1:37" s="397" customFormat="1" ht="13">
      <c r="W39" s="392"/>
      <c r="X39" s="392"/>
      <c r="Y39" s="392"/>
      <c r="Z39" s="392"/>
      <c r="AA39" s="392"/>
      <c r="AB39" s="392"/>
      <c r="AC39" s="392"/>
      <c r="AD39" s="392"/>
      <c r="AE39" s="392"/>
      <c r="AF39" s="392"/>
      <c r="AG39" s="392"/>
      <c r="AH39" s="392"/>
      <c r="AI39" s="392"/>
      <c r="AJ39" s="392"/>
      <c r="AK39" s="392"/>
    </row>
    <row r="40" spans="1:37" s="397" customFormat="1" ht="13" customHeight="1">
      <c r="W40" s="392"/>
      <c r="X40" s="392"/>
      <c r="Y40" s="392"/>
      <c r="Z40" s="392"/>
      <c r="AA40" s="392"/>
      <c r="AB40" s="392"/>
      <c r="AC40" s="392"/>
      <c r="AD40" s="392"/>
      <c r="AE40" s="392"/>
      <c r="AF40" s="392"/>
      <c r="AG40" s="392"/>
      <c r="AH40" s="392"/>
      <c r="AI40" s="392"/>
      <c r="AJ40" s="392"/>
      <c r="AK40" s="392"/>
    </row>
    <row r="41" spans="1:37" s="397" customFormat="1" ht="13">
      <c r="W41" s="392"/>
      <c r="X41" s="392"/>
      <c r="Y41" s="392"/>
      <c r="Z41" s="392"/>
      <c r="AA41" s="392"/>
      <c r="AB41" s="392"/>
      <c r="AC41" s="392"/>
      <c r="AD41" s="392"/>
      <c r="AE41" s="392"/>
      <c r="AF41" s="392"/>
      <c r="AG41" s="392"/>
      <c r="AH41" s="392"/>
      <c r="AI41" s="392"/>
      <c r="AJ41" s="392"/>
      <c r="AK41" s="392"/>
    </row>
    <row r="42" spans="1:37" ht="13.5" thickBot="1">
      <c r="W42" s="392"/>
      <c r="X42" s="392"/>
      <c r="Y42" s="392"/>
      <c r="Z42" s="392"/>
      <c r="AA42" s="392"/>
      <c r="AB42" s="392"/>
      <c r="AC42" s="392"/>
      <c r="AD42" s="392"/>
      <c r="AE42" s="392"/>
      <c r="AF42" s="392"/>
      <c r="AG42" s="392"/>
      <c r="AH42" s="392"/>
      <c r="AI42" s="392"/>
      <c r="AJ42" s="392"/>
      <c r="AK42" s="392"/>
    </row>
    <row r="43" spans="1:37" s="397" customFormat="1" ht="13">
      <c r="B43" s="409" t="s">
        <v>1100</v>
      </c>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392"/>
    </row>
    <row r="44" spans="1:37" s="397" customFormat="1" ht="13">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7" ht="13" customHeight="1">
      <c r="B45" s="405"/>
      <c r="C45" s="900"/>
      <c r="D45" s="900"/>
      <c r="E45" s="900"/>
      <c r="F45" s="900"/>
      <c r="G45" s="900"/>
      <c r="H45" s="900"/>
      <c r="I45" s="900"/>
      <c r="J45" s="900"/>
      <c r="K45" s="900"/>
      <c r="L45" s="900"/>
      <c r="M45" s="900"/>
      <c r="N45" s="900"/>
      <c r="O45" s="900"/>
      <c r="P45" s="900"/>
      <c r="Q45" s="900"/>
      <c r="R45" s="900"/>
      <c r="S45" s="900"/>
      <c r="T45" s="900"/>
      <c r="U45" s="900"/>
      <c r="V45" s="900"/>
      <c r="W45" s="399"/>
      <c r="X45" s="399"/>
      <c r="Y45" s="399"/>
      <c r="Z45" s="399"/>
      <c r="AA45" s="399"/>
      <c r="AB45" s="399"/>
      <c r="AC45" s="399"/>
      <c r="AD45" s="399"/>
      <c r="AE45" s="399"/>
      <c r="AF45" s="399"/>
      <c r="AG45" s="399"/>
      <c r="AH45" s="399"/>
      <c r="AI45" s="399"/>
      <c r="AJ45" s="398"/>
      <c r="AK45" s="392"/>
    </row>
    <row r="46" spans="1:37" s="397" customFormat="1" ht="13">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37" s="391" customFormat="1" ht="13">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7" s="391" customFormat="1" ht="13">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ht="13">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ht="13">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1" customFormat="1" ht="13.5" thickBot="1">
      <c r="B53" s="396"/>
      <c r="C53" s="395"/>
      <c r="D53" s="395"/>
      <c r="E53" s="395"/>
      <c r="F53" s="395"/>
      <c r="G53" s="395" t="s">
        <v>1101</v>
      </c>
      <c r="H53" s="395"/>
      <c r="I53" s="395"/>
      <c r="J53" s="395"/>
      <c r="K53" s="395"/>
      <c r="L53" s="395"/>
      <c r="M53" s="395"/>
      <c r="N53" s="395"/>
      <c r="O53" s="395"/>
      <c r="P53" s="395"/>
      <c r="Q53" s="395"/>
      <c r="R53" s="395"/>
      <c r="S53" s="395"/>
      <c r="T53" s="395"/>
      <c r="U53" s="395" t="s">
        <v>1102</v>
      </c>
      <c r="V53" s="395"/>
      <c r="W53" s="394"/>
      <c r="X53" s="394"/>
      <c r="Y53" s="394"/>
      <c r="Z53" s="394"/>
      <c r="AA53" s="394"/>
      <c r="AB53" s="394"/>
      <c r="AC53" s="394"/>
      <c r="AD53" s="394"/>
      <c r="AE53" s="394"/>
      <c r="AF53" s="394"/>
      <c r="AG53" s="394"/>
      <c r="AH53" s="394"/>
      <c r="AI53" s="394"/>
      <c r="AJ53" s="393"/>
      <c r="AK53" s="392"/>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5" orientation="portrait" r:id="rId1"/>
  <headerFooter alignWithMargins="0">
    <oddFooter>&amp;LMF SR č. 25947/1/2010&amp;RStrana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3"/>
  <sheetViews>
    <sheetView showGridLines="0" view="pageBreakPreview" zoomScaleNormal="100" zoomScaleSheetLayoutView="100" workbookViewId="0">
      <selection activeCell="H11" sqref="H11:K11"/>
    </sheetView>
  </sheetViews>
  <sheetFormatPr defaultColWidth="9.1796875" defaultRowHeight="11"/>
  <cols>
    <col min="1" max="1" width="5.54296875" style="502" customWidth="1"/>
    <col min="2" max="2" width="18.7265625" style="502" customWidth="1"/>
    <col min="3" max="3" width="1.453125" style="502" customWidth="1"/>
    <col min="4" max="4" width="3.7265625" style="502" customWidth="1"/>
    <col min="5" max="5" width="3.54296875" style="502" customWidth="1"/>
    <col min="6" max="6" width="12.453125" style="502" customWidth="1"/>
    <col min="7" max="7" width="12.1796875" style="502" customWidth="1"/>
    <col min="8" max="8" width="1.453125" style="502" customWidth="1"/>
    <col min="9" max="9" width="3.7265625" style="502" customWidth="1"/>
    <col min="10" max="10" width="3.54296875" style="502" customWidth="1"/>
    <col min="11" max="11" width="10.54296875" style="502" customWidth="1"/>
    <col min="12" max="12" width="14.453125" style="502" customWidth="1"/>
    <col min="13" max="16384" width="9.1796875" style="502"/>
  </cols>
  <sheetData>
    <row r="1" spans="1:15" ht="9.75" customHeight="1">
      <c r="A1" s="501"/>
      <c r="B1" s="502" t="s">
        <v>2393</v>
      </c>
      <c r="C1" s="445"/>
      <c r="G1" s="445"/>
      <c r="H1" s="445"/>
      <c r="I1" s="445"/>
      <c r="J1" s="445"/>
      <c r="K1" s="445"/>
    </row>
    <row r="2" spans="1:15" ht="23.25" customHeight="1">
      <c r="A2" s="501"/>
      <c r="B2" s="1166" t="s">
        <v>2394</v>
      </c>
      <c r="C2" s="1169"/>
      <c r="D2" s="525" t="s">
        <v>1231</v>
      </c>
      <c r="E2" s="524"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3"/>
      <c r="G2" s="522"/>
      <c r="H2" s="1175"/>
      <c r="I2" s="522" t="s">
        <v>1074</v>
      </c>
      <c r="J2" s="1034" t="str">
        <f>"  "&amp;'SK Cover sheet'!A13&amp;"  "&amp;'SK Cover sheet'!B13&amp;"  "&amp;'SK Cover sheet'!C13&amp;"  "&amp;'SK Cover sheet'!D13&amp;"  "&amp;'SK Cover sheet'!E13&amp;"  "&amp;'SK Cover sheet'!F13&amp;"  "&amp;'SK Cover sheet'!G13&amp;"  "&amp;'SK Cover sheet'!H13&amp;" "</f>
        <v xml:space="preserve">  3  1  3  6  5  5  0  7 </v>
      </c>
      <c r="K2" s="1167"/>
      <c r="L2" s="1168"/>
    </row>
    <row r="3" spans="1:15" ht="2.25" customHeight="1" thickBot="1">
      <c r="A3" s="501"/>
      <c r="C3" s="580"/>
      <c r="D3" s="580"/>
      <c r="F3" s="580"/>
      <c r="G3" s="580"/>
      <c r="H3" s="580"/>
      <c r="I3" s="580"/>
    </row>
    <row r="4" spans="1:15" s="519" customFormat="1" ht="11.25" customHeight="1">
      <c r="A4" s="2415" t="s">
        <v>1137</v>
      </c>
      <c r="B4" s="2416" t="s">
        <v>1181</v>
      </c>
      <c r="C4" s="2418" t="s">
        <v>1135</v>
      </c>
      <c r="D4" s="2419"/>
      <c r="E4" s="2369" t="s">
        <v>2</v>
      </c>
      <c r="F4" s="2393"/>
      <c r="G4" s="2393"/>
      <c r="H4" s="2393"/>
      <c r="I4" s="2393"/>
      <c r="J4" s="2373"/>
      <c r="K4" s="2431" t="s">
        <v>1180</v>
      </c>
      <c r="L4" s="2432"/>
    </row>
    <row r="5" spans="1:15" s="519" customFormat="1" ht="11.25" customHeight="1">
      <c r="A5" s="2382"/>
      <c r="B5" s="2390"/>
      <c r="C5" s="2418"/>
      <c r="D5" s="2419"/>
      <c r="E5" s="2394">
        <v>1</v>
      </c>
      <c r="F5" s="2390" t="s">
        <v>1179</v>
      </c>
      <c r="G5" s="2390"/>
      <c r="H5" s="2435" t="s">
        <v>1178</v>
      </c>
      <c r="I5" s="2436"/>
      <c r="J5" s="2437"/>
      <c r="K5" s="2371"/>
      <c r="L5" s="2372"/>
    </row>
    <row r="6" spans="1:15" s="519" customFormat="1" ht="12" customHeight="1">
      <c r="A6" s="2382"/>
      <c r="B6" s="2390"/>
      <c r="C6" s="2420"/>
      <c r="D6" s="2421"/>
      <c r="E6" s="2394"/>
      <c r="F6" s="2390" t="s">
        <v>1177</v>
      </c>
      <c r="G6" s="2390"/>
      <c r="H6" s="2379"/>
      <c r="I6" s="2438"/>
      <c r="J6" s="2439"/>
      <c r="K6" s="2379" t="s">
        <v>1176</v>
      </c>
      <c r="L6" s="2380"/>
    </row>
    <row r="7" spans="1:15" s="521" customFormat="1" ht="28" customHeight="1">
      <c r="A7" s="2417"/>
      <c r="B7" s="2398" t="s">
        <v>2395</v>
      </c>
      <c r="C7" s="2356" t="s">
        <v>522</v>
      </c>
      <c r="D7" s="2357"/>
      <c r="E7" s="2367">
        <f>BS!E10</f>
        <v>1527933</v>
      </c>
      <c r="F7" s="2367"/>
      <c r="G7" s="2367"/>
      <c r="H7" s="2353">
        <f>E7-E8</f>
        <v>-2828999</v>
      </c>
      <c r="I7" s="2354"/>
      <c r="J7" s="2354"/>
      <c r="K7" s="2355"/>
      <c r="L7" s="520"/>
    </row>
    <row r="8" spans="1:15" s="521" customFormat="1" ht="28" customHeight="1">
      <c r="A8" s="2417"/>
      <c r="B8" s="2398"/>
      <c r="C8" s="2358"/>
      <c r="D8" s="2359"/>
      <c r="E8" s="2367">
        <f>BS!F10</f>
        <v>4356932</v>
      </c>
      <c r="F8" s="2367"/>
      <c r="G8" s="2367"/>
      <c r="H8" s="2353"/>
      <c r="I8" s="2355"/>
      <c r="J8" s="2433">
        <f>BS!G10</f>
        <v>4805868</v>
      </c>
      <c r="K8" s="2434"/>
      <c r="L8" s="2368"/>
      <c r="O8" s="521" t="s">
        <v>1093</v>
      </c>
    </row>
    <row r="9" spans="1:15" s="521" customFormat="1" ht="28" customHeight="1">
      <c r="A9" s="2396" t="s">
        <v>523</v>
      </c>
      <c r="B9" s="1652" t="s">
        <v>2396</v>
      </c>
      <c r="C9" s="2356" t="s">
        <v>525</v>
      </c>
      <c r="D9" s="2357"/>
      <c r="E9" s="2364">
        <f>BS!E11</f>
        <v>1495952</v>
      </c>
      <c r="F9" s="2365"/>
      <c r="G9" s="2366"/>
      <c r="H9" s="2353">
        <f>E9-E10</f>
        <v>-158992</v>
      </c>
      <c r="I9" s="2354"/>
      <c r="J9" s="2354"/>
      <c r="K9" s="2355"/>
      <c r="L9" s="520"/>
    </row>
    <row r="10" spans="1:15" s="521" customFormat="1" ht="28" customHeight="1">
      <c r="A10" s="2396"/>
      <c r="B10" s="1652"/>
      <c r="C10" s="2358"/>
      <c r="D10" s="2359"/>
      <c r="E10" s="2364">
        <f>BS!F11</f>
        <v>1654944</v>
      </c>
      <c r="F10" s="2365"/>
      <c r="G10" s="2366"/>
      <c r="H10" s="2353"/>
      <c r="I10" s="2355"/>
      <c r="J10" s="2364">
        <f>BS!G11</f>
        <v>2030208</v>
      </c>
      <c r="K10" s="2365"/>
      <c r="L10" s="2368"/>
    </row>
    <row r="11" spans="1:15" s="521" customFormat="1" ht="28" customHeight="1">
      <c r="A11" s="2396" t="s">
        <v>526</v>
      </c>
      <c r="B11" s="1679" t="s">
        <v>2397</v>
      </c>
      <c r="C11" s="2356" t="s">
        <v>528</v>
      </c>
      <c r="D11" s="2357"/>
      <c r="E11" s="2367">
        <f>'BS old'!D12</f>
        <v>0</v>
      </c>
      <c r="F11" s="2367"/>
      <c r="G11" s="2367"/>
      <c r="H11" s="2353">
        <f>'BS old'!F12</f>
        <v>0</v>
      </c>
      <c r="I11" s="2354"/>
      <c r="J11" s="2354"/>
      <c r="K11" s="2355"/>
      <c r="L11" s="520"/>
    </row>
    <row r="12" spans="1:15" s="521" customFormat="1" ht="28" customHeight="1">
      <c r="A12" s="2396"/>
      <c r="B12" s="1680"/>
      <c r="C12" s="2358"/>
      <c r="D12" s="2359"/>
      <c r="E12" s="2367">
        <f>'BS old'!E12</f>
        <v>0</v>
      </c>
      <c r="F12" s="2367"/>
      <c r="G12" s="2367"/>
      <c r="H12" s="1176"/>
      <c r="I12" s="1177"/>
      <c r="J12" s="2364">
        <f>'BS old'!G12</f>
        <v>0</v>
      </c>
      <c r="K12" s="2365"/>
      <c r="L12" s="2368"/>
    </row>
    <row r="13" spans="1:15" s="519" customFormat="1" ht="28" customHeight="1">
      <c r="A13" s="2408" t="s">
        <v>529</v>
      </c>
      <c r="B13" s="2386" t="s">
        <v>1230</v>
      </c>
      <c r="C13" s="2360" t="s">
        <v>531</v>
      </c>
      <c r="D13" s="2361"/>
      <c r="E13" s="2367">
        <f>'BS old'!D13</f>
        <v>0</v>
      </c>
      <c r="F13" s="2367"/>
      <c r="G13" s="2367"/>
      <c r="H13" s="2353">
        <f>'BS old'!F13</f>
        <v>0</v>
      </c>
      <c r="I13" s="2354"/>
      <c r="J13" s="2354"/>
      <c r="K13" s="2355"/>
      <c r="L13" s="520"/>
    </row>
    <row r="14" spans="1:15" s="519" customFormat="1" ht="28" customHeight="1">
      <c r="A14" s="2414"/>
      <c r="B14" s="2386"/>
      <c r="C14" s="2362"/>
      <c r="D14" s="2363"/>
      <c r="E14" s="2367">
        <f>'BS old'!E13</f>
        <v>0</v>
      </c>
      <c r="F14" s="2367"/>
      <c r="G14" s="2367"/>
      <c r="H14" s="1176"/>
      <c r="I14" s="1177"/>
      <c r="J14" s="2364">
        <f>'BS old'!G13</f>
        <v>0</v>
      </c>
      <c r="K14" s="2365"/>
      <c r="L14" s="2368"/>
    </row>
    <row r="15" spans="1:15" s="519" customFormat="1" ht="28" customHeight="1">
      <c r="A15" s="2384" t="s">
        <v>532</v>
      </c>
      <c r="B15" s="2386" t="s">
        <v>1229</v>
      </c>
      <c r="C15" s="2360" t="s">
        <v>534</v>
      </c>
      <c r="D15" s="2361"/>
      <c r="E15" s="2367">
        <f>'BS old'!D14</f>
        <v>0</v>
      </c>
      <c r="F15" s="2367"/>
      <c r="G15" s="2367"/>
      <c r="H15" s="2353">
        <f>'BS old'!F14</f>
        <v>0</v>
      </c>
      <c r="I15" s="2354"/>
      <c r="J15" s="2354"/>
      <c r="K15" s="2355"/>
      <c r="L15" s="520"/>
    </row>
    <row r="16" spans="1:15" s="519" customFormat="1" ht="28" customHeight="1">
      <c r="A16" s="2384"/>
      <c r="B16" s="2386"/>
      <c r="C16" s="2362"/>
      <c r="D16" s="2363"/>
      <c r="E16" s="2367">
        <f>'BS old'!E14</f>
        <v>0</v>
      </c>
      <c r="F16" s="2367"/>
      <c r="G16" s="2367"/>
      <c r="H16" s="1176"/>
      <c r="I16" s="1177"/>
      <c r="J16" s="2364">
        <f>'BS old'!G14</f>
        <v>0</v>
      </c>
      <c r="K16" s="2365"/>
      <c r="L16" s="2368"/>
    </row>
    <row r="17" spans="1:12" s="519" customFormat="1" ht="28" customHeight="1">
      <c r="A17" s="2384" t="s">
        <v>535</v>
      </c>
      <c r="B17" s="2386" t="s">
        <v>1228</v>
      </c>
      <c r="C17" s="2360" t="s">
        <v>537</v>
      </c>
      <c r="D17" s="2361"/>
      <c r="E17" s="2367">
        <f>'BS old'!D15</f>
        <v>0</v>
      </c>
      <c r="F17" s="2367"/>
      <c r="G17" s="2367"/>
      <c r="H17" s="2353">
        <f>'BS old'!F15</f>
        <v>0</v>
      </c>
      <c r="I17" s="2354"/>
      <c r="J17" s="2354"/>
      <c r="K17" s="2355"/>
      <c r="L17" s="520"/>
    </row>
    <row r="18" spans="1:12" s="519" customFormat="1" ht="28" customHeight="1">
      <c r="A18" s="2384"/>
      <c r="B18" s="2386"/>
      <c r="C18" s="2362"/>
      <c r="D18" s="2363"/>
      <c r="E18" s="2367">
        <f>'BS old'!E15</f>
        <v>0</v>
      </c>
      <c r="F18" s="2367"/>
      <c r="G18" s="2367"/>
      <c r="H18" s="1176"/>
      <c r="I18" s="1177"/>
      <c r="J18" s="2364">
        <f>'BS old'!G15</f>
        <v>0</v>
      </c>
      <c r="K18" s="2365"/>
      <c r="L18" s="2368"/>
    </row>
    <row r="19" spans="1:12" s="519" customFormat="1" ht="28" customHeight="1">
      <c r="A19" s="2384" t="s">
        <v>538</v>
      </c>
      <c r="B19" s="2386" t="s">
        <v>1227</v>
      </c>
      <c r="C19" s="2360" t="s">
        <v>540</v>
      </c>
      <c r="D19" s="2361"/>
      <c r="E19" s="2367">
        <f>'BS old'!D16</f>
        <v>0</v>
      </c>
      <c r="F19" s="2367"/>
      <c r="G19" s="2367"/>
      <c r="H19" s="2353">
        <f>'BS old'!F16</f>
        <v>0</v>
      </c>
      <c r="I19" s="2354"/>
      <c r="J19" s="2354"/>
      <c r="K19" s="2355"/>
      <c r="L19" s="520"/>
    </row>
    <row r="20" spans="1:12" s="519" customFormat="1" ht="28" customHeight="1">
      <c r="A20" s="2384"/>
      <c r="B20" s="2386"/>
      <c r="C20" s="2362"/>
      <c r="D20" s="2363"/>
      <c r="E20" s="2367">
        <f>'BS old'!E16</f>
        <v>0</v>
      </c>
      <c r="F20" s="2367"/>
      <c r="G20" s="2367"/>
      <c r="H20" s="1176"/>
      <c r="I20" s="1177"/>
      <c r="J20" s="2364">
        <f>'BS old'!G16</f>
        <v>0</v>
      </c>
      <c r="K20" s="2365"/>
      <c r="L20" s="2368"/>
    </row>
    <row r="21" spans="1:12" s="519" customFormat="1" ht="28" customHeight="1">
      <c r="A21" s="2384" t="s">
        <v>541</v>
      </c>
      <c r="B21" s="2386" t="s">
        <v>1226</v>
      </c>
      <c r="C21" s="2360" t="s">
        <v>543</v>
      </c>
      <c r="D21" s="2361"/>
      <c r="E21" s="2367">
        <f>'BS old'!D17</f>
        <v>0</v>
      </c>
      <c r="F21" s="2367"/>
      <c r="G21" s="2367"/>
      <c r="H21" s="2353">
        <f>'BS old'!F17</f>
        <v>0</v>
      </c>
      <c r="I21" s="2354"/>
      <c r="J21" s="2354"/>
      <c r="K21" s="2355"/>
      <c r="L21" s="520"/>
    </row>
    <row r="22" spans="1:12" s="519" customFormat="1" ht="28" customHeight="1">
      <c r="A22" s="2384"/>
      <c r="B22" s="2386"/>
      <c r="C22" s="2362"/>
      <c r="D22" s="2363"/>
      <c r="E22" s="2367">
        <f>'BS old'!E17</f>
        <v>0</v>
      </c>
      <c r="F22" s="2367"/>
      <c r="G22" s="2367"/>
      <c r="H22" s="1176"/>
      <c r="I22" s="1177"/>
      <c r="J22" s="2364">
        <f>'BS old'!G17</f>
        <v>0</v>
      </c>
      <c r="K22" s="2365"/>
      <c r="L22" s="2368"/>
    </row>
    <row r="23" spans="1:12" s="519" customFormat="1" ht="28" customHeight="1">
      <c r="A23" s="2384" t="s">
        <v>544</v>
      </c>
      <c r="B23" s="2386" t="s">
        <v>1225</v>
      </c>
      <c r="C23" s="2360" t="s">
        <v>546</v>
      </c>
      <c r="D23" s="2361"/>
      <c r="E23" s="2367">
        <f>'BS old'!D18</f>
        <v>0</v>
      </c>
      <c r="F23" s="2367"/>
      <c r="G23" s="2367"/>
      <c r="H23" s="2353">
        <f>'BS old'!F18</f>
        <v>0</v>
      </c>
      <c r="I23" s="2354"/>
      <c r="J23" s="2354"/>
      <c r="K23" s="2355"/>
      <c r="L23" s="520"/>
    </row>
    <row r="24" spans="1:12" s="519" customFormat="1" ht="28" customHeight="1">
      <c r="A24" s="2384"/>
      <c r="B24" s="2386"/>
      <c r="C24" s="2362"/>
      <c r="D24" s="2363"/>
      <c r="E24" s="2367">
        <f>'BS old'!E18</f>
        <v>0</v>
      </c>
      <c r="F24" s="2367"/>
      <c r="G24" s="2367"/>
      <c r="H24" s="1176"/>
      <c r="I24" s="1177"/>
      <c r="J24" s="2364">
        <f>'BS old'!G18</f>
        <v>0</v>
      </c>
      <c r="K24" s="2365"/>
      <c r="L24" s="2368"/>
    </row>
    <row r="25" spans="1:12" s="519" customFormat="1" ht="28" customHeight="1">
      <c r="A25" s="2384" t="s">
        <v>547</v>
      </c>
      <c r="B25" s="2386" t="s">
        <v>1224</v>
      </c>
      <c r="C25" s="2360" t="s">
        <v>549</v>
      </c>
      <c r="D25" s="2361"/>
      <c r="E25" s="2367">
        <f>'BS old'!D19</f>
        <v>0</v>
      </c>
      <c r="F25" s="2367"/>
      <c r="G25" s="2367"/>
      <c r="H25" s="2353">
        <f>'BS old'!F19</f>
        <v>0</v>
      </c>
      <c r="I25" s="2354"/>
      <c r="J25" s="2354"/>
      <c r="K25" s="2355"/>
      <c r="L25" s="520"/>
    </row>
    <row r="26" spans="1:12" s="519" customFormat="1" ht="28" customHeight="1">
      <c r="A26" s="2384"/>
      <c r="B26" s="2386"/>
      <c r="C26" s="2362"/>
      <c r="D26" s="2363"/>
      <c r="E26" s="2367">
        <f>'BS old'!E19</f>
        <v>0</v>
      </c>
      <c r="F26" s="2367"/>
      <c r="G26" s="2367"/>
      <c r="H26" s="1176"/>
      <c r="I26" s="1177"/>
      <c r="J26" s="2364">
        <f>'BS old'!G19</f>
        <v>0</v>
      </c>
      <c r="K26" s="2365"/>
      <c r="L26" s="2368"/>
    </row>
    <row r="27" spans="1:12" s="521" customFormat="1" ht="28" customHeight="1">
      <c r="A27" s="2409" t="s">
        <v>550</v>
      </c>
      <c r="B27" s="2398" t="s">
        <v>1223</v>
      </c>
      <c r="C27" s="2356" t="s">
        <v>552</v>
      </c>
      <c r="D27" s="2357"/>
      <c r="E27" s="2367">
        <f>'BS old'!D20</f>
        <v>0</v>
      </c>
      <c r="F27" s="2367"/>
      <c r="G27" s="2367"/>
      <c r="H27" s="2353">
        <f>'BS old'!F20</f>
        <v>0</v>
      </c>
      <c r="I27" s="2354"/>
      <c r="J27" s="2354"/>
      <c r="K27" s="2355"/>
      <c r="L27" s="520"/>
    </row>
    <row r="28" spans="1:12" s="521" customFormat="1" ht="28" customHeight="1">
      <c r="A28" s="2396"/>
      <c r="B28" s="2398"/>
      <c r="C28" s="2358"/>
      <c r="D28" s="2359"/>
      <c r="E28" s="2367">
        <f>'BS old'!E20</f>
        <v>0</v>
      </c>
      <c r="F28" s="2367"/>
      <c r="G28" s="2367"/>
      <c r="H28" s="2353"/>
      <c r="I28" s="2355"/>
      <c r="J28" s="2364">
        <f>'BS old'!G20</f>
        <v>0</v>
      </c>
      <c r="K28" s="2365"/>
      <c r="L28" s="2368"/>
    </row>
    <row r="29" spans="1:12" s="519" customFormat="1" ht="28" customHeight="1">
      <c r="A29" s="2408" t="s">
        <v>553</v>
      </c>
      <c r="B29" s="2386" t="s">
        <v>1222</v>
      </c>
      <c r="C29" s="2360" t="s">
        <v>555</v>
      </c>
      <c r="D29" s="2361"/>
      <c r="E29" s="2367">
        <f>'BS old'!D21</f>
        <v>0</v>
      </c>
      <c r="F29" s="2367"/>
      <c r="G29" s="2367"/>
      <c r="H29" s="2353">
        <f>'BS old'!F21</f>
        <v>0</v>
      </c>
      <c r="I29" s="2354"/>
      <c r="J29" s="2354"/>
      <c r="K29" s="2355"/>
      <c r="L29" s="520"/>
    </row>
    <row r="30" spans="1:12" s="519" customFormat="1" ht="28" customHeight="1">
      <c r="A30" s="2395"/>
      <c r="B30" s="2386"/>
      <c r="C30" s="2362"/>
      <c r="D30" s="2363"/>
      <c r="E30" s="2367">
        <f>'BS old'!E21</f>
        <v>0</v>
      </c>
      <c r="F30" s="2367"/>
      <c r="G30" s="2367"/>
      <c r="H30" s="1176"/>
      <c r="I30" s="1177"/>
      <c r="J30" s="2364">
        <f>'BS old'!G21</f>
        <v>0</v>
      </c>
      <c r="K30" s="2365"/>
      <c r="L30" s="2368"/>
    </row>
    <row r="31" spans="1:12" s="519" customFormat="1" ht="28" customHeight="1">
      <c r="A31" s="2384" t="s">
        <v>532</v>
      </c>
      <c r="B31" s="2386" t="s">
        <v>1221</v>
      </c>
      <c r="C31" s="2360" t="s">
        <v>557</v>
      </c>
      <c r="D31" s="2361"/>
      <c r="E31" s="2367">
        <f>'BS old'!D22</f>
        <v>0</v>
      </c>
      <c r="F31" s="2367"/>
      <c r="G31" s="2367"/>
      <c r="H31" s="2353">
        <f>'BS old'!F22</f>
        <v>0</v>
      </c>
      <c r="I31" s="2354"/>
      <c r="J31" s="2354"/>
      <c r="K31" s="2355"/>
      <c r="L31" s="520"/>
    </row>
    <row r="32" spans="1:12" s="519" customFormat="1" ht="28" customHeight="1">
      <c r="A32" s="2384"/>
      <c r="B32" s="2386"/>
      <c r="C32" s="2362"/>
      <c r="D32" s="2363"/>
      <c r="E32" s="2367">
        <f>'BS old'!E22</f>
        <v>0</v>
      </c>
      <c r="F32" s="2367"/>
      <c r="G32" s="2367"/>
      <c r="H32" s="2353"/>
      <c r="I32" s="2355"/>
      <c r="J32" s="2364">
        <f>'BS old'!G22</f>
        <v>0</v>
      </c>
      <c r="K32" s="2365"/>
      <c r="L32" s="2368"/>
    </row>
    <row r="33" spans="1:12" s="519" customFormat="1" ht="11.25" customHeight="1">
      <c r="A33" s="2381" t="s">
        <v>1137</v>
      </c>
      <c r="B33" s="2389" t="s">
        <v>1181</v>
      </c>
      <c r="C33" s="1026"/>
      <c r="D33" s="2391" t="s">
        <v>1135</v>
      </c>
      <c r="E33" s="2371" t="s">
        <v>2</v>
      </c>
      <c r="F33" s="2393"/>
      <c r="G33" s="2393"/>
      <c r="H33" s="2393"/>
      <c r="I33" s="2393"/>
      <c r="J33" s="2374"/>
      <c r="K33" s="2375" t="s">
        <v>1180</v>
      </c>
      <c r="L33" s="2376"/>
    </row>
    <row r="34" spans="1:12" s="519" customFormat="1" ht="11.25" customHeight="1">
      <c r="A34" s="2382"/>
      <c r="B34" s="2390"/>
      <c r="C34" s="1027"/>
      <c r="D34" s="2392"/>
      <c r="E34" s="2394">
        <v>1</v>
      </c>
      <c r="F34" s="2390" t="s">
        <v>1179</v>
      </c>
      <c r="G34" s="2390"/>
      <c r="H34" s="1021"/>
      <c r="I34" s="2377" t="s">
        <v>1178</v>
      </c>
      <c r="J34" s="2378"/>
      <c r="K34" s="2371"/>
      <c r="L34" s="2372"/>
    </row>
    <row r="35" spans="1:12" s="519" customFormat="1" ht="12" customHeight="1">
      <c r="A35" s="2382"/>
      <c r="B35" s="2390"/>
      <c r="C35" s="1027"/>
      <c r="D35" s="2392"/>
      <c r="E35" s="2394"/>
      <c r="F35" s="2390" t="s">
        <v>1177</v>
      </c>
      <c r="G35" s="2390"/>
      <c r="H35" s="1023"/>
      <c r="I35" s="2435"/>
      <c r="J35" s="2437"/>
      <c r="K35" s="2379" t="s">
        <v>1176</v>
      </c>
      <c r="L35" s="2380"/>
    </row>
    <row r="36" spans="1:12" ht="28" customHeight="1">
      <c r="A36" s="2383" t="s">
        <v>535</v>
      </c>
      <c r="B36" s="2385" t="s">
        <v>1220</v>
      </c>
      <c r="C36" s="1024"/>
      <c r="D36" s="2387" t="s">
        <v>559</v>
      </c>
      <c r="E36" s="2367">
        <f>'BS old'!D23</f>
        <v>0</v>
      </c>
      <c r="F36" s="2367"/>
      <c r="G36" s="2367"/>
      <c r="H36" s="1020"/>
      <c r="I36" s="2364">
        <f>'BS old'!F23</f>
        <v>0</v>
      </c>
      <c r="J36" s="2365"/>
      <c r="K36" s="2366"/>
      <c r="L36" s="520"/>
    </row>
    <row r="37" spans="1:12" ht="28" customHeight="1">
      <c r="A37" s="2384"/>
      <c r="B37" s="2386"/>
      <c r="C37" s="1025"/>
      <c r="D37" s="2388"/>
      <c r="E37" s="2367">
        <f>'BS old'!E23</f>
        <v>0</v>
      </c>
      <c r="F37" s="2367"/>
      <c r="G37" s="2367"/>
      <c r="H37" s="1028"/>
      <c r="I37" s="604"/>
      <c r="J37" s="2364">
        <f>'BS old'!G23</f>
        <v>0</v>
      </c>
      <c r="K37" s="2365"/>
      <c r="L37" s="2368"/>
    </row>
    <row r="38" spans="1:12" ht="28" customHeight="1">
      <c r="A38" s="2384" t="s">
        <v>538</v>
      </c>
      <c r="B38" s="2386" t="s">
        <v>1219</v>
      </c>
      <c r="C38" s="1025"/>
      <c r="D38" s="2388" t="s">
        <v>561</v>
      </c>
      <c r="E38" s="2367">
        <f>'BS old'!D24</f>
        <v>0</v>
      </c>
      <c r="F38" s="2367"/>
      <c r="G38" s="2367"/>
      <c r="H38" s="1020"/>
      <c r="I38" s="2364">
        <f>'BS old'!F24</f>
        <v>0</v>
      </c>
      <c r="J38" s="2365"/>
      <c r="K38" s="2366"/>
      <c r="L38" s="520"/>
    </row>
    <row r="39" spans="1:12" ht="28" customHeight="1">
      <c r="A39" s="2384"/>
      <c r="B39" s="2386"/>
      <c r="C39" s="1025"/>
      <c r="D39" s="2388"/>
      <c r="E39" s="2367">
        <f>'BS old'!E24</f>
        <v>0</v>
      </c>
      <c r="F39" s="2367"/>
      <c r="G39" s="2367"/>
      <c r="H39" s="1028"/>
      <c r="I39" s="604"/>
      <c r="J39" s="2364">
        <f>'BS old'!G24</f>
        <v>0</v>
      </c>
      <c r="K39" s="2365"/>
      <c r="L39" s="2368"/>
    </row>
    <row r="40" spans="1:12" ht="28" customHeight="1">
      <c r="A40" s="2384" t="s">
        <v>541</v>
      </c>
      <c r="B40" s="2386" t="s">
        <v>1218</v>
      </c>
      <c r="C40" s="1024"/>
      <c r="D40" s="2387" t="s">
        <v>563</v>
      </c>
      <c r="E40" s="2367">
        <f>'BS old'!D25</f>
        <v>0</v>
      </c>
      <c r="F40" s="2367"/>
      <c r="G40" s="2367"/>
      <c r="H40" s="1020"/>
      <c r="I40" s="2364">
        <f>'BS old'!F25</f>
        <v>0</v>
      </c>
      <c r="J40" s="2365"/>
      <c r="K40" s="2366"/>
      <c r="L40" s="520"/>
    </row>
    <row r="41" spans="1:12" ht="28" customHeight="1">
      <c r="A41" s="2384"/>
      <c r="B41" s="2386"/>
      <c r="C41" s="1025"/>
      <c r="D41" s="2388"/>
      <c r="E41" s="2367">
        <f>'BS old'!E25</f>
        <v>0</v>
      </c>
      <c r="F41" s="2367"/>
      <c r="G41" s="2367"/>
      <c r="H41" s="1028"/>
      <c r="I41" s="604"/>
      <c r="J41" s="2364">
        <f>'BS old'!G25</f>
        <v>0</v>
      </c>
      <c r="K41" s="2365"/>
      <c r="L41" s="2368"/>
    </row>
    <row r="42" spans="1:12" ht="28" customHeight="1">
      <c r="A42" s="2384" t="s">
        <v>544</v>
      </c>
      <c r="B42" s="2386" t="s">
        <v>1217</v>
      </c>
      <c r="C42" s="1025"/>
      <c r="D42" s="2388" t="s">
        <v>565</v>
      </c>
      <c r="E42" s="2367">
        <f>'BS old'!D26</f>
        <v>0</v>
      </c>
      <c r="F42" s="2367"/>
      <c r="G42" s="2367"/>
      <c r="H42" s="1020"/>
      <c r="I42" s="2364">
        <f>'BS old'!F26</f>
        <v>0</v>
      </c>
      <c r="J42" s="2365"/>
      <c r="K42" s="2366"/>
      <c r="L42" s="520"/>
    </row>
    <row r="43" spans="1:12" ht="28" customHeight="1">
      <c r="A43" s="2384"/>
      <c r="B43" s="2386"/>
      <c r="C43" s="1025"/>
      <c r="D43" s="2388"/>
      <c r="E43" s="2367">
        <f>'BS old'!E26</f>
        <v>0</v>
      </c>
      <c r="F43" s="2367"/>
      <c r="G43" s="2367"/>
      <c r="H43" s="1028"/>
      <c r="I43" s="604"/>
      <c r="J43" s="2364">
        <f>'BS old'!G26</f>
        <v>0</v>
      </c>
      <c r="K43" s="2365"/>
      <c r="L43" s="2368"/>
    </row>
    <row r="44" spans="1:12" ht="28" customHeight="1">
      <c r="A44" s="2384" t="s">
        <v>547</v>
      </c>
      <c r="B44" s="2386" t="s">
        <v>1216</v>
      </c>
      <c r="C44" s="1024"/>
      <c r="D44" s="2387" t="s">
        <v>567</v>
      </c>
      <c r="E44" s="2367">
        <f>'BS old'!D27</f>
        <v>0</v>
      </c>
      <c r="F44" s="2367"/>
      <c r="G44" s="2367"/>
      <c r="H44" s="1020"/>
      <c r="I44" s="2364">
        <f>'BS old'!F27</f>
        <v>0</v>
      </c>
      <c r="J44" s="2365"/>
      <c r="K44" s="2366"/>
      <c r="L44" s="520"/>
    </row>
    <row r="45" spans="1:12" ht="28" customHeight="1">
      <c r="A45" s="2384"/>
      <c r="B45" s="2386"/>
      <c r="C45" s="1025"/>
      <c r="D45" s="2388"/>
      <c r="E45" s="2367">
        <f>'BS old'!E27</f>
        <v>0</v>
      </c>
      <c r="F45" s="2367"/>
      <c r="G45" s="2367"/>
      <c r="H45" s="1028"/>
      <c r="I45" s="604"/>
      <c r="J45" s="2364">
        <f>'BS old'!G27</f>
        <v>0</v>
      </c>
      <c r="K45" s="2365"/>
      <c r="L45" s="2368"/>
    </row>
    <row r="46" spans="1:12" ht="28" customHeight="1">
      <c r="A46" s="2384" t="s">
        <v>568</v>
      </c>
      <c r="B46" s="2386" t="s">
        <v>1215</v>
      </c>
      <c r="C46" s="1025"/>
      <c r="D46" s="2388" t="s">
        <v>570</v>
      </c>
      <c r="E46" s="2367">
        <f>'BS old'!D28</f>
        <v>0</v>
      </c>
      <c r="F46" s="2367"/>
      <c r="G46" s="2367"/>
      <c r="H46" s="1020"/>
      <c r="I46" s="2364">
        <f>'BS old'!F28</f>
        <v>0</v>
      </c>
      <c r="J46" s="2365"/>
      <c r="K46" s="2366"/>
      <c r="L46" s="520"/>
    </row>
    <row r="47" spans="1:12" ht="28" customHeight="1">
      <c r="A47" s="2384"/>
      <c r="B47" s="2386"/>
      <c r="C47" s="1025"/>
      <c r="D47" s="2388"/>
      <c r="E47" s="2367">
        <f>'BS old'!E28</f>
        <v>0</v>
      </c>
      <c r="F47" s="2367"/>
      <c r="G47" s="2367"/>
      <c r="H47" s="1028"/>
      <c r="I47" s="604"/>
      <c r="J47" s="2364">
        <f>'BS old'!G28</f>
        <v>0</v>
      </c>
      <c r="K47" s="2365"/>
      <c r="L47" s="2368"/>
    </row>
    <row r="48" spans="1:12" ht="28" customHeight="1">
      <c r="A48" s="2384" t="s">
        <v>571</v>
      </c>
      <c r="B48" s="2386" t="s">
        <v>1214</v>
      </c>
      <c r="C48" s="1024"/>
      <c r="D48" s="2387" t="s">
        <v>573</v>
      </c>
      <c r="E48" s="2367">
        <f>'BS old'!D29</f>
        <v>0</v>
      </c>
      <c r="F48" s="2367"/>
      <c r="G48" s="2367"/>
      <c r="H48" s="1020"/>
      <c r="I48" s="2364">
        <f>'BS old'!F29</f>
        <v>0</v>
      </c>
      <c r="J48" s="2365"/>
      <c r="K48" s="2366"/>
      <c r="L48" s="520"/>
    </row>
    <row r="49" spans="1:12" ht="28" customHeight="1">
      <c r="A49" s="2384"/>
      <c r="B49" s="2386"/>
      <c r="C49" s="1025"/>
      <c r="D49" s="2388"/>
      <c r="E49" s="2367">
        <f>'BS old'!E29</f>
        <v>0</v>
      </c>
      <c r="F49" s="2367"/>
      <c r="G49" s="2367"/>
      <c r="H49" s="1028"/>
      <c r="I49" s="604"/>
      <c r="J49" s="2364">
        <f>'BS old'!G29</f>
        <v>0</v>
      </c>
      <c r="K49" s="2365"/>
      <c r="L49" s="2368"/>
    </row>
    <row r="50" spans="1:12" ht="28" customHeight="1">
      <c r="A50" s="2409" t="s">
        <v>574</v>
      </c>
      <c r="B50" s="2403" t="s">
        <v>1213</v>
      </c>
      <c r="C50" s="1031"/>
      <c r="D50" s="2388" t="s">
        <v>576</v>
      </c>
      <c r="E50" s="2367">
        <f>'BS old'!D30</f>
        <v>0</v>
      </c>
      <c r="F50" s="2367"/>
      <c r="G50" s="2367"/>
      <c r="H50" s="1020"/>
      <c r="I50" s="2364">
        <f>'BS old'!F30</f>
        <v>0</v>
      </c>
      <c r="J50" s="2365"/>
      <c r="K50" s="2366"/>
      <c r="L50" s="520"/>
    </row>
    <row r="51" spans="1:12" ht="28" customHeight="1">
      <c r="A51" s="2409"/>
      <c r="B51" s="2403"/>
      <c r="C51" s="1031"/>
      <c r="D51" s="2388"/>
      <c r="E51" s="2367">
        <f>'BS old'!E30</f>
        <v>0</v>
      </c>
      <c r="F51" s="2367"/>
      <c r="G51" s="2367"/>
      <c r="H51" s="1028"/>
      <c r="I51" s="604"/>
      <c r="J51" s="2364">
        <f>'BS old'!G30</f>
        <v>0</v>
      </c>
      <c r="K51" s="2365"/>
      <c r="L51" s="2368"/>
    </row>
    <row r="52" spans="1:12" s="450" customFormat="1" ht="28" customHeight="1">
      <c r="A52" s="2413" t="s">
        <v>577</v>
      </c>
      <c r="B52" s="2386" t="s">
        <v>1212</v>
      </c>
      <c r="C52" s="1024"/>
      <c r="D52" s="2387" t="s">
        <v>579</v>
      </c>
      <c r="E52" s="2367">
        <f>'BS old'!D31</f>
        <v>0</v>
      </c>
      <c r="F52" s="2367"/>
      <c r="G52" s="2367"/>
      <c r="H52" s="1020"/>
      <c r="I52" s="2364">
        <f>'BS old'!F31</f>
        <v>0</v>
      </c>
      <c r="J52" s="2365"/>
      <c r="K52" s="2366"/>
      <c r="L52" s="520"/>
    </row>
    <row r="53" spans="1:12" s="450" customFormat="1" ht="28" customHeight="1">
      <c r="A53" s="2413"/>
      <c r="B53" s="2386"/>
      <c r="C53" s="1025"/>
      <c r="D53" s="2388"/>
      <c r="E53" s="2367">
        <f>'BS old'!E31</f>
        <v>0</v>
      </c>
      <c r="F53" s="2367"/>
      <c r="G53" s="2367"/>
      <c r="H53" s="1028"/>
      <c r="I53" s="604"/>
      <c r="J53" s="2364">
        <f>'BS old'!G31</f>
        <v>0</v>
      </c>
      <c r="K53" s="2365"/>
      <c r="L53" s="2368"/>
    </row>
    <row r="54" spans="1:12" ht="28" customHeight="1">
      <c r="A54" s="2384" t="s">
        <v>532</v>
      </c>
      <c r="B54" s="2386" t="s">
        <v>1211</v>
      </c>
      <c r="C54" s="1025"/>
      <c r="D54" s="2388" t="s">
        <v>581</v>
      </c>
      <c r="E54" s="2367">
        <f>'BS old'!D32</f>
        <v>0</v>
      </c>
      <c r="F54" s="2367"/>
      <c r="G54" s="2367"/>
      <c r="H54" s="1020"/>
      <c r="I54" s="2364">
        <f>'BS old'!F32</f>
        <v>0</v>
      </c>
      <c r="J54" s="2365"/>
      <c r="K54" s="2366"/>
      <c r="L54" s="520"/>
    </row>
    <row r="55" spans="1:12" ht="28" customHeight="1">
      <c r="A55" s="2384"/>
      <c r="B55" s="2386"/>
      <c r="C55" s="1025"/>
      <c r="D55" s="2388"/>
      <c r="E55" s="2367">
        <f>'BS old'!E32</f>
        <v>0</v>
      </c>
      <c r="F55" s="2367"/>
      <c r="G55" s="2367"/>
      <c r="H55" s="1028"/>
      <c r="I55" s="604"/>
      <c r="J55" s="2364">
        <f>'BS old'!G32</f>
        <v>0</v>
      </c>
      <c r="K55" s="2365"/>
      <c r="L55" s="2368"/>
    </row>
    <row r="56" spans="1:12" ht="28" customHeight="1">
      <c r="A56" s="2384" t="s">
        <v>535</v>
      </c>
      <c r="B56" s="2386" t="s">
        <v>1210</v>
      </c>
      <c r="C56" s="1024"/>
      <c r="D56" s="2387" t="s">
        <v>583</v>
      </c>
      <c r="E56" s="2367">
        <f>'BS old'!D33</f>
        <v>0</v>
      </c>
      <c r="F56" s="2367"/>
      <c r="G56" s="2367"/>
      <c r="H56" s="1020"/>
      <c r="I56" s="2364">
        <f>'BS old'!F33</f>
        <v>0</v>
      </c>
      <c r="J56" s="2365"/>
      <c r="K56" s="2366"/>
      <c r="L56" s="520"/>
    </row>
    <row r="57" spans="1:12" ht="28" customHeight="1">
      <c r="A57" s="2384"/>
      <c r="B57" s="2386"/>
      <c r="C57" s="1025"/>
      <c r="D57" s="2388"/>
      <c r="E57" s="2367">
        <f>'BS old'!E33</f>
        <v>0</v>
      </c>
      <c r="F57" s="2367"/>
      <c r="G57" s="2367"/>
      <c r="H57" s="1028"/>
      <c r="I57" s="604"/>
      <c r="J57" s="2364">
        <f>'BS old'!G33</f>
        <v>0</v>
      </c>
      <c r="K57" s="2365"/>
      <c r="L57" s="2368"/>
    </row>
    <row r="58" spans="1:12" ht="28" customHeight="1">
      <c r="A58" s="2384" t="s">
        <v>538</v>
      </c>
      <c r="B58" s="2386" t="s">
        <v>1209</v>
      </c>
      <c r="C58" s="1025"/>
      <c r="D58" s="2388" t="s">
        <v>585</v>
      </c>
      <c r="E58" s="2367">
        <f>'BS old'!D34</f>
        <v>0</v>
      </c>
      <c r="F58" s="2367"/>
      <c r="G58" s="2367"/>
      <c r="H58" s="1020"/>
      <c r="I58" s="2364">
        <f>'BS old'!F34</f>
        <v>0</v>
      </c>
      <c r="J58" s="2365"/>
      <c r="K58" s="2366"/>
      <c r="L58" s="520"/>
    </row>
    <row r="59" spans="1:12" ht="28" customHeight="1">
      <c r="A59" s="2384"/>
      <c r="B59" s="2386"/>
      <c r="C59" s="1025"/>
      <c r="D59" s="2388"/>
      <c r="E59" s="2367">
        <f>'BS old'!E34</f>
        <v>0</v>
      </c>
      <c r="F59" s="2367"/>
      <c r="G59" s="2367"/>
      <c r="H59" s="1028"/>
      <c r="I59" s="604"/>
      <c r="J59" s="2364">
        <f>'BS old'!G34</f>
        <v>0</v>
      </c>
      <c r="K59" s="2365"/>
      <c r="L59" s="2368"/>
    </row>
    <row r="60" spans="1:12" ht="28" customHeight="1">
      <c r="A60" s="2384" t="s">
        <v>541</v>
      </c>
      <c r="B60" s="2386" t="s">
        <v>1208</v>
      </c>
      <c r="C60" s="1024"/>
      <c r="D60" s="2387" t="s">
        <v>587</v>
      </c>
      <c r="E60" s="2367">
        <f>'BS old'!D35</f>
        <v>0</v>
      </c>
      <c r="F60" s="2367"/>
      <c r="G60" s="2367"/>
      <c r="H60" s="1020"/>
      <c r="I60" s="2364">
        <f>'BS old'!F35</f>
        <v>0</v>
      </c>
      <c r="J60" s="2365"/>
      <c r="K60" s="2366"/>
      <c r="L60" s="520"/>
    </row>
    <row r="61" spans="1:12" ht="28" customHeight="1">
      <c r="A61" s="2384"/>
      <c r="B61" s="2386"/>
      <c r="C61" s="1025"/>
      <c r="D61" s="2388"/>
      <c r="E61" s="2367">
        <f>'BS old'!E35</f>
        <v>0</v>
      </c>
      <c r="F61" s="2367"/>
      <c r="G61" s="2367"/>
      <c r="H61" s="1028"/>
      <c r="I61" s="604"/>
      <c r="J61" s="2364">
        <f>'BS old'!G35</f>
        <v>0</v>
      </c>
      <c r="K61" s="2365"/>
      <c r="L61" s="2368"/>
    </row>
    <row r="62" spans="1:12" ht="28" customHeight="1">
      <c r="A62" s="2384" t="s">
        <v>544</v>
      </c>
      <c r="B62" s="2386" t="s">
        <v>1207</v>
      </c>
      <c r="C62" s="1025"/>
      <c r="D62" s="2388" t="s">
        <v>589</v>
      </c>
      <c r="E62" s="2367">
        <f>'BS old'!D36</f>
        <v>0</v>
      </c>
      <c r="F62" s="2367"/>
      <c r="G62" s="2367"/>
      <c r="H62" s="1020"/>
      <c r="I62" s="2364">
        <f>'BS old'!F36</f>
        <v>0</v>
      </c>
      <c r="J62" s="2365"/>
      <c r="K62" s="2366"/>
      <c r="L62" s="520"/>
    </row>
    <row r="63" spans="1:12" ht="28" customHeight="1">
      <c r="A63" s="2384"/>
      <c r="B63" s="2386"/>
      <c r="C63" s="1025"/>
      <c r="D63" s="2388"/>
      <c r="E63" s="2367">
        <f>'BS old'!E36</f>
        <v>0</v>
      </c>
      <c r="F63" s="2367"/>
      <c r="G63" s="2367"/>
      <c r="H63" s="1028"/>
      <c r="I63" s="604"/>
      <c r="J63" s="2364">
        <f>'BS old'!G36</f>
        <v>0</v>
      </c>
      <c r="K63" s="2365"/>
      <c r="L63" s="2368"/>
    </row>
    <row r="64" spans="1:12" ht="11.25" customHeight="1">
      <c r="A64" s="2381" t="s">
        <v>1137</v>
      </c>
      <c r="B64" s="2389" t="s">
        <v>1181</v>
      </c>
      <c r="C64" s="1026"/>
      <c r="D64" s="2391" t="s">
        <v>1135</v>
      </c>
      <c r="E64" s="2371" t="s">
        <v>2</v>
      </c>
      <c r="F64" s="2393"/>
      <c r="G64" s="2393"/>
      <c r="H64" s="2393"/>
      <c r="I64" s="2393"/>
      <c r="J64" s="2374"/>
      <c r="K64" s="2375" t="s">
        <v>1180</v>
      </c>
      <c r="L64" s="2376"/>
    </row>
    <row r="65" spans="1:12" ht="11.25" customHeight="1">
      <c r="A65" s="2382"/>
      <c r="B65" s="2390"/>
      <c r="C65" s="1027"/>
      <c r="D65" s="2392"/>
      <c r="E65" s="2394">
        <v>1</v>
      </c>
      <c r="F65" s="2390" t="s">
        <v>1179</v>
      </c>
      <c r="G65" s="2390"/>
      <c r="H65" s="1021"/>
      <c r="I65" s="2377" t="s">
        <v>1178</v>
      </c>
      <c r="J65" s="2378"/>
      <c r="K65" s="2371"/>
      <c r="L65" s="2372"/>
    </row>
    <row r="66" spans="1:12" ht="11.25" customHeight="1">
      <c r="A66" s="2382"/>
      <c r="B66" s="2390"/>
      <c r="C66" s="1027"/>
      <c r="D66" s="2392"/>
      <c r="E66" s="2394"/>
      <c r="F66" s="2390" t="s">
        <v>1177</v>
      </c>
      <c r="G66" s="2390"/>
      <c r="H66" s="1022"/>
      <c r="I66" s="2406"/>
      <c r="J66" s="2407"/>
      <c r="K66" s="2404" t="s">
        <v>1176</v>
      </c>
      <c r="L66" s="2380"/>
    </row>
    <row r="67" spans="1:12" ht="28" customHeight="1">
      <c r="A67" s="2384" t="s">
        <v>547</v>
      </c>
      <c r="B67" s="2386" t="s">
        <v>1206</v>
      </c>
      <c r="C67" s="1025"/>
      <c r="D67" s="2388" t="s">
        <v>888</v>
      </c>
      <c r="E67" s="2367">
        <f>'BS old'!D37</f>
        <v>0</v>
      </c>
      <c r="F67" s="2367"/>
      <c r="G67" s="2367"/>
      <c r="H67" s="1020"/>
      <c r="I67" s="2364">
        <f>'BS old'!F37</f>
        <v>0</v>
      </c>
      <c r="J67" s="2365"/>
      <c r="K67" s="2366"/>
      <c r="L67" s="520"/>
    </row>
    <row r="68" spans="1:12" ht="28" customHeight="1">
      <c r="A68" s="2384"/>
      <c r="B68" s="2386"/>
      <c r="C68" s="1025"/>
      <c r="D68" s="2388"/>
      <c r="E68" s="2367">
        <f>'BS old'!E37</f>
        <v>0</v>
      </c>
      <c r="F68" s="2367"/>
      <c r="G68" s="2367"/>
      <c r="H68" s="1028"/>
      <c r="I68" s="604"/>
      <c r="J68" s="2364">
        <f>'BS old'!G37</f>
        <v>0</v>
      </c>
      <c r="K68" s="2365"/>
      <c r="L68" s="2368"/>
    </row>
    <row r="69" spans="1:12" ht="28" customHeight="1">
      <c r="A69" s="2384" t="s">
        <v>568</v>
      </c>
      <c r="B69" s="2386" t="s">
        <v>1205</v>
      </c>
      <c r="C69" s="1025"/>
      <c r="D69" s="2388" t="s">
        <v>891</v>
      </c>
      <c r="E69" s="2367">
        <f>'BS old'!D38</f>
        <v>0</v>
      </c>
      <c r="F69" s="2367"/>
      <c r="G69" s="2367"/>
      <c r="H69" s="1020"/>
      <c r="I69" s="2364">
        <f>'BS old'!F38</f>
        <v>0</v>
      </c>
      <c r="J69" s="2365"/>
      <c r="K69" s="2366"/>
      <c r="L69" s="520"/>
    </row>
    <row r="70" spans="1:12" ht="28" customHeight="1">
      <c r="A70" s="2384"/>
      <c r="B70" s="2386"/>
      <c r="C70" s="1025"/>
      <c r="D70" s="2388"/>
      <c r="E70" s="2367">
        <f>'BS old'!E38</f>
        <v>0</v>
      </c>
      <c r="F70" s="2367"/>
      <c r="G70" s="2367"/>
      <c r="H70" s="1028"/>
      <c r="I70" s="604"/>
      <c r="J70" s="2364">
        <f>'BS old'!G38</f>
        <v>0</v>
      </c>
      <c r="K70" s="2365"/>
      <c r="L70" s="2368"/>
    </row>
    <row r="71" spans="1:12" ht="28" customHeight="1">
      <c r="A71" s="2396" t="s">
        <v>594</v>
      </c>
      <c r="B71" s="2403" t="s">
        <v>1204</v>
      </c>
      <c r="C71" s="1031"/>
      <c r="D71" s="2388" t="s">
        <v>894</v>
      </c>
      <c r="E71" s="2367">
        <f>'BS old'!D39</f>
        <v>0</v>
      </c>
      <c r="F71" s="2367"/>
      <c r="G71" s="2367"/>
      <c r="H71" s="1020"/>
      <c r="I71" s="2364">
        <f>'BS old'!F39</f>
        <v>0</v>
      </c>
      <c r="J71" s="2365"/>
      <c r="K71" s="2366"/>
      <c r="L71" s="520"/>
    </row>
    <row r="72" spans="1:12" ht="28" customHeight="1">
      <c r="A72" s="2396"/>
      <c r="B72" s="2398"/>
      <c r="C72" s="1029"/>
      <c r="D72" s="2388"/>
      <c r="E72" s="2367">
        <f>'BS old'!E39</f>
        <v>0</v>
      </c>
      <c r="F72" s="2367"/>
      <c r="G72" s="2367"/>
      <c r="H72" s="1028"/>
      <c r="I72" s="604"/>
      <c r="J72" s="2364">
        <f>'BS old'!G39</f>
        <v>0</v>
      </c>
      <c r="K72" s="2365"/>
      <c r="L72" s="2368"/>
    </row>
    <row r="73" spans="1:12" s="450" customFormat="1" ht="28" customHeight="1">
      <c r="A73" s="2409" t="s">
        <v>597</v>
      </c>
      <c r="B73" s="2403" t="s">
        <v>1203</v>
      </c>
      <c r="C73" s="1031"/>
      <c r="D73" s="2388" t="s">
        <v>897</v>
      </c>
      <c r="E73" s="2367">
        <f>'BS old'!D40</f>
        <v>0</v>
      </c>
      <c r="F73" s="2367"/>
      <c r="G73" s="2367"/>
      <c r="H73" s="1020"/>
      <c r="I73" s="2364">
        <f>'BS old'!F40</f>
        <v>0</v>
      </c>
      <c r="J73" s="2365"/>
      <c r="K73" s="2366"/>
      <c r="L73" s="520"/>
    </row>
    <row r="74" spans="1:12" s="450" customFormat="1" ht="28" customHeight="1">
      <c r="A74" s="2396"/>
      <c r="B74" s="2398"/>
      <c r="C74" s="1029"/>
      <c r="D74" s="2388"/>
      <c r="E74" s="2367">
        <f>'BS old'!E40</f>
        <v>0</v>
      </c>
      <c r="F74" s="2367"/>
      <c r="G74" s="2367"/>
      <c r="H74" s="1028"/>
      <c r="I74" s="604"/>
      <c r="J74" s="2364">
        <f>'BS old'!G40</f>
        <v>0</v>
      </c>
      <c r="K74" s="2365"/>
      <c r="L74" s="2368"/>
    </row>
    <row r="75" spans="1:12" s="450" customFormat="1" ht="28" customHeight="1">
      <c r="A75" s="2408" t="s">
        <v>600</v>
      </c>
      <c r="B75" s="2386" t="s">
        <v>1202</v>
      </c>
      <c r="C75" s="1025"/>
      <c r="D75" s="2388" t="s">
        <v>900</v>
      </c>
      <c r="E75" s="2367">
        <f>'BS old'!D41</f>
        <v>0</v>
      </c>
      <c r="F75" s="2367"/>
      <c r="G75" s="2367"/>
      <c r="H75" s="1020"/>
      <c r="I75" s="2364">
        <f>'BS old'!F41</f>
        <v>0</v>
      </c>
      <c r="J75" s="2365"/>
      <c r="K75" s="2366"/>
      <c r="L75" s="520"/>
    </row>
    <row r="76" spans="1:12" s="450" customFormat="1" ht="28" customHeight="1">
      <c r="A76" s="2395"/>
      <c r="B76" s="2386"/>
      <c r="C76" s="1025"/>
      <c r="D76" s="2388"/>
      <c r="E76" s="2367">
        <f>'BS old'!E41</f>
        <v>0</v>
      </c>
      <c r="F76" s="2367"/>
      <c r="G76" s="2367"/>
      <c r="H76" s="1028"/>
      <c r="I76" s="604"/>
      <c r="J76" s="2364">
        <f>'BS old'!G41</f>
        <v>0</v>
      </c>
      <c r="K76" s="2365"/>
      <c r="L76" s="2368"/>
    </row>
    <row r="77" spans="1:12" ht="28" customHeight="1">
      <c r="A77" s="2384" t="s">
        <v>532</v>
      </c>
      <c r="B77" s="2386" t="s">
        <v>1201</v>
      </c>
      <c r="C77" s="1025"/>
      <c r="D77" s="2388" t="s">
        <v>903</v>
      </c>
      <c r="E77" s="2367">
        <f>'BS old'!D42</f>
        <v>0</v>
      </c>
      <c r="F77" s="2367"/>
      <c r="G77" s="2367"/>
      <c r="H77" s="1020"/>
      <c r="I77" s="2364">
        <f>'BS old'!F42</f>
        <v>0</v>
      </c>
      <c r="J77" s="2365"/>
      <c r="K77" s="2366"/>
      <c r="L77" s="520"/>
    </row>
    <row r="78" spans="1:12" ht="28" customHeight="1">
      <c r="A78" s="2384"/>
      <c r="B78" s="2386"/>
      <c r="C78" s="1025"/>
      <c r="D78" s="2388"/>
      <c r="E78" s="2367">
        <f>'BS old'!E42</f>
        <v>0</v>
      </c>
      <c r="F78" s="2367"/>
      <c r="G78" s="2367"/>
      <c r="H78" s="1028"/>
      <c r="I78" s="604"/>
      <c r="J78" s="2364">
        <f>'BS old'!G42</f>
        <v>0</v>
      </c>
      <c r="K78" s="2365"/>
      <c r="L78" s="2368"/>
    </row>
    <row r="79" spans="1:12" ht="28" customHeight="1">
      <c r="A79" s="2384" t="s">
        <v>535</v>
      </c>
      <c r="B79" s="2386" t="s">
        <v>1200</v>
      </c>
      <c r="C79" s="1025"/>
      <c r="D79" s="2388" t="s">
        <v>906</v>
      </c>
      <c r="E79" s="2367">
        <f>'BS old'!D43</f>
        <v>0</v>
      </c>
      <c r="F79" s="2367"/>
      <c r="G79" s="2367"/>
      <c r="H79" s="1020"/>
      <c r="I79" s="2364">
        <f>'BS old'!F43</f>
        <v>0</v>
      </c>
      <c r="J79" s="2365"/>
      <c r="K79" s="2366"/>
      <c r="L79" s="520"/>
    </row>
    <row r="80" spans="1:12" ht="28" customHeight="1">
      <c r="A80" s="2384"/>
      <c r="B80" s="2386"/>
      <c r="C80" s="1025"/>
      <c r="D80" s="2388"/>
      <c r="E80" s="2367">
        <f>'BS old'!E43</f>
        <v>0</v>
      </c>
      <c r="F80" s="2367"/>
      <c r="G80" s="2367"/>
      <c r="H80" s="1028"/>
      <c r="I80" s="604"/>
      <c r="J80" s="2364">
        <f>'BS old'!G43</f>
        <v>0</v>
      </c>
      <c r="K80" s="2365"/>
      <c r="L80" s="2368"/>
    </row>
    <row r="81" spans="1:12" ht="28" customHeight="1">
      <c r="A81" s="2384" t="s">
        <v>538</v>
      </c>
      <c r="B81" s="2386" t="s">
        <v>1199</v>
      </c>
      <c r="C81" s="1025"/>
      <c r="D81" s="2388" t="s">
        <v>909</v>
      </c>
      <c r="E81" s="2367">
        <f>'BS old'!D44</f>
        <v>0</v>
      </c>
      <c r="F81" s="2367"/>
      <c r="G81" s="2367"/>
      <c r="H81" s="1020"/>
      <c r="I81" s="2364">
        <f>'BS old'!F44</f>
        <v>0</v>
      </c>
      <c r="J81" s="2365"/>
      <c r="K81" s="2366"/>
      <c r="L81" s="520"/>
    </row>
    <row r="82" spans="1:12" ht="28" customHeight="1">
      <c r="A82" s="2384"/>
      <c r="B82" s="2386"/>
      <c r="C82" s="1025"/>
      <c r="D82" s="2388"/>
      <c r="E82" s="2367">
        <f>'BS old'!E44</f>
        <v>0</v>
      </c>
      <c r="F82" s="2367"/>
      <c r="G82" s="2367"/>
      <c r="H82" s="1028"/>
      <c r="I82" s="604"/>
      <c r="J82" s="2364">
        <f>'BS old'!G44</f>
        <v>0</v>
      </c>
      <c r="K82" s="2365"/>
      <c r="L82" s="2368"/>
    </row>
    <row r="83" spans="1:12" ht="28" customHeight="1">
      <c r="A83" s="2384" t="s">
        <v>541</v>
      </c>
      <c r="B83" s="2386" t="s">
        <v>1198</v>
      </c>
      <c r="C83" s="1025"/>
      <c r="D83" s="2388" t="s">
        <v>912</v>
      </c>
      <c r="E83" s="2367">
        <f>'BS old'!D45</f>
        <v>0</v>
      </c>
      <c r="F83" s="2367"/>
      <c r="G83" s="2367"/>
      <c r="H83" s="1020"/>
      <c r="I83" s="2364">
        <f>'BS old'!F45</f>
        <v>0</v>
      </c>
      <c r="J83" s="2365"/>
      <c r="K83" s="2366"/>
      <c r="L83" s="520"/>
    </row>
    <row r="84" spans="1:12" ht="28" customHeight="1">
      <c r="A84" s="2384"/>
      <c r="B84" s="2386"/>
      <c r="C84" s="1025"/>
      <c r="D84" s="2388"/>
      <c r="E84" s="2367">
        <f>'BS old'!E45</f>
        <v>0</v>
      </c>
      <c r="F84" s="2367"/>
      <c r="G84" s="2367"/>
      <c r="H84" s="1028"/>
      <c r="I84" s="604"/>
      <c r="J84" s="2364">
        <f>'BS old'!G45</f>
        <v>0</v>
      </c>
      <c r="K84" s="2365"/>
      <c r="L84" s="2368"/>
    </row>
    <row r="85" spans="1:12" ht="28" customHeight="1">
      <c r="A85" s="2384" t="s">
        <v>544</v>
      </c>
      <c r="B85" s="2386" t="s">
        <v>1197</v>
      </c>
      <c r="C85" s="1025"/>
      <c r="D85" s="2388" t="s">
        <v>915</v>
      </c>
      <c r="E85" s="2367">
        <f>'BS old'!D46</f>
        <v>0</v>
      </c>
      <c r="F85" s="2367"/>
      <c r="G85" s="2367"/>
      <c r="H85" s="1020"/>
      <c r="I85" s="2364">
        <f>'BS old'!F46</f>
        <v>0</v>
      </c>
      <c r="J85" s="2365"/>
      <c r="K85" s="2366"/>
      <c r="L85" s="520"/>
    </row>
    <row r="86" spans="1:12" ht="28" customHeight="1">
      <c r="A86" s="2384"/>
      <c r="B86" s="2386"/>
      <c r="C86" s="1025"/>
      <c r="D86" s="2388"/>
      <c r="E86" s="2367">
        <f>'BS old'!E46</f>
        <v>0</v>
      </c>
      <c r="F86" s="2367"/>
      <c r="G86" s="2367"/>
      <c r="H86" s="1028"/>
      <c r="I86" s="604"/>
      <c r="J86" s="2364">
        <f>'BS old'!G46</f>
        <v>0</v>
      </c>
      <c r="K86" s="2365"/>
      <c r="L86" s="2368"/>
    </row>
    <row r="87" spans="1:12" ht="28" customHeight="1">
      <c r="A87" s="2409" t="s">
        <v>613</v>
      </c>
      <c r="B87" s="2398" t="s">
        <v>1196</v>
      </c>
      <c r="C87" s="1029"/>
      <c r="D87" s="2388" t="s">
        <v>918</v>
      </c>
      <c r="E87" s="2367">
        <f>'BS old'!D47</f>
        <v>0</v>
      </c>
      <c r="F87" s="2367"/>
      <c r="G87" s="2367"/>
      <c r="H87" s="1020"/>
      <c r="I87" s="2364">
        <f>'BS old'!F47</f>
        <v>0</v>
      </c>
      <c r="J87" s="2365"/>
      <c r="K87" s="2366"/>
      <c r="L87" s="520"/>
    </row>
    <row r="88" spans="1:12" ht="28" customHeight="1">
      <c r="A88" s="2396"/>
      <c r="B88" s="2398"/>
      <c r="C88" s="1029"/>
      <c r="D88" s="2388"/>
      <c r="E88" s="2367">
        <f>'BS old'!E47</f>
        <v>0</v>
      </c>
      <c r="F88" s="2367"/>
      <c r="G88" s="2367"/>
      <c r="H88" s="1028"/>
      <c r="I88" s="604"/>
      <c r="J88" s="2364">
        <f>'BS old'!G47</f>
        <v>0</v>
      </c>
      <c r="K88" s="2365"/>
      <c r="L88" s="2368"/>
    </row>
    <row r="89" spans="1:12" s="450" customFormat="1" ht="28" customHeight="1">
      <c r="A89" s="2408" t="s">
        <v>616</v>
      </c>
      <c r="B89" s="2386" t="s">
        <v>1195</v>
      </c>
      <c r="C89" s="1025"/>
      <c r="D89" s="2388" t="s">
        <v>921</v>
      </c>
      <c r="E89" s="2367">
        <f>'BS old'!D48</f>
        <v>0</v>
      </c>
      <c r="F89" s="2367"/>
      <c r="G89" s="2367"/>
      <c r="H89" s="1020"/>
      <c r="I89" s="2364">
        <f>'BS old'!F48</f>
        <v>0</v>
      </c>
      <c r="J89" s="2365"/>
      <c r="K89" s="2366"/>
      <c r="L89" s="520"/>
    </row>
    <row r="90" spans="1:12" s="450" customFormat="1" ht="28" customHeight="1">
      <c r="A90" s="2395"/>
      <c r="B90" s="2386"/>
      <c r="C90" s="1025"/>
      <c r="D90" s="2388"/>
      <c r="E90" s="2367">
        <f>'BS old'!E48</f>
        <v>0</v>
      </c>
      <c r="F90" s="2367"/>
      <c r="G90" s="2367"/>
      <c r="H90" s="1028"/>
      <c r="I90" s="604"/>
      <c r="J90" s="2364">
        <f>'BS old'!G48</f>
        <v>0</v>
      </c>
      <c r="K90" s="2365"/>
      <c r="L90" s="2368"/>
    </row>
    <row r="91" spans="1:12" s="450" customFormat="1" ht="28" customHeight="1">
      <c r="A91" s="2384" t="s">
        <v>532</v>
      </c>
      <c r="B91" s="2386" t="s">
        <v>1190</v>
      </c>
      <c r="C91" s="1025"/>
      <c r="D91" s="2388" t="s">
        <v>924</v>
      </c>
      <c r="E91" s="2367">
        <f>'BS old'!D49</f>
        <v>0</v>
      </c>
      <c r="F91" s="2367"/>
      <c r="G91" s="2367"/>
      <c r="H91" s="1020"/>
      <c r="I91" s="2364">
        <f>'BS old'!F49</f>
        <v>0</v>
      </c>
      <c r="J91" s="2365"/>
      <c r="K91" s="2366"/>
      <c r="L91" s="520"/>
    </row>
    <row r="92" spans="1:12" s="450" customFormat="1" ht="28" customHeight="1">
      <c r="A92" s="2384"/>
      <c r="B92" s="2386"/>
      <c r="C92" s="1025"/>
      <c r="D92" s="2388"/>
      <c r="E92" s="2367">
        <f>'BS old'!E49</f>
        <v>0</v>
      </c>
      <c r="F92" s="2367"/>
      <c r="G92" s="2367"/>
      <c r="H92" s="1028"/>
      <c r="I92" s="604"/>
      <c r="J92" s="2364">
        <f>'BS old'!G49</f>
        <v>0</v>
      </c>
      <c r="K92" s="2365"/>
      <c r="L92" s="2368"/>
    </row>
    <row r="93" spans="1:12" ht="28" customHeight="1">
      <c r="A93" s="2384" t="s">
        <v>535</v>
      </c>
      <c r="B93" s="2386" t="s">
        <v>1189</v>
      </c>
      <c r="C93" s="1025"/>
      <c r="D93" s="2388" t="s">
        <v>927</v>
      </c>
      <c r="E93" s="2367">
        <f>'BS old'!D50</f>
        <v>0</v>
      </c>
      <c r="F93" s="2367"/>
      <c r="G93" s="2367"/>
      <c r="H93" s="1020"/>
      <c r="I93" s="2364">
        <f>'BS old'!F50</f>
        <v>0</v>
      </c>
      <c r="J93" s="2365"/>
      <c r="K93" s="2366"/>
      <c r="L93" s="520"/>
    </row>
    <row r="94" spans="1:12" ht="28" customHeight="1">
      <c r="A94" s="2384"/>
      <c r="B94" s="2386"/>
      <c r="C94" s="1025"/>
      <c r="D94" s="2388"/>
      <c r="E94" s="2367">
        <f>'BS old'!E50</f>
        <v>0</v>
      </c>
      <c r="F94" s="2367"/>
      <c r="G94" s="2367"/>
      <c r="H94" s="1028"/>
      <c r="I94" s="604"/>
      <c r="J94" s="2364">
        <f>'BS old'!G50</f>
        <v>0</v>
      </c>
      <c r="K94" s="2365"/>
      <c r="L94" s="2368"/>
    </row>
    <row r="95" spans="1:12" ht="11.25" customHeight="1">
      <c r="A95" s="2381" t="s">
        <v>1137</v>
      </c>
      <c r="B95" s="2389" t="s">
        <v>1181</v>
      </c>
      <c r="C95" s="1026"/>
      <c r="D95" s="2391" t="s">
        <v>1135</v>
      </c>
      <c r="E95" s="2371" t="s">
        <v>2</v>
      </c>
      <c r="F95" s="2393"/>
      <c r="G95" s="2393"/>
      <c r="H95" s="2393"/>
      <c r="I95" s="2393"/>
      <c r="J95" s="2374"/>
      <c r="K95" s="2375" t="s">
        <v>1180</v>
      </c>
      <c r="L95" s="2376"/>
    </row>
    <row r="96" spans="1:12" ht="11.25" customHeight="1">
      <c r="A96" s="2382"/>
      <c r="B96" s="2390"/>
      <c r="C96" s="1027"/>
      <c r="D96" s="2392"/>
      <c r="E96" s="2394">
        <v>1</v>
      </c>
      <c r="F96" s="2390" t="s">
        <v>1179</v>
      </c>
      <c r="G96" s="2390"/>
      <c r="H96" s="1021"/>
      <c r="I96" s="2377" t="s">
        <v>1178</v>
      </c>
      <c r="J96" s="2378"/>
      <c r="K96" s="2371"/>
      <c r="L96" s="2372"/>
    </row>
    <row r="97" spans="1:14" ht="12" customHeight="1">
      <c r="A97" s="2410"/>
      <c r="B97" s="2405"/>
      <c r="C97" s="1032"/>
      <c r="D97" s="2392"/>
      <c r="E97" s="2411"/>
      <c r="F97" s="2405" t="s">
        <v>1177</v>
      </c>
      <c r="G97" s="2405"/>
      <c r="H97" s="1022"/>
      <c r="I97" s="2406"/>
      <c r="J97" s="2407"/>
      <c r="K97" s="2404" t="s">
        <v>1176</v>
      </c>
      <c r="L97" s="2380"/>
    </row>
    <row r="98" spans="1:14" ht="28" customHeight="1">
      <c r="A98" s="2384" t="s">
        <v>538</v>
      </c>
      <c r="B98" s="2386" t="s">
        <v>1188</v>
      </c>
      <c r="C98" s="1024"/>
      <c r="D98" s="2387" t="s">
        <v>930</v>
      </c>
      <c r="E98" s="2367">
        <f>'BS old'!D51</f>
        <v>0</v>
      </c>
      <c r="F98" s="2367"/>
      <c r="G98" s="2367"/>
      <c r="H98" s="1020"/>
      <c r="I98" s="2364">
        <f>'BS old'!F51</f>
        <v>0</v>
      </c>
      <c r="J98" s="2365"/>
      <c r="K98" s="2366"/>
      <c r="L98" s="520"/>
      <c r="N98" s="502" t="s">
        <v>1093</v>
      </c>
    </row>
    <row r="99" spans="1:14" ht="28" customHeight="1">
      <c r="A99" s="2384"/>
      <c r="B99" s="2386"/>
      <c r="C99" s="1025"/>
      <c r="D99" s="2388"/>
      <c r="E99" s="2367">
        <f>'BS old'!E51</f>
        <v>0</v>
      </c>
      <c r="F99" s="2367"/>
      <c r="G99" s="2367"/>
      <c r="H99" s="1028"/>
      <c r="I99" s="604"/>
      <c r="J99" s="2364">
        <f>'BS old'!G51</f>
        <v>0</v>
      </c>
      <c r="K99" s="2365"/>
      <c r="L99" s="2368"/>
    </row>
    <row r="100" spans="1:14" ht="28" customHeight="1">
      <c r="A100" s="2384" t="s">
        <v>541</v>
      </c>
      <c r="B100" s="2386" t="s">
        <v>1194</v>
      </c>
      <c r="C100" s="1025"/>
      <c r="D100" s="2388" t="s">
        <v>933</v>
      </c>
      <c r="E100" s="2367">
        <f>'BS old'!D52</f>
        <v>0</v>
      </c>
      <c r="F100" s="2367"/>
      <c r="G100" s="2367"/>
      <c r="H100" s="1020"/>
      <c r="I100" s="2364">
        <f>'BS old'!F52</f>
        <v>0</v>
      </c>
      <c r="J100" s="2365"/>
      <c r="K100" s="2366"/>
      <c r="L100" s="520"/>
    </row>
    <row r="101" spans="1:14" ht="28" customHeight="1">
      <c r="A101" s="2384"/>
      <c r="B101" s="2386"/>
      <c r="C101" s="1025"/>
      <c r="D101" s="2388"/>
      <c r="E101" s="2367">
        <f>'BS old'!E52</f>
        <v>0</v>
      </c>
      <c r="F101" s="2367"/>
      <c r="G101" s="2367"/>
      <c r="H101" s="1028"/>
      <c r="I101" s="604"/>
      <c r="J101" s="2364">
        <f>'BS old'!G52</f>
        <v>0</v>
      </c>
      <c r="K101" s="2365"/>
      <c r="L101" s="2368"/>
    </row>
    <row r="102" spans="1:14" ht="28" customHeight="1">
      <c r="A102" s="2384" t="s">
        <v>544</v>
      </c>
      <c r="B102" s="2386" t="s">
        <v>1184</v>
      </c>
      <c r="C102" s="1024"/>
      <c r="D102" s="2387" t="s">
        <v>936</v>
      </c>
      <c r="E102" s="2367">
        <f>'BS old'!D53</f>
        <v>0</v>
      </c>
      <c r="F102" s="2367"/>
      <c r="G102" s="2367"/>
      <c r="H102" s="1020"/>
      <c r="I102" s="2364">
        <f>'BS old'!F53</f>
        <v>0</v>
      </c>
      <c r="J102" s="2365"/>
      <c r="K102" s="2366"/>
      <c r="L102" s="520"/>
    </row>
    <row r="103" spans="1:14" ht="28" customHeight="1">
      <c r="A103" s="2384"/>
      <c r="B103" s="2386"/>
      <c r="C103" s="1025"/>
      <c r="D103" s="2388"/>
      <c r="E103" s="2367">
        <f>'BS old'!E53</f>
        <v>0</v>
      </c>
      <c r="F103" s="2367"/>
      <c r="G103" s="2367"/>
      <c r="H103" s="1028"/>
      <c r="I103" s="604"/>
      <c r="J103" s="2364">
        <f>'BS old'!G53</f>
        <v>0</v>
      </c>
      <c r="K103" s="2365"/>
      <c r="L103" s="2368"/>
    </row>
    <row r="104" spans="1:14" ht="28" customHeight="1">
      <c r="A104" s="2384" t="s">
        <v>547</v>
      </c>
      <c r="B104" s="2386" t="s">
        <v>1193</v>
      </c>
      <c r="C104" s="1025"/>
      <c r="D104" s="2388" t="s">
        <v>939</v>
      </c>
      <c r="E104" s="2367">
        <f>'BS old'!D54</f>
        <v>0</v>
      </c>
      <c r="F104" s="2367"/>
      <c r="G104" s="2367"/>
      <c r="H104" s="1020"/>
      <c r="I104" s="2364">
        <f>'BS old'!F54</f>
        <v>0</v>
      </c>
      <c r="J104" s="2365"/>
      <c r="K104" s="2366"/>
      <c r="L104" s="520"/>
    </row>
    <row r="105" spans="1:14" ht="28" customHeight="1">
      <c r="A105" s="2384"/>
      <c r="B105" s="2386"/>
      <c r="C105" s="1025"/>
      <c r="D105" s="2388"/>
      <c r="E105" s="2367">
        <f>'BS old'!E54</f>
        <v>0</v>
      </c>
      <c r="F105" s="2367"/>
      <c r="G105" s="2367"/>
      <c r="H105" s="1028"/>
      <c r="I105" s="604"/>
      <c r="J105" s="2364">
        <f>'BS old'!G54</f>
        <v>0</v>
      </c>
      <c r="K105" s="2365"/>
      <c r="L105" s="2368"/>
    </row>
    <row r="106" spans="1:14" ht="28" customHeight="1">
      <c r="A106" s="2402" t="s">
        <v>631</v>
      </c>
      <c r="B106" s="2403" t="s">
        <v>1192</v>
      </c>
      <c r="C106" s="1030"/>
      <c r="D106" s="2387" t="s">
        <v>941</v>
      </c>
      <c r="E106" s="2367">
        <f>'BS old'!D55</f>
        <v>0</v>
      </c>
      <c r="F106" s="2367"/>
      <c r="G106" s="2367"/>
      <c r="H106" s="1020"/>
      <c r="I106" s="2364">
        <f>'BS old'!F55</f>
        <v>0</v>
      </c>
      <c r="J106" s="2365"/>
      <c r="K106" s="2366"/>
      <c r="L106" s="520"/>
    </row>
    <row r="107" spans="1:14" ht="28" customHeight="1">
      <c r="A107" s="2400"/>
      <c r="B107" s="2398"/>
      <c r="C107" s="1029"/>
      <c r="D107" s="2388"/>
      <c r="E107" s="2367">
        <f>'BS old'!E55</f>
        <v>0</v>
      </c>
      <c r="F107" s="2367"/>
      <c r="G107" s="2367"/>
      <c r="H107" s="1028"/>
      <c r="I107" s="604"/>
      <c r="J107" s="2364">
        <f>'BS old'!G55</f>
        <v>0</v>
      </c>
      <c r="K107" s="2365"/>
      <c r="L107" s="2368"/>
    </row>
    <row r="108" spans="1:14" s="450" customFormat="1" ht="28" customHeight="1">
      <c r="A108" s="2412" t="s">
        <v>634</v>
      </c>
      <c r="B108" s="2386" t="s">
        <v>1191</v>
      </c>
      <c r="C108" s="1025"/>
      <c r="D108" s="2388" t="s">
        <v>944</v>
      </c>
      <c r="E108" s="2367">
        <f>'BS old'!D56</f>
        <v>0</v>
      </c>
      <c r="F108" s="2367"/>
      <c r="G108" s="2367"/>
      <c r="H108" s="1020"/>
      <c r="I108" s="2364">
        <f>'BS old'!F56</f>
        <v>0</v>
      </c>
      <c r="J108" s="2365"/>
      <c r="K108" s="2366"/>
      <c r="L108" s="520"/>
    </row>
    <row r="109" spans="1:14" s="450" customFormat="1" ht="28" customHeight="1">
      <c r="A109" s="2412"/>
      <c r="B109" s="2386"/>
      <c r="C109" s="1025"/>
      <c r="D109" s="2388"/>
      <c r="E109" s="2367">
        <f>'BS old'!E56</f>
        <v>0</v>
      </c>
      <c r="F109" s="2367"/>
      <c r="G109" s="2367"/>
      <c r="H109" s="1028"/>
      <c r="I109" s="604"/>
      <c r="J109" s="2364">
        <f>'BS old'!G56</f>
        <v>0</v>
      </c>
      <c r="K109" s="2365"/>
      <c r="L109" s="2368"/>
    </row>
    <row r="110" spans="1:14" s="450" customFormat="1" ht="28" customHeight="1">
      <c r="A110" s="2384" t="s">
        <v>532</v>
      </c>
      <c r="B110" s="2386" t="s">
        <v>1190</v>
      </c>
      <c r="C110" s="1024"/>
      <c r="D110" s="2387" t="s">
        <v>947</v>
      </c>
      <c r="E110" s="2367">
        <f>'BS old'!D57</f>
        <v>0</v>
      </c>
      <c r="F110" s="2367"/>
      <c r="G110" s="2367"/>
      <c r="H110" s="1020"/>
      <c r="I110" s="2364">
        <f>'BS old'!F57</f>
        <v>0</v>
      </c>
      <c r="J110" s="2365"/>
      <c r="K110" s="2366"/>
      <c r="L110" s="520"/>
    </row>
    <row r="111" spans="1:14" s="450" customFormat="1" ht="28" customHeight="1">
      <c r="A111" s="2384"/>
      <c r="B111" s="2386"/>
      <c r="C111" s="1025"/>
      <c r="D111" s="2388"/>
      <c r="E111" s="2367">
        <f>'BS old'!E57</f>
        <v>0</v>
      </c>
      <c r="F111" s="2367"/>
      <c r="G111" s="2367"/>
      <c r="H111" s="1028"/>
      <c r="I111" s="604"/>
      <c r="J111" s="2364">
        <f>'BS old'!G57</f>
        <v>0</v>
      </c>
      <c r="K111" s="2365"/>
      <c r="L111" s="2368"/>
    </row>
    <row r="112" spans="1:14" ht="28" customHeight="1">
      <c r="A112" s="2384" t="s">
        <v>535</v>
      </c>
      <c r="B112" s="2386" t="s">
        <v>1189</v>
      </c>
      <c r="C112" s="1025"/>
      <c r="D112" s="2388" t="s">
        <v>950</v>
      </c>
      <c r="E112" s="2367">
        <f>'BS old'!D58</f>
        <v>0</v>
      </c>
      <c r="F112" s="2367"/>
      <c r="G112" s="2367"/>
      <c r="H112" s="1020"/>
      <c r="I112" s="2364">
        <f>'BS old'!F58</f>
        <v>0</v>
      </c>
      <c r="J112" s="2365"/>
      <c r="K112" s="2366"/>
      <c r="L112" s="520"/>
    </row>
    <row r="113" spans="1:12" ht="28" customHeight="1">
      <c r="A113" s="2384"/>
      <c r="B113" s="2386"/>
      <c r="C113" s="1025"/>
      <c r="D113" s="2388"/>
      <c r="E113" s="2367">
        <f>'BS old'!E58</f>
        <v>0</v>
      </c>
      <c r="F113" s="2367"/>
      <c r="G113" s="2367"/>
      <c r="H113" s="1028"/>
      <c r="I113" s="604"/>
      <c r="J113" s="2364">
        <f>'BS old'!G58</f>
        <v>0</v>
      </c>
      <c r="K113" s="2365"/>
      <c r="L113" s="2368"/>
    </row>
    <row r="114" spans="1:12" ht="28" customHeight="1">
      <c r="A114" s="2384" t="s">
        <v>538</v>
      </c>
      <c r="B114" s="2386" t="s">
        <v>1188</v>
      </c>
      <c r="C114" s="1024"/>
      <c r="D114" s="2387" t="s">
        <v>952</v>
      </c>
      <c r="E114" s="2367">
        <f>'BS old'!D59</f>
        <v>0</v>
      </c>
      <c r="F114" s="2367"/>
      <c r="G114" s="2367"/>
      <c r="H114" s="1020"/>
      <c r="I114" s="2364">
        <f>'BS old'!F59</f>
        <v>0</v>
      </c>
      <c r="J114" s="2365"/>
      <c r="K114" s="2366"/>
      <c r="L114" s="520"/>
    </row>
    <row r="115" spans="1:12" ht="28" customHeight="1">
      <c r="A115" s="2384"/>
      <c r="B115" s="2386"/>
      <c r="C115" s="1025"/>
      <c r="D115" s="2388"/>
      <c r="E115" s="2367">
        <f>'BS old'!E59</f>
        <v>0</v>
      </c>
      <c r="F115" s="2367"/>
      <c r="G115" s="2367"/>
      <c r="H115" s="1028"/>
      <c r="I115" s="604"/>
      <c r="J115" s="2364">
        <f>'BS old'!G59</f>
        <v>0</v>
      </c>
      <c r="K115" s="2365"/>
      <c r="L115" s="2368"/>
    </row>
    <row r="116" spans="1:12" ht="28" customHeight="1">
      <c r="A116" s="2384" t="s">
        <v>541</v>
      </c>
      <c r="B116" s="2386" t="s">
        <v>1187</v>
      </c>
      <c r="C116" s="1025"/>
      <c r="D116" s="2388" t="s">
        <v>954</v>
      </c>
      <c r="E116" s="2367">
        <f>'BS old'!D60</f>
        <v>0</v>
      </c>
      <c r="F116" s="2367"/>
      <c r="G116" s="2367"/>
      <c r="H116" s="1020"/>
      <c r="I116" s="2364">
        <f>'BS old'!F60</f>
        <v>0</v>
      </c>
      <c r="J116" s="2365"/>
      <c r="K116" s="2366"/>
      <c r="L116" s="520"/>
    </row>
    <row r="117" spans="1:12" ht="28" customHeight="1">
      <c r="A117" s="2384"/>
      <c r="B117" s="2386"/>
      <c r="C117" s="1025"/>
      <c r="D117" s="2388"/>
      <c r="E117" s="2367">
        <f>'BS old'!E60</f>
        <v>0</v>
      </c>
      <c r="F117" s="2367"/>
      <c r="G117" s="2367"/>
      <c r="H117" s="1028"/>
      <c r="I117" s="604"/>
      <c r="J117" s="2364">
        <f>'BS old'!G60</f>
        <v>0</v>
      </c>
      <c r="K117" s="2365"/>
      <c r="L117" s="2368"/>
    </row>
    <row r="118" spans="1:12" ht="28" customHeight="1">
      <c r="A118" s="2384" t="s">
        <v>544</v>
      </c>
      <c r="B118" s="2386" t="s">
        <v>1186</v>
      </c>
      <c r="C118" s="1024"/>
      <c r="D118" s="2387" t="s">
        <v>957</v>
      </c>
      <c r="E118" s="2367">
        <f>'BS old'!D61</f>
        <v>0</v>
      </c>
      <c r="F118" s="2367"/>
      <c r="G118" s="2367"/>
      <c r="H118" s="1020"/>
      <c r="I118" s="2364">
        <f>'BS old'!F61</f>
        <v>0</v>
      </c>
      <c r="J118" s="2365"/>
      <c r="K118" s="2366"/>
      <c r="L118" s="520"/>
    </row>
    <row r="119" spans="1:12" ht="28" customHeight="1">
      <c r="A119" s="2384"/>
      <c r="B119" s="2386"/>
      <c r="C119" s="1025"/>
      <c r="D119" s="2388"/>
      <c r="E119" s="2367">
        <f>'BS old'!E61</f>
        <v>0</v>
      </c>
      <c r="F119" s="2367"/>
      <c r="G119" s="2367"/>
      <c r="H119" s="1028"/>
      <c r="I119" s="604"/>
      <c r="J119" s="2364">
        <f>'BS old'!G61</f>
        <v>0</v>
      </c>
      <c r="K119" s="2365"/>
      <c r="L119" s="2368"/>
    </row>
    <row r="120" spans="1:12" ht="28" customHeight="1">
      <c r="A120" s="2384" t="s">
        <v>547</v>
      </c>
      <c r="B120" s="2386" t="s">
        <v>1185</v>
      </c>
      <c r="C120" s="1025"/>
      <c r="D120" s="2388" t="s">
        <v>960</v>
      </c>
      <c r="E120" s="2367">
        <f>'BS old'!D62</f>
        <v>0</v>
      </c>
      <c r="F120" s="2367"/>
      <c r="G120" s="2367"/>
      <c r="H120" s="1020"/>
      <c r="I120" s="2364">
        <f>'BS old'!F62</f>
        <v>0</v>
      </c>
      <c r="J120" s="2365"/>
      <c r="K120" s="2366"/>
      <c r="L120" s="520"/>
    </row>
    <row r="121" spans="1:12" ht="28" customHeight="1">
      <c r="A121" s="2384"/>
      <c r="B121" s="2386"/>
      <c r="C121" s="1025"/>
      <c r="D121" s="2388"/>
      <c r="E121" s="2367">
        <f>'BS old'!E62</f>
        <v>0</v>
      </c>
      <c r="F121" s="2367"/>
      <c r="G121" s="2367"/>
      <c r="H121" s="1028"/>
      <c r="I121" s="604"/>
      <c r="J121" s="2364">
        <f>'BS old'!G62</f>
        <v>0</v>
      </c>
      <c r="K121" s="2365"/>
      <c r="L121" s="2368"/>
    </row>
    <row r="122" spans="1:12" ht="28" customHeight="1">
      <c r="A122" s="2384" t="s">
        <v>568</v>
      </c>
      <c r="B122" s="2386" t="s">
        <v>1184</v>
      </c>
      <c r="C122" s="1024"/>
      <c r="D122" s="2387" t="s">
        <v>962</v>
      </c>
      <c r="E122" s="2367">
        <f>'BS old'!D63</f>
        <v>0</v>
      </c>
      <c r="F122" s="2367"/>
      <c r="G122" s="2367"/>
      <c r="H122" s="1020"/>
      <c r="I122" s="2364">
        <f>'BS old'!F63</f>
        <v>0</v>
      </c>
      <c r="J122" s="2365"/>
      <c r="K122" s="2366"/>
      <c r="L122" s="520"/>
    </row>
    <row r="123" spans="1:12" ht="28" customHeight="1">
      <c r="A123" s="2384"/>
      <c r="B123" s="2386"/>
      <c r="C123" s="1025"/>
      <c r="D123" s="2388"/>
      <c r="E123" s="2367">
        <f>'BS old'!E63</f>
        <v>0</v>
      </c>
      <c r="F123" s="2367"/>
      <c r="G123" s="2367"/>
      <c r="H123" s="1028"/>
      <c r="I123" s="604"/>
      <c r="J123" s="2364">
        <f>'BS old'!G63</f>
        <v>0</v>
      </c>
      <c r="K123" s="2365"/>
      <c r="L123" s="2368"/>
    </row>
    <row r="124" spans="1:12" ht="28" customHeight="1">
      <c r="A124" s="2399" t="s">
        <v>649</v>
      </c>
      <c r="B124" s="2397" t="s">
        <v>1183</v>
      </c>
      <c r="C124" s="1030"/>
      <c r="D124" s="2388" t="s">
        <v>965</v>
      </c>
      <c r="E124" s="2367">
        <f>'BS old'!D64</f>
        <v>0</v>
      </c>
      <c r="F124" s="2367"/>
      <c r="G124" s="2367"/>
      <c r="H124" s="1020"/>
      <c r="I124" s="2364">
        <f>'BS old'!F64</f>
        <v>0</v>
      </c>
      <c r="J124" s="2365"/>
      <c r="K124" s="2366"/>
      <c r="L124" s="520"/>
    </row>
    <row r="125" spans="1:12" ht="28" customHeight="1">
      <c r="A125" s="2400"/>
      <c r="B125" s="2398"/>
      <c r="C125" s="1029"/>
      <c r="D125" s="2388"/>
      <c r="E125" s="2367">
        <f>'BS old'!E64</f>
        <v>0</v>
      </c>
      <c r="F125" s="2367"/>
      <c r="G125" s="2367"/>
      <c r="H125" s="1028"/>
      <c r="I125" s="604"/>
      <c r="J125" s="2364">
        <f>'BS old'!G64</f>
        <v>0</v>
      </c>
      <c r="K125" s="2365"/>
      <c r="L125" s="2368"/>
    </row>
    <row r="126" spans="1:12" s="450" customFormat="1" ht="28" customHeight="1">
      <c r="A126" s="2395" t="s">
        <v>652</v>
      </c>
      <c r="B126" s="2386" t="s">
        <v>1182</v>
      </c>
      <c r="C126" s="1024"/>
      <c r="D126" s="2387" t="s">
        <v>968</v>
      </c>
      <c r="E126" s="2367">
        <f>'BS old'!D65</f>
        <v>0</v>
      </c>
      <c r="F126" s="2367"/>
      <c r="G126" s="2367"/>
      <c r="H126" s="1020"/>
      <c r="I126" s="2364">
        <f>'BS old'!F65</f>
        <v>0</v>
      </c>
      <c r="J126" s="2365"/>
      <c r="K126" s="2366"/>
      <c r="L126" s="520"/>
    </row>
    <row r="127" spans="1:12" s="450" customFormat="1" ht="28" customHeight="1">
      <c r="A127" s="2395"/>
      <c r="B127" s="2386"/>
      <c r="C127" s="1025"/>
      <c r="D127" s="2388"/>
      <c r="E127" s="2367">
        <f>'BS old'!E65</f>
        <v>0</v>
      </c>
      <c r="F127" s="2367"/>
      <c r="G127" s="2367"/>
      <c r="H127" s="1028"/>
      <c r="I127" s="604"/>
      <c r="J127" s="2364">
        <f>'BS old'!G65</f>
        <v>0</v>
      </c>
      <c r="K127" s="2365"/>
      <c r="L127" s="2368"/>
    </row>
    <row r="128" spans="1:12" ht="11.25" customHeight="1">
      <c r="A128" s="2381" t="s">
        <v>1137</v>
      </c>
      <c r="B128" s="2389" t="s">
        <v>1181</v>
      </c>
      <c r="C128" s="1026"/>
      <c r="D128" s="2391" t="s">
        <v>1135</v>
      </c>
      <c r="E128" s="2371" t="s">
        <v>2</v>
      </c>
      <c r="F128" s="2393"/>
      <c r="G128" s="2393"/>
      <c r="H128" s="2393"/>
      <c r="I128" s="2393"/>
      <c r="J128" s="2374"/>
      <c r="K128" s="2375" t="s">
        <v>1180</v>
      </c>
      <c r="L128" s="2376"/>
    </row>
    <row r="129" spans="1:12" ht="11.25" customHeight="1">
      <c r="A129" s="2382"/>
      <c r="B129" s="2390"/>
      <c r="C129" s="1027"/>
      <c r="D129" s="2392"/>
      <c r="E129" s="2394">
        <v>1</v>
      </c>
      <c r="F129" s="2390" t="s">
        <v>1179</v>
      </c>
      <c r="G129" s="2390"/>
      <c r="H129" s="1021"/>
      <c r="I129" s="2377" t="s">
        <v>1178</v>
      </c>
      <c r="J129" s="2378"/>
      <c r="K129" s="2371"/>
      <c r="L129" s="2372"/>
    </row>
    <row r="130" spans="1:12" ht="11.25" customHeight="1">
      <c r="A130" s="2382"/>
      <c r="B130" s="2390"/>
      <c r="C130" s="1027"/>
      <c r="D130" s="2392"/>
      <c r="E130" s="2394"/>
      <c r="F130" s="2390" t="s">
        <v>1177</v>
      </c>
      <c r="G130" s="2390"/>
      <c r="H130" s="1021"/>
      <c r="I130" s="2377"/>
      <c r="J130" s="2378"/>
      <c r="K130" s="2379" t="s">
        <v>1176</v>
      </c>
      <c r="L130" s="2380"/>
    </row>
    <row r="131" spans="1:12" s="519" customFormat="1" ht="28" customHeight="1">
      <c r="A131" s="2384" t="s">
        <v>532</v>
      </c>
      <c r="B131" s="2386" t="s">
        <v>1175</v>
      </c>
      <c r="C131" s="1025"/>
      <c r="D131" s="2388" t="s">
        <v>656</v>
      </c>
      <c r="E131" s="2367">
        <f>'BS old'!D66</f>
        <v>0</v>
      </c>
      <c r="F131" s="2367"/>
      <c r="G131" s="2367"/>
      <c r="H131" s="1020"/>
      <c r="I131" s="2364">
        <f>'BS old'!F66</f>
        <v>0</v>
      </c>
      <c r="J131" s="2365"/>
      <c r="K131" s="2366"/>
      <c r="L131" s="520"/>
    </row>
    <row r="132" spans="1:12" s="519" customFormat="1" ht="28" customHeight="1">
      <c r="A132" s="2384"/>
      <c r="B132" s="2386"/>
      <c r="C132" s="1025"/>
      <c r="D132" s="2388"/>
      <c r="E132" s="2367">
        <f>'BS old'!E66</f>
        <v>0</v>
      </c>
      <c r="F132" s="2367"/>
      <c r="G132" s="2367"/>
      <c r="H132" s="1028"/>
      <c r="I132" s="604"/>
      <c r="J132" s="2364">
        <f>'BS old'!G66</f>
        <v>0</v>
      </c>
      <c r="K132" s="2365"/>
      <c r="L132" s="2368"/>
    </row>
    <row r="133" spans="1:12" s="519" customFormat="1" ht="28" customHeight="1">
      <c r="A133" s="2384" t="s">
        <v>535</v>
      </c>
      <c r="B133" s="2386" t="s">
        <v>1174</v>
      </c>
      <c r="C133" s="1025"/>
      <c r="D133" s="2388" t="s">
        <v>658</v>
      </c>
      <c r="E133" s="2367">
        <f>'BS old'!D67</f>
        <v>0</v>
      </c>
      <c r="F133" s="2367"/>
      <c r="G133" s="2367"/>
      <c r="H133" s="1020"/>
      <c r="I133" s="2364">
        <f>'BS old'!F67</f>
        <v>0</v>
      </c>
      <c r="J133" s="2365"/>
      <c r="K133" s="2366"/>
      <c r="L133" s="520"/>
    </row>
    <row r="134" spans="1:12" ht="28" customHeight="1">
      <c r="A134" s="2384"/>
      <c r="B134" s="2386"/>
      <c r="C134" s="1025"/>
      <c r="D134" s="2388"/>
      <c r="E134" s="2367">
        <f>'BS old'!E67</f>
        <v>0</v>
      </c>
      <c r="F134" s="2367"/>
      <c r="G134" s="2367"/>
      <c r="H134" s="1028"/>
      <c r="I134" s="604"/>
      <c r="J134" s="2364">
        <f>'BS old'!G67</f>
        <v>0</v>
      </c>
      <c r="K134" s="2365"/>
      <c r="L134" s="2368"/>
    </row>
    <row r="135" spans="1:12" ht="28" customHeight="1">
      <c r="A135" s="2384" t="s">
        <v>538</v>
      </c>
      <c r="B135" s="2386" t="s">
        <v>1173</v>
      </c>
      <c r="C135" s="1025"/>
      <c r="D135" s="2388" t="s">
        <v>660</v>
      </c>
      <c r="E135" s="2367">
        <f>'BS old'!D68</f>
        <v>0</v>
      </c>
      <c r="F135" s="2367"/>
      <c r="G135" s="2367"/>
      <c r="H135" s="1020"/>
      <c r="I135" s="2364">
        <f>'BS old'!F68</f>
        <v>0</v>
      </c>
      <c r="J135" s="2365"/>
      <c r="K135" s="2366"/>
      <c r="L135" s="520"/>
    </row>
    <row r="136" spans="1:12" ht="28" customHeight="1">
      <c r="A136" s="2384"/>
      <c r="B136" s="2386"/>
      <c r="C136" s="1025"/>
      <c r="D136" s="2388"/>
      <c r="E136" s="2367">
        <f>'BS old'!E68</f>
        <v>0</v>
      </c>
      <c r="F136" s="2367"/>
      <c r="G136" s="2367"/>
      <c r="H136" s="1028"/>
      <c r="I136" s="604"/>
      <c r="J136" s="2364">
        <f>'BS old'!G68</f>
        <v>0</v>
      </c>
      <c r="K136" s="2365"/>
      <c r="L136" s="2368"/>
    </row>
    <row r="137" spans="1:12" ht="28" customHeight="1">
      <c r="A137" s="2384" t="s">
        <v>541</v>
      </c>
      <c r="B137" s="2386" t="s">
        <v>1172</v>
      </c>
      <c r="C137" s="1025"/>
      <c r="D137" s="2388" t="s">
        <v>662</v>
      </c>
      <c r="E137" s="2367">
        <f>'BS old'!D69</f>
        <v>0</v>
      </c>
      <c r="F137" s="2367"/>
      <c r="G137" s="2367"/>
      <c r="H137" s="1020"/>
      <c r="I137" s="2364">
        <f>'BS old'!F69</f>
        <v>0</v>
      </c>
      <c r="J137" s="2365"/>
      <c r="K137" s="2366"/>
      <c r="L137" s="520"/>
    </row>
    <row r="138" spans="1:12" ht="28" customHeight="1">
      <c r="A138" s="2384"/>
      <c r="B138" s="2386"/>
      <c r="C138" s="1025"/>
      <c r="D138" s="2388"/>
      <c r="E138" s="2367">
        <f>'BS old'!E69</f>
        <v>0</v>
      </c>
      <c r="F138" s="2367"/>
      <c r="G138" s="2367"/>
      <c r="H138" s="1028"/>
      <c r="I138" s="604"/>
      <c r="J138" s="2364">
        <f>'BS old'!G69</f>
        <v>0</v>
      </c>
      <c r="K138" s="2365"/>
      <c r="L138" s="2368"/>
    </row>
    <row r="139" spans="1:12" ht="28" customHeight="1">
      <c r="A139" s="2396" t="s">
        <v>663</v>
      </c>
      <c r="B139" s="2398" t="s">
        <v>1171</v>
      </c>
      <c r="C139" s="1029"/>
      <c r="D139" s="2401" t="s">
        <v>665</v>
      </c>
      <c r="E139" s="2367">
        <f>'BS old'!D70</f>
        <v>0</v>
      </c>
      <c r="F139" s="2367"/>
      <c r="G139" s="2367"/>
      <c r="H139" s="1020"/>
      <c r="I139" s="2364">
        <f>'BS old'!F70</f>
        <v>0</v>
      </c>
      <c r="J139" s="2365"/>
      <c r="K139" s="2366"/>
      <c r="L139" s="520"/>
    </row>
    <row r="140" spans="1:12" ht="28" customHeight="1">
      <c r="A140" s="2396"/>
      <c r="B140" s="2398"/>
      <c r="C140" s="1029"/>
      <c r="D140" s="2401"/>
      <c r="E140" s="2367">
        <f>'BS old'!E70</f>
        <v>0</v>
      </c>
      <c r="F140" s="2367"/>
      <c r="G140" s="2367"/>
      <c r="H140" s="1028"/>
      <c r="I140" s="604"/>
      <c r="J140" s="2364">
        <f>'BS old'!G70</f>
        <v>0</v>
      </c>
      <c r="K140" s="2365"/>
      <c r="L140" s="2368"/>
    </row>
    <row r="141" spans="1:12" ht="28" customHeight="1">
      <c r="A141" s="2395" t="s">
        <v>666</v>
      </c>
      <c r="B141" s="2386" t="s">
        <v>1170</v>
      </c>
      <c r="C141" s="1025"/>
      <c r="D141" s="2388" t="s">
        <v>668</v>
      </c>
      <c r="E141" s="2367">
        <f>'BS old'!D71</f>
        <v>0</v>
      </c>
      <c r="F141" s="2367"/>
      <c r="G141" s="2367"/>
      <c r="H141" s="1020"/>
      <c r="I141" s="2364">
        <f>'BS old'!F71</f>
        <v>0</v>
      </c>
      <c r="J141" s="2365"/>
      <c r="K141" s="2366"/>
      <c r="L141" s="520"/>
    </row>
    <row r="142" spans="1:12" ht="28" customHeight="1">
      <c r="A142" s="2395"/>
      <c r="B142" s="2386"/>
      <c r="C142" s="1025"/>
      <c r="D142" s="2388"/>
      <c r="E142" s="2367">
        <f>'BS old'!E71</f>
        <v>0</v>
      </c>
      <c r="F142" s="2367"/>
      <c r="G142" s="2367"/>
      <c r="H142" s="1028"/>
      <c r="I142" s="604"/>
      <c r="J142" s="2364">
        <f>'BS old'!G71</f>
        <v>0</v>
      </c>
      <c r="K142" s="2365"/>
      <c r="L142" s="2368"/>
    </row>
    <row r="143" spans="1:12" ht="28" customHeight="1">
      <c r="A143" s="2384" t="s">
        <v>532</v>
      </c>
      <c r="B143" s="2386" t="s">
        <v>1169</v>
      </c>
      <c r="C143" s="1025"/>
      <c r="D143" s="2388" t="s">
        <v>670</v>
      </c>
      <c r="E143" s="2367">
        <f>'BS old'!D72</f>
        <v>0</v>
      </c>
      <c r="F143" s="2367"/>
      <c r="G143" s="2367"/>
      <c r="H143" s="1020"/>
      <c r="I143" s="2364">
        <f>'BS old'!F72</f>
        <v>0</v>
      </c>
      <c r="J143" s="2365"/>
      <c r="K143" s="2366"/>
      <c r="L143" s="520"/>
    </row>
    <row r="144" spans="1:12" s="450" customFormat="1" ht="28" customHeight="1">
      <c r="A144" s="2384"/>
      <c r="B144" s="2386"/>
      <c r="C144" s="1025"/>
      <c r="D144" s="2388"/>
      <c r="E144" s="2367">
        <f>'BS old'!E72</f>
        <v>0</v>
      </c>
      <c r="F144" s="2367"/>
      <c r="G144" s="2367"/>
      <c r="H144" s="1028"/>
      <c r="I144" s="604"/>
      <c r="J144" s="2364">
        <f>'BS old'!G72</f>
        <v>0</v>
      </c>
      <c r="K144" s="2365"/>
      <c r="L144" s="2368"/>
    </row>
    <row r="145" spans="1:12" s="450" customFormat="1" ht="28" customHeight="1">
      <c r="A145" s="2384" t="s">
        <v>535</v>
      </c>
      <c r="B145" s="2386" t="s">
        <v>1168</v>
      </c>
      <c r="C145" s="1025"/>
      <c r="D145" s="2388" t="s">
        <v>672</v>
      </c>
      <c r="E145" s="2367">
        <f>'BS old'!D73</f>
        <v>0</v>
      </c>
      <c r="F145" s="2367"/>
      <c r="G145" s="2367"/>
      <c r="H145" s="1020"/>
      <c r="I145" s="2364">
        <f>'BS old'!F73</f>
        <v>0</v>
      </c>
      <c r="J145" s="2365"/>
      <c r="K145" s="2366"/>
      <c r="L145" s="520"/>
    </row>
    <row r="146" spans="1:12" ht="28" customHeight="1">
      <c r="A146" s="2384"/>
      <c r="B146" s="2386"/>
      <c r="C146" s="1025"/>
      <c r="D146" s="2388"/>
      <c r="E146" s="2367">
        <f>'BS old'!E73</f>
        <v>0</v>
      </c>
      <c r="F146" s="2367"/>
      <c r="G146" s="2367"/>
      <c r="H146" s="1028"/>
      <c r="I146" s="604"/>
      <c r="J146" s="2364">
        <f>'BS old'!G73</f>
        <v>0</v>
      </c>
      <c r="K146" s="2365"/>
      <c r="L146" s="2368"/>
    </row>
    <row r="147" spans="1:12" ht="28" customHeight="1">
      <c r="A147" s="2384" t="s">
        <v>538</v>
      </c>
      <c r="B147" s="2386" t="s">
        <v>1167</v>
      </c>
      <c r="C147" s="1025"/>
      <c r="D147" s="2388" t="s">
        <v>674</v>
      </c>
      <c r="E147" s="2367">
        <f>'BS old'!D74</f>
        <v>0</v>
      </c>
      <c r="F147" s="2367"/>
      <c r="G147" s="2367"/>
      <c r="H147" s="1020"/>
      <c r="I147" s="2364">
        <f>'BS old'!F74</f>
        <v>0</v>
      </c>
      <c r="J147" s="2365"/>
      <c r="K147" s="2366"/>
      <c r="L147" s="520"/>
    </row>
    <row r="148" spans="1:12" s="515" customFormat="1" ht="28" customHeight="1">
      <c r="A148" s="2384"/>
      <c r="B148" s="2386"/>
      <c r="C148" s="1025"/>
      <c r="D148" s="2388"/>
      <c r="E148" s="2367">
        <f>'BS old'!E74</f>
        <v>0</v>
      </c>
      <c r="F148" s="2367"/>
      <c r="G148" s="2367"/>
      <c r="H148" s="1028"/>
      <c r="I148" s="604"/>
      <c r="J148" s="2364">
        <f>'BS old'!G74</f>
        <v>0</v>
      </c>
      <c r="K148" s="2365"/>
      <c r="L148" s="2368"/>
    </row>
    <row r="149" spans="1:12" s="515" customFormat="1" ht="30" customHeight="1">
      <c r="A149" s="518" t="s">
        <v>1137</v>
      </c>
      <c r="B149" s="2371" t="s">
        <v>1136</v>
      </c>
      <c r="C149" s="2393"/>
      <c r="D149" s="2393"/>
      <c r="E149" s="2393"/>
      <c r="F149" s="2374"/>
      <c r="G149" s="517" t="s">
        <v>1135</v>
      </c>
      <c r="H149" s="1170"/>
      <c r="I149" s="2371" t="s">
        <v>1134</v>
      </c>
      <c r="J149" s="2374"/>
      <c r="K149" s="2371" t="s">
        <v>1133</v>
      </c>
      <c r="L149" s="2372"/>
    </row>
    <row r="150" spans="1:12" s="515" customFormat="1" ht="27.75" customHeight="1">
      <c r="A150" s="516"/>
      <c r="B150" s="2398" t="s">
        <v>1166</v>
      </c>
      <c r="C150" s="2398"/>
      <c r="D150" s="2423"/>
      <c r="E150" s="2423"/>
      <c r="F150" s="2423"/>
      <c r="G150" s="513" t="s">
        <v>681</v>
      </c>
      <c r="H150" s="1171"/>
      <c r="I150" s="2364">
        <f>'BS old'!D81</f>
        <v>0</v>
      </c>
      <c r="J150" s="2366"/>
      <c r="K150" s="2364">
        <f>'BS old'!E81</f>
        <v>0</v>
      </c>
      <c r="L150" s="2368"/>
    </row>
    <row r="151" spans="1:12" s="515" customFormat="1" ht="27.75" customHeight="1">
      <c r="A151" s="507" t="s">
        <v>523</v>
      </c>
      <c r="B151" s="2398" t="s">
        <v>1165</v>
      </c>
      <c r="C151" s="2398"/>
      <c r="D151" s="2423"/>
      <c r="E151" s="2423"/>
      <c r="F151" s="2423"/>
      <c r="G151" s="513" t="s">
        <v>683</v>
      </c>
      <c r="H151" s="1171"/>
      <c r="I151" s="2364">
        <f>'BS old'!D82</f>
        <v>0</v>
      </c>
      <c r="J151" s="2366"/>
      <c r="K151" s="2364">
        <f>'BS old'!E82</f>
        <v>0</v>
      </c>
      <c r="L151" s="2368"/>
    </row>
    <row r="152" spans="1:12" ht="27.75" customHeight="1">
      <c r="A152" s="507" t="s">
        <v>526</v>
      </c>
      <c r="B152" s="2398" t="s">
        <v>1164</v>
      </c>
      <c r="C152" s="2398"/>
      <c r="D152" s="2423"/>
      <c r="E152" s="2423"/>
      <c r="F152" s="2423"/>
      <c r="G152" s="513" t="s">
        <v>685</v>
      </c>
      <c r="H152" s="1171"/>
      <c r="I152" s="2364">
        <f>'BS old'!D83</f>
        <v>0</v>
      </c>
      <c r="J152" s="2366"/>
      <c r="K152" s="2364">
        <f>'BS old'!E83</f>
        <v>0</v>
      </c>
      <c r="L152" s="2368"/>
    </row>
    <row r="153" spans="1:12" s="450" customFormat="1" ht="27.75" customHeight="1">
      <c r="A153" s="506" t="s">
        <v>529</v>
      </c>
      <c r="B153" s="2386" t="s">
        <v>1163</v>
      </c>
      <c r="C153" s="2386"/>
      <c r="D153" s="2422"/>
      <c r="E153" s="2422"/>
      <c r="F153" s="2422"/>
      <c r="G153" s="503" t="s">
        <v>687</v>
      </c>
      <c r="H153" s="1172"/>
      <c r="I153" s="2364">
        <f>'BS old'!D84</f>
        <v>0</v>
      </c>
      <c r="J153" s="2366"/>
      <c r="K153" s="2364">
        <f>'BS old'!E84</f>
        <v>0</v>
      </c>
      <c r="L153" s="2368"/>
    </row>
    <row r="154" spans="1:12" s="450" customFormat="1" ht="27.75" customHeight="1">
      <c r="A154" s="505" t="s">
        <v>532</v>
      </c>
      <c r="B154" s="2386" t="s">
        <v>1162</v>
      </c>
      <c r="C154" s="2386"/>
      <c r="D154" s="2422"/>
      <c r="E154" s="2422"/>
      <c r="F154" s="2422"/>
      <c r="G154" s="503" t="s">
        <v>689</v>
      </c>
      <c r="H154" s="1172"/>
      <c r="I154" s="2364">
        <f>'BS old'!D85</f>
        <v>0</v>
      </c>
      <c r="J154" s="2366"/>
      <c r="K154" s="2364">
        <f>'BS old'!E85</f>
        <v>0</v>
      </c>
      <c r="L154" s="2368"/>
    </row>
    <row r="155" spans="1:12" s="450" customFormat="1" ht="27.75" customHeight="1">
      <c r="A155" s="505" t="s">
        <v>535</v>
      </c>
      <c r="B155" s="2386" t="s">
        <v>1161</v>
      </c>
      <c r="C155" s="2386"/>
      <c r="D155" s="2422"/>
      <c r="E155" s="2422"/>
      <c r="F155" s="2422"/>
      <c r="G155" s="503" t="s">
        <v>691</v>
      </c>
      <c r="H155" s="1172"/>
      <c r="I155" s="2364">
        <f>'BS old'!D86</f>
        <v>0</v>
      </c>
      <c r="J155" s="2366"/>
      <c r="K155" s="2364">
        <f>'BS old'!E86</f>
        <v>0</v>
      </c>
      <c r="L155" s="2368"/>
    </row>
    <row r="156" spans="1:12" ht="27.75" customHeight="1">
      <c r="A156" s="505" t="s">
        <v>538</v>
      </c>
      <c r="B156" s="2386" t="s">
        <v>1160</v>
      </c>
      <c r="C156" s="2386"/>
      <c r="D156" s="2422"/>
      <c r="E156" s="2422"/>
      <c r="F156" s="2422"/>
      <c r="G156" s="503" t="s">
        <v>693</v>
      </c>
      <c r="H156" s="1172"/>
      <c r="I156" s="2364">
        <f>'BS old'!D87</f>
        <v>0</v>
      </c>
      <c r="J156" s="2366"/>
      <c r="K156" s="2364">
        <f>'BS old'!E87</f>
        <v>0</v>
      </c>
      <c r="L156" s="2368"/>
    </row>
    <row r="157" spans="1:12" ht="27.75" customHeight="1">
      <c r="A157" s="507" t="s">
        <v>550</v>
      </c>
      <c r="B157" s="2398" t="s">
        <v>1159</v>
      </c>
      <c r="C157" s="2398"/>
      <c r="D157" s="2423"/>
      <c r="E157" s="2423"/>
      <c r="F157" s="2423"/>
      <c r="G157" s="513" t="s">
        <v>695</v>
      </c>
      <c r="H157" s="1171"/>
      <c r="I157" s="2364">
        <f>'BS old'!D88</f>
        <v>0</v>
      </c>
      <c r="J157" s="2366"/>
      <c r="K157" s="2364">
        <f>'BS old'!E88</f>
        <v>0</v>
      </c>
      <c r="L157" s="2368"/>
    </row>
    <row r="158" spans="1:12" ht="27.75" customHeight="1">
      <c r="A158" s="506" t="s">
        <v>553</v>
      </c>
      <c r="B158" s="2386" t="s">
        <v>1158</v>
      </c>
      <c r="C158" s="2386"/>
      <c r="D158" s="2422"/>
      <c r="E158" s="2422"/>
      <c r="F158" s="2422"/>
      <c r="G158" s="503" t="s">
        <v>697</v>
      </c>
      <c r="H158" s="1172"/>
      <c r="I158" s="2364">
        <f>'BS old'!D89</f>
        <v>0</v>
      </c>
      <c r="J158" s="2366"/>
      <c r="K158" s="2364">
        <f>'BS old'!E89</f>
        <v>0</v>
      </c>
      <c r="L158" s="2368"/>
    </row>
    <row r="159" spans="1:12" ht="27.75" customHeight="1">
      <c r="A159" s="505" t="s">
        <v>532</v>
      </c>
      <c r="B159" s="2386" t="s">
        <v>1157</v>
      </c>
      <c r="C159" s="2386"/>
      <c r="D159" s="2422"/>
      <c r="E159" s="2422"/>
      <c r="F159" s="2422"/>
      <c r="G159" s="503" t="s">
        <v>699</v>
      </c>
      <c r="H159" s="1172"/>
      <c r="I159" s="2364">
        <f>'BS old'!D90</f>
        <v>0</v>
      </c>
      <c r="J159" s="2366"/>
      <c r="K159" s="2364">
        <f>'BS old'!E90</f>
        <v>0</v>
      </c>
      <c r="L159" s="2368"/>
    </row>
    <row r="160" spans="1:12" s="450" customFormat="1" ht="27.75" customHeight="1">
      <c r="A160" s="505" t="s">
        <v>535</v>
      </c>
      <c r="B160" s="2386" t="s">
        <v>1156</v>
      </c>
      <c r="C160" s="2386"/>
      <c r="D160" s="2422"/>
      <c r="E160" s="2422"/>
      <c r="F160" s="2422"/>
      <c r="G160" s="503" t="s">
        <v>701</v>
      </c>
      <c r="H160" s="1172"/>
      <c r="I160" s="2364">
        <f>'BS old'!D91</f>
        <v>0</v>
      </c>
      <c r="J160" s="2366"/>
      <c r="K160" s="2364">
        <f>'BS old'!E91</f>
        <v>0</v>
      </c>
      <c r="L160" s="2368"/>
    </row>
    <row r="161" spans="1:12" ht="27.75" customHeight="1">
      <c r="A161" s="505" t="s">
        <v>538</v>
      </c>
      <c r="B161" s="2386" t="s">
        <v>1155</v>
      </c>
      <c r="C161" s="2386"/>
      <c r="D161" s="2422"/>
      <c r="E161" s="2422"/>
      <c r="F161" s="2422"/>
      <c r="G161" s="503" t="s">
        <v>703</v>
      </c>
      <c r="H161" s="1172"/>
      <c r="I161" s="2364">
        <f>'BS old'!D92</f>
        <v>0</v>
      </c>
      <c r="J161" s="2366"/>
      <c r="K161" s="2364">
        <f>'BS old'!E92</f>
        <v>0</v>
      </c>
      <c r="L161" s="2368"/>
    </row>
    <row r="162" spans="1:12" ht="27.75" customHeight="1">
      <c r="A162" s="505" t="s">
        <v>541</v>
      </c>
      <c r="B162" s="2386" t="s">
        <v>1154</v>
      </c>
      <c r="C162" s="2386"/>
      <c r="D162" s="2422"/>
      <c r="E162" s="2422"/>
      <c r="F162" s="2422"/>
      <c r="G162" s="503" t="s">
        <v>705</v>
      </c>
      <c r="H162" s="1172"/>
      <c r="I162" s="2364">
        <f>'BS old'!D93</f>
        <v>0</v>
      </c>
      <c r="J162" s="2366"/>
      <c r="K162" s="2364">
        <f>'BS old'!E93</f>
        <v>0</v>
      </c>
      <c r="L162" s="2368"/>
    </row>
    <row r="163" spans="1:12" ht="27.75" customHeight="1">
      <c r="A163" s="505" t="s">
        <v>544</v>
      </c>
      <c r="B163" s="2386" t="s">
        <v>1153</v>
      </c>
      <c r="C163" s="2386"/>
      <c r="D163" s="2422"/>
      <c r="E163" s="2422"/>
      <c r="F163" s="2422"/>
      <c r="G163" s="503" t="s">
        <v>707</v>
      </c>
      <c r="H163" s="1172"/>
      <c r="I163" s="2364">
        <f>'BS old'!D94</f>
        <v>0</v>
      </c>
      <c r="J163" s="2366"/>
      <c r="K163" s="2364">
        <f>'BS old'!E94</f>
        <v>0</v>
      </c>
      <c r="L163" s="2368"/>
    </row>
    <row r="164" spans="1:12" ht="27.75" customHeight="1">
      <c r="A164" s="507" t="s">
        <v>574</v>
      </c>
      <c r="B164" s="2398" t="s">
        <v>1152</v>
      </c>
      <c r="C164" s="2398"/>
      <c r="D164" s="2423"/>
      <c r="E164" s="2423"/>
      <c r="F164" s="2423"/>
      <c r="G164" s="513" t="s">
        <v>709</v>
      </c>
      <c r="H164" s="1171"/>
      <c r="I164" s="2364">
        <f>'BS old'!D95</f>
        <v>0</v>
      </c>
      <c r="J164" s="2366"/>
      <c r="K164" s="2364">
        <f>'BS old'!E95</f>
        <v>0</v>
      </c>
      <c r="L164" s="2368"/>
    </row>
    <row r="165" spans="1:12" ht="27.75" customHeight="1">
      <c r="A165" s="505" t="s">
        <v>577</v>
      </c>
      <c r="B165" s="2386" t="s">
        <v>1151</v>
      </c>
      <c r="C165" s="2386"/>
      <c r="D165" s="2422"/>
      <c r="E165" s="2422"/>
      <c r="F165" s="2422"/>
      <c r="G165" s="503" t="s">
        <v>711</v>
      </c>
      <c r="H165" s="1172"/>
      <c r="I165" s="2364">
        <f>'BS old'!D96</f>
        <v>0</v>
      </c>
      <c r="J165" s="2366"/>
      <c r="K165" s="2364">
        <f>'BS old'!E96</f>
        <v>0</v>
      </c>
      <c r="L165" s="2368"/>
    </row>
    <row r="166" spans="1:12" ht="27.75" customHeight="1">
      <c r="A166" s="505" t="s">
        <v>532</v>
      </c>
      <c r="B166" s="2386" t="s">
        <v>1150</v>
      </c>
      <c r="C166" s="2386"/>
      <c r="D166" s="2422"/>
      <c r="E166" s="2422"/>
      <c r="F166" s="2422"/>
      <c r="G166" s="503" t="s">
        <v>713</v>
      </c>
      <c r="H166" s="1172"/>
      <c r="I166" s="2364">
        <f>'BS old'!D97</f>
        <v>0</v>
      </c>
      <c r="J166" s="2366"/>
      <c r="K166" s="2364">
        <f>'BS old'!E97</f>
        <v>0</v>
      </c>
      <c r="L166" s="2368"/>
    </row>
    <row r="167" spans="1:12" s="450" customFormat="1" ht="27.75" customHeight="1">
      <c r="A167" s="505" t="s">
        <v>535</v>
      </c>
      <c r="B167" s="2386" t="s">
        <v>1149</v>
      </c>
      <c r="C167" s="2386"/>
      <c r="D167" s="2422"/>
      <c r="E167" s="2422"/>
      <c r="F167" s="2422"/>
      <c r="G167" s="503" t="s">
        <v>715</v>
      </c>
      <c r="H167" s="1172"/>
      <c r="I167" s="2364">
        <f>'BS old'!D98</f>
        <v>0</v>
      </c>
      <c r="J167" s="2366"/>
      <c r="K167" s="2364">
        <f>'BS old'!E98</f>
        <v>0</v>
      </c>
      <c r="L167" s="2368"/>
    </row>
    <row r="168" spans="1:12" ht="27.75" customHeight="1">
      <c r="A168" s="507" t="s">
        <v>716</v>
      </c>
      <c r="B168" s="2398" t="s">
        <v>1148</v>
      </c>
      <c r="C168" s="2398"/>
      <c r="D168" s="2423"/>
      <c r="E168" s="2423"/>
      <c r="F168" s="2423"/>
      <c r="G168" s="513" t="s">
        <v>718</v>
      </c>
      <c r="H168" s="1171"/>
      <c r="I168" s="2364">
        <f>'BS old'!D99</f>
        <v>0</v>
      </c>
      <c r="J168" s="2366"/>
      <c r="K168" s="2364">
        <f>'BS old'!E99</f>
        <v>0</v>
      </c>
      <c r="L168" s="2368"/>
    </row>
    <row r="169" spans="1:12" ht="27.75" customHeight="1">
      <c r="A169" s="514" t="s">
        <v>719</v>
      </c>
      <c r="B169" s="2386" t="s">
        <v>1147</v>
      </c>
      <c r="C169" s="2386"/>
      <c r="D169" s="2422"/>
      <c r="E169" s="2422"/>
      <c r="F169" s="2422"/>
      <c r="G169" s="503" t="s">
        <v>721</v>
      </c>
      <c r="H169" s="1172"/>
      <c r="I169" s="2364">
        <f>'BS old'!D100</f>
        <v>0</v>
      </c>
      <c r="J169" s="2366"/>
      <c r="K169" s="2364">
        <f>'BS old'!E100</f>
        <v>0</v>
      </c>
      <c r="L169" s="2368"/>
    </row>
    <row r="170" spans="1:12" ht="27.75" customHeight="1">
      <c r="A170" s="505" t="s">
        <v>532</v>
      </c>
      <c r="B170" s="2386" t="s">
        <v>1146</v>
      </c>
      <c r="C170" s="2386"/>
      <c r="D170" s="2422"/>
      <c r="E170" s="2422"/>
      <c r="F170" s="2422"/>
      <c r="G170" s="503" t="s">
        <v>723</v>
      </c>
      <c r="H170" s="1172"/>
      <c r="I170" s="2364">
        <f>'BS old'!D101</f>
        <v>0</v>
      </c>
      <c r="J170" s="2366"/>
      <c r="K170" s="2364">
        <f>'BS old'!E101</f>
        <v>0</v>
      </c>
      <c r="L170" s="2368"/>
    </row>
    <row r="171" spans="1:12" s="450" customFormat="1" ht="31.5" customHeight="1">
      <c r="A171" s="507" t="s">
        <v>724</v>
      </c>
      <c r="B171" s="2398" t="s">
        <v>1145</v>
      </c>
      <c r="C171" s="2398"/>
      <c r="D171" s="2423"/>
      <c r="E171" s="2423"/>
      <c r="F171" s="2423"/>
      <c r="G171" s="513" t="s">
        <v>726</v>
      </c>
      <c r="H171" s="1171"/>
      <c r="I171" s="2364">
        <f>'BS old'!D102</f>
        <v>0</v>
      </c>
      <c r="J171" s="2366"/>
      <c r="K171" s="2364">
        <f>'BS old'!E102</f>
        <v>0</v>
      </c>
      <c r="L171" s="2368"/>
    </row>
    <row r="172" spans="1:12" ht="27.75" customHeight="1">
      <c r="A172" s="507" t="s">
        <v>594</v>
      </c>
      <c r="B172" s="2398" t="s">
        <v>1144</v>
      </c>
      <c r="C172" s="2398"/>
      <c r="D172" s="2423"/>
      <c r="E172" s="2423"/>
      <c r="F172" s="2423"/>
      <c r="G172" s="513" t="s">
        <v>728</v>
      </c>
      <c r="H172" s="1171"/>
      <c r="I172" s="2364">
        <f>'BS old'!D103</f>
        <v>0</v>
      </c>
      <c r="J172" s="2366"/>
      <c r="K172" s="2364">
        <f>'BS old'!E103</f>
        <v>0</v>
      </c>
      <c r="L172" s="2368"/>
    </row>
    <row r="173" spans="1:12" ht="27.75" customHeight="1">
      <c r="A173" s="507" t="s">
        <v>597</v>
      </c>
      <c r="B173" s="2398" t="s">
        <v>1143</v>
      </c>
      <c r="C173" s="2398"/>
      <c r="D173" s="2423"/>
      <c r="E173" s="2423"/>
      <c r="F173" s="2423"/>
      <c r="G173" s="513" t="s">
        <v>730</v>
      </c>
      <c r="H173" s="1171"/>
      <c r="I173" s="2364">
        <f>'BS old'!D104</f>
        <v>0</v>
      </c>
      <c r="J173" s="2366"/>
      <c r="K173" s="2364">
        <f>'BS old'!E104</f>
        <v>0</v>
      </c>
      <c r="L173" s="2368"/>
    </row>
    <row r="174" spans="1:12" s="450" customFormat="1" ht="27.75" customHeight="1">
      <c r="A174" s="506" t="s">
        <v>600</v>
      </c>
      <c r="B174" s="2386" t="s">
        <v>1142</v>
      </c>
      <c r="C174" s="2386"/>
      <c r="D174" s="2422"/>
      <c r="E174" s="2422"/>
      <c r="F174" s="2422"/>
      <c r="G174" s="503" t="s">
        <v>732</v>
      </c>
      <c r="H174" s="1172"/>
      <c r="I174" s="2364">
        <f>'BS old'!D105</f>
        <v>0</v>
      </c>
      <c r="J174" s="2366"/>
      <c r="K174" s="2364">
        <f>'BS old'!E105</f>
        <v>0</v>
      </c>
      <c r="L174" s="2368"/>
    </row>
    <row r="175" spans="1:12" s="450" customFormat="1" ht="27.75" customHeight="1">
      <c r="A175" s="505" t="s">
        <v>532</v>
      </c>
      <c r="B175" s="2386" t="s">
        <v>1141</v>
      </c>
      <c r="C175" s="2386"/>
      <c r="D175" s="2422"/>
      <c r="E175" s="2422"/>
      <c r="F175" s="2422"/>
      <c r="G175" s="503" t="s">
        <v>734</v>
      </c>
      <c r="H175" s="1172"/>
      <c r="I175" s="2364">
        <f>'BS old'!D106</f>
        <v>0</v>
      </c>
      <c r="J175" s="2366"/>
      <c r="K175" s="2364">
        <f>'BS old'!E106</f>
        <v>0</v>
      </c>
      <c r="L175" s="2368"/>
    </row>
    <row r="176" spans="1:12" s="450" customFormat="1" ht="27.75" customHeight="1">
      <c r="A176" s="505" t="s">
        <v>535</v>
      </c>
      <c r="B176" s="2386" t="s">
        <v>1140</v>
      </c>
      <c r="C176" s="2386"/>
      <c r="D176" s="2422"/>
      <c r="E176" s="2422"/>
      <c r="F176" s="2422"/>
      <c r="G176" s="503" t="s">
        <v>736</v>
      </c>
      <c r="H176" s="1172"/>
      <c r="I176" s="2364">
        <f>'BS old'!D107</f>
        <v>0</v>
      </c>
      <c r="J176" s="2366"/>
      <c r="K176" s="2364">
        <f>'BS old'!E107</f>
        <v>0</v>
      </c>
      <c r="L176" s="2368"/>
    </row>
    <row r="177" spans="1:12" ht="27.75" customHeight="1">
      <c r="A177" s="505" t="s">
        <v>538</v>
      </c>
      <c r="B177" s="2386" t="s">
        <v>1139</v>
      </c>
      <c r="C177" s="2386"/>
      <c r="D177" s="2422"/>
      <c r="E177" s="2422"/>
      <c r="F177" s="2422"/>
      <c r="G177" s="503" t="s">
        <v>738</v>
      </c>
      <c r="H177" s="1172"/>
      <c r="I177" s="2364">
        <f>'BS old'!D108</f>
        <v>0</v>
      </c>
      <c r="J177" s="2366"/>
      <c r="K177" s="2364">
        <f>'BS old'!E108</f>
        <v>0</v>
      </c>
      <c r="L177" s="2368"/>
    </row>
    <row r="178" spans="1:12" ht="25.5" customHeight="1" thickBot="1">
      <c r="A178" s="512" t="s">
        <v>613</v>
      </c>
      <c r="B178" s="2424" t="s">
        <v>1138</v>
      </c>
      <c r="C178" s="2424"/>
      <c r="D178" s="2425"/>
      <c r="E178" s="2425"/>
      <c r="F178" s="2425"/>
      <c r="G178" s="511" t="s">
        <v>740</v>
      </c>
      <c r="H178" s="1173"/>
      <c r="I178" s="2364">
        <f>'BS old'!D109</f>
        <v>0</v>
      </c>
      <c r="J178" s="2366"/>
      <c r="K178" s="2364">
        <f>'BS old'!E109</f>
        <v>0</v>
      </c>
      <c r="L178" s="2368"/>
    </row>
    <row r="179" spans="1:12" ht="30" customHeight="1">
      <c r="A179" s="510" t="s">
        <v>1137</v>
      </c>
      <c r="B179" s="2369" t="s">
        <v>1136</v>
      </c>
      <c r="C179" s="2428"/>
      <c r="D179" s="2429"/>
      <c r="E179" s="2429"/>
      <c r="F179" s="2430"/>
      <c r="G179" s="509" t="s">
        <v>1135</v>
      </c>
      <c r="H179" s="1174"/>
      <c r="I179" s="2369" t="s">
        <v>1134</v>
      </c>
      <c r="J179" s="2373"/>
      <c r="K179" s="2369" t="s">
        <v>1133</v>
      </c>
      <c r="L179" s="2370"/>
    </row>
    <row r="180" spans="1:12" ht="27.75" customHeight="1">
      <c r="A180" s="506" t="s">
        <v>616</v>
      </c>
      <c r="B180" s="2386" t="s">
        <v>1132</v>
      </c>
      <c r="C180" s="2386"/>
      <c r="D180" s="2422"/>
      <c r="E180" s="2422"/>
      <c r="F180" s="2422"/>
      <c r="G180" s="503" t="s">
        <v>742</v>
      </c>
      <c r="H180" s="1172"/>
      <c r="I180" s="2364">
        <f>'BS old'!D110</f>
        <v>0</v>
      </c>
      <c r="J180" s="2366"/>
      <c r="K180" s="2364">
        <f>'BS old'!E110</f>
        <v>0</v>
      </c>
      <c r="L180" s="2368"/>
    </row>
    <row r="181" spans="1:12" ht="27.75" customHeight="1">
      <c r="A181" s="505" t="s">
        <v>532</v>
      </c>
      <c r="B181" s="2386" t="s">
        <v>1120</v>
      </c>
      <c r="C181" s="2386"/>
      <c r="D181" s="2422"/>
      <c r="E181" s="2422"/>
      <c r="F181" s="2422"/>
      <c r="G181" s="503" t="s">
        <v>743</v>
      </c>
      <c r="H181" s="1172"/>
      <c r="I181" s="2364">
        <f>'BS old'!D111</f>
        <v>0</v>
      </c>
      <c r="J181" s="2366"/>
      <c r="K181" s="2364">
        <f>'BS old'!E111</f>
        <v>0</v>
      </c>
      <c r="L181" s="2368"/>
    </row>
    <row r="182" spans="1:12" s="450" customFormat="1" ht="27.75" customHeight="1">
      <c r="A182" s="505" t="s">
        <v>535</v>
      </c>
      <c r="B182" s="2386" t="s">
        <v>1131</v>
      </c>
      <c r="C182" s="2386"/>
      <c r="D182" s="2422"/>
      <c r="E182" s="2422"/>
      <c r="F182" s="2422"/>
      <c r="G182" s="503" t="s">
        <v>745</v>
      </c>
      <c r="H182" s="1172"/>
      <c r="I182" s="2364">
        <f>'BS old'!D112</f>
        <v>0</v>
      </c>
      <c r="J182" s="2366"/>
      <c r="K182" s="2364">
        <f>'BS old'!E112</f>
        <v>0</v>
      </c>
      <c r="L182" s="2368"/>
    </row>
    <row r="183" spans="1:12" ht="27.75" customHeight="1">
      <c r="A183" s="505" t="s">
        <v>538</v>
      </c>
      <c r="B183" s="2386" t="s">
        <v>1130</v>
      </c>
      <c r="C183" s="2386"/>
      <c r="D183" s="2422"/>
      <c r="E183" s="2422"/>
      <c r="F183" s="2422"/>
      <c r="G183" s="503" t="s">
        <v>747</v>
      </c>
      <c r="H183" s="1172"/>
      <c r="I183" s="2364">
        <f>'BS old'!D113</f>
        <v>0</v>
      </c>
      <c r="J183" s="2366"/>
      <c r="K183" s="2364">
        <f>'BS old'!E113</f>
        <v>0</v>
      </c>
      <c r="L183" s="2368"/>
    </row>
    <row r="184" spans="1:12" ht="27.75" customHeight="1">
      <c r="A184" s="505" t="s">
        <v>541</v>
      </c>
      <c r="B184" s="2386" t="s">
        <v>1129</v>
      </c>
      <c r="C184" s="2386"/>
      <c r="D184" s="2422"/>
      <c r="E184" s="2422"/>
      <c r="F184" s="2422"/>
      <c r="G184" s="503" t="s">
        <v>749</v>
      </c>
      <c r="H184" s="1172"/>
      <c r="I184" s="2364">
        <f>'BS old'!D114</f>
        <v>0</v>
      </c>
      <c r="J184" s="2366"/>
      <c r="K184" s="2364">
        <f>'BS old'!E114</f>
        <v>0</v>
      </c>
      <c r="L184" s="2368"/>
    </row>
    <row r="185" spans="1:12" ht="27.75" customHeight="1">
      <c r="A185" s="505" t="s">
        <v>544</v>
      </c>
      <c r="B185" s="2386" t="s">
        <v>1128</v>
      </c>
      <c r="C185" s="2386"/>
      <c r="D185" s="2422"/>
      <c r="E185" s="2422"/>
      <c r="F185" s="2422"/>
      <c r="G185" s="503" t="s">
        <v>751</v>
      </c>
      <c r="H185" s="1172"/>
      <c r="I185" s="2364">
        <f>'BS old'!D115</f>
        <v>0</v>
      </c>
      <c r="J185" s="2366"/>
      <c r="K185" s="2364">
        <f>'BS old'!E115</f>
        <v>0</v>
      </c>
      <c r="L185" s="2368"/>
    </row>
    <row r="186" spans="1:12" ht="27.75" customHeight="1">
      <c r="A186" s="505" t="s">
        <v>547</v>
      </c>
      <c r="B186" s="2386" t="s">
        <v>1127</v>
      </c>
      <c r="C186" s="2386"/>
      <c r="D186" s="2422"/>
      <c r="E186" s="2422"/>
      <c r="F186" s="2422"/>
      <c r="G186" s="503" t="s">
        <v>753</v>
      </c>
      <c r="H186" s="1172"/>
      <c r="I186" s="2364">
        <f>'BS old'!D116</f>
        <v>0</v>
      </c>
      <c r="J186" s="2366"/>
      <c r="K186" s="2364">
        <f>'BS old'!E116</f>
        <v>0</v>
      </c>
      <c r="L186" s="2368"/>
    </row>
    <row r="187" spans="1:12" ht="27.75" customHeight="1">
      <c r="A187" s="505" t="s">
        <v>568</v>
      </c>
      <c r="B187" s="2386" t="s">
        <v>1126</v>
      </c>
      <c r="C187" s="2386"/>
      <c r="D187" s="2422"/>
      <c r="E187" s="2422"/>
      <c r="F187" s="2422"/>
      <c r="G187" s="503" t="s">
        <v>755</v>
      </c>
      <c r="H187" s="1172"/>
      <c r="I187" s="2364">
        <f>'BS old'!D117</f>
        <v>0</v>
      </c>
      <c r="J187" s="2366"/>
      <c r="K187" s="2364">
        <f>'BS old'!E117</f>
        <v>0</v>
      </c>
      <c r="L187" s="2368"/>
    </row>
    <row r="188" spans="1:12" ht="27.75" customHeight="1">
      <c r="A188" s="505" t="s">
        <v>571</v>
      </c>
      <c r="B188" s="2386" t="s">
        <v>1125</v>
      </c>
      <c r="C188" s="2386"/>
      <c r="D188" s="2422"/>
      <c r="E188" s="2422"/>
      <c r="F188" s="2422"/>
      <c r="G188" s="503" t="s">
        <v>757</v>
      </c>
      <c r="H188" s="1172"/>
      <c r="I188" s="2364">
        <f>'BS old'!D118</f>
        <v>0</v>
      </c>
      <c r="J188" s="2366"/>
      <c r="K188" s="2364">
        <f>'BS old'!E118</f>
        <v>0</v>
      </c>
      <c r="L188" s="2368"/>
    </row>
    <row r="189" spans="1:12" ht="27.75" customHeight="1">
      <c r="A189" s="505" t="s">
        <v>758</v>
      </c>
      <c r="B189" s="2386" t="s">
        <v>1124</v>
      </c>
      <c r="C189" s="2386"/>
      <c r="D189" s="2422"/>
      <c r="E189" s="2422"/>
      <c r="F189" s="2422"/>
      <c r="G189" s="503" t="s">
        <v>760</v>
      </c>
      <c r="H189" s="1172"/>
      <c r="I189" s="2364">
        <f>'BS old'!D119</f>
        <v>0</v>
      </c>
      <c r="J189" s="2366"/>
      <c r="K189" s="2364">
        <f>'BS old'!E119</f>
        <v>0</v>
      </c>
      <c r="L189" s="2368"/>
    </row>
    <row r="190" spans="1:12" ht="27.75" customHeight="1">
      <c r="A190" s="505" t="s">
        <v>761</v>
      </c>
      <c r="B190" s="2386" t="s">
        <v>1123</v>
      </c>
      <c r="C190" s="2386"/>
      <c r="D190" s="2422"/>
      <c r="E190" s="2422"/>
      <c r="F190" s="2422"/>
      <c r="G190" s="503" t="s">
        <v>763</v>
      </c>
      <c r="H190" s="1172"/>
      <c r="I190" s="2364">
        <f>'BS old'!D120</f>
        <v>0</v>
      </c>
      <c r="J190" s="2366"/>
      <c r="K190" s="2364">
        <f>'BS old'!E120</f>
        <v>0</v>
      </c>
      <c r="L190" s="2368"/>
    </row>
    <row r="191" spans="1:12" ht="27.75" customHeight="1">
      <c r="A191" s="507" t="s">
        <v>631</v>
      </c>
      <c r="B191" s="2398" t="s">
        <v>1122</v>
      </c>
      <c r="C191" s="2398"/>
      <c r="D191" s="2423"/>
      <c r="E191" s="2423"/>
      <c r="F191" s="2423"/>
      <c r="G191" s="503" t="s">
        <v>765</v>
      </c>
      <c r="H191" s="1172"/>
      <c r="I191" s="2364">
        <f>'BS old'!D121</f>
        <v>0</v>
      </c>
      <c r="J191" s="2366"/>
      <c r="K191" s="2364">
        <f>'BS old'!E121</f>
        <v>0</v>
      </c>
      <c r="L191" s="2368"/>
    </row>
    <row r="192" spans="1:12" ht="27.75" customHeight="1">
      <c r="A192" s="505" t="s">
        <v>634</v>
      </c>
      <c r="B192" s="2386" t="s">
        <v>1121</v>
      </c>
      <c r="C192" s="2386"/>
      <c r="D192" s="2422"/>
      <c r="E192" s="2422"/>
      <c r="F192" s="2422"/>
      <c r="G192" s="503" t="s">
        <v>767</v>
      </c>
      <c r="H192" s="1172"/>
      <c r="I192" s="2364">
        <f>'BS old'!D122</f>
        <v>0</v>
      </c>
      <c r="J192" s="2366"/>
      <c r="K192" s="2364">
        <f>'BS old'!E122</f>
        <v>0</v>
      </c>
      <c r="L192" s="2368"/>
    </row>
    <row r="193" spans="1:12" ht="27.75" customHeight="1">
      <c r="A193" s="505" t="s">
        <v>532</v>
      </c>
      <c r="B193" s="2386" t="s">
        <v>1120</v>
      </c>
      <c r="C193" s="2386"/>
      <c r="D193" s="2422"/>
      <c r="E193" s="2422"/>
      <c r="F193" s="2422"/>
      <c r="G193" s="503" t="s">
        <v>768</v>
      </c>
      <c r="H193" s="1172"/>
      <c r="I193" s="2364">
        <f>'BS old'!D123</f>
        <v>0</v>
      </c>
      <c r="J193" s="2366"/>
      <c r="K193" s="2364">
        <f>'BS old'!E123</f>
        <v>0</v>
      </c>
      <c r="L193" s="2368"/>
    </row>
    <row r="194" spans="1:12" ht="27.75" customHeight="1">
      <c r="A194" s="505" t="s">
        <v>535</v>
      </c>
      <c r="B194" s="2386" t="s">
        <v>1119</v>
      </c>
      <c r="C194" s="2386"/>
      <c r="D194" s="2422"/>
      <c r="E194" s="2422"/>
      <c r="F194" s="2422"/>
      <c r="G194" s="503" t="s">
        <v>770</v>
      </c>
      <c r="H194" s="1172"/>
      <c r="I194" s="2364">
        <f>'BS old'!D124</f>
        <v>0</v>
      </c>
      <c r="J194" s="2366"/>
      <c r="K194" s="2364">
        <f>'BS old'!E124</f>
        <v>0</v>
      </c>
      <c r="L194" s="2368"/>
    </row>
    <row r="195" spans="1:12" s="450" customFormat="1" ht="27.75" customHeight="1">
      <c r="A195" s="505" t="s">
        <v>538</v>
      </c>
      <c r="B195" s="2386" t="s">
        <v>1118</v>
      </c>
      <c r="C195" s="2386"/>
      <c r="D195" s="2422"/>
      <c r="E195" s="2422"/>
      <c r="F195" s="2422"/>
      <c r="G195" s="503" t="s">
        <v>772</v>
      </c>
      <c r="H195" s="1172"/>
      <c r="I195" s="2364">
        <f>'BS old'!D125</f>
        <v>0</v>
      </c>
      <c r="J195" s="2366"/>
      <c r="K195" s="2364">
        <f>'BS old'!E125</f>
        <v>0</v>
      </c>
      <c r="L195" s="2368"/>
    </row>
    <row r="196" spans="1:12" ht="27.75" customHeight="1">
      <c r="A196" s="505" t="s">
        <v>541</v>
      </c>
      <c r="B196" s="2386" t="s">
        <v>1117</v>
      </c>
      <c r="C196" s="2386"/>
      <c r="D196" s="2422"/>
      <c r="E196" s="2422"/>
      <c r="F196" s="2422"/>
      <c r="G196" s="503" t="s">
        <v>774</v>
      </c>
      <c r="H196" s="1172"/>
      <c r="I196" s="2364">
        <f>'BS old'!D126</f>
        <v>0</v>
      </c>
      <c r="J196" s="2366"/>
      <c r="K196" s="2364">
        <f>'BS old'!E126</f>
        <v>0</v>
      </c>
      <c r="L196" s="2368"/>
    </row>
    <row r="197" spans="1:12" ht="27.75" customHeight="1">
      <c r="A197" s="505" t="s">
        <v>544</v>
      </c>
      <c r="B197" s="2386" t="s">
        <v>1116</v>
      </c>
      <c r="C197" s="2386"/>
      <c r="D197" s="2422"/>
      <c r="E197" s="2422"/>
      <c r="F197" s="2422"/>
      <c r="G197" s="503" t="s">
        <v>776</v>
      </c>
      <c r="H197" s="1172"/>
      <c r="I197" s="2364">
        <f>'BS old'!D127</f>
        <v>0</v>
      </c>
      <c r="J197" s="2366"/>
      <c r="K197" s="2364">
        <f>'BS old'!E127</f>
        <v>0</v>
      </c>
      <c r="L197" s="2368"/>
    </row>
    <row r="198" spans="1:12" ht="27.75" customHeight="1">
      <c r="A198" s="505" t="s">
        <v>547</v>
      </c>
      <c r="B198" s="2386" t="s">
        <v>1115</v>
      </c>
      <c r="C198" s="2386"/>
      <c r="D198" s="2422"/>
      <c r="E198" s="2422"/>
      <c r="F198" s="2422"/>
      <c r="G198" s="503" t="s">
        <v>778</v>
      </c>
      <c r="H198" s="1172"/>
      <c r="I198" s="2364">
        <f>'BS old'!D128</f>
        <v>0</v>
      </c>
      <c r="J198" s="2366"/>
      <c r="K198" s="2364">
        <f>'BS old'!E128</f>
        <v>0</v>
      </c>
      <c r="L198" s="2368"/>
    </row>
    <row r="199" spans="1:12" ht="27.75" customHeight="1">
      <c r="A199" s="505" t="s">
        <v>568</v>
      </c>
      <c r="B199" s="2386" t="s">
        <v>1114</v>
      </c>
      <c r="C199" s="2386"/>
      <c r="D199" s="2422"/>
      <c r="E199" s="2422"/>
      <c r="F199" s="2422"/>
      <c r="G199" s="503" t="s">
        <v>780</v>
      </c>
      <c r="H199" s="1172"/>
      <c r="I199" s="2364">
        <f>'BS old'!D129</f>
        <v>0</v>
      </c>
      <c r="J199" s="2366"/>
      <c r="K199" s="2364">
        <f>'BS old'!E129</f>
        <v>0</v>
      </c>
      <c r="L199" s="2368"/>
    </row>
    <row r="200" spans="1:12" ht="27.75" customHeight="1">
      <c r="A200" s="505" t="s">
        <v>571</v>
      </c>
      <c r="B200" s="2386" t="s">
        <v>1113</v>
      </c>
      <c r="C200" s="2386"/>
      <c r="D200" s="2422"/>
      <c r="E200" s="2422"/>
      <c r="F200" s="2422"/>
      <c r="G200" s="503" t="s">
        <v>782</v>
      </c>
      <c r="H200" s="1172"/>
      <c r="I200" s="2364">
        <f>'BS old'!D130</f>
        <v>0</v>
      </c>
      <c r="J200" s="2366"/>
      <c r="K200" s="2364">
        <f>'BS old'!E130</f>
        <v>0</v>
      </c>
      <c r="L200" s="2368"/>
    </row>
    <row r="201" spans="1:12" ht="27.75" customHeight="1">
      <c r="A201" s="505" t="s">
        <v>758</v>
      </c>
      <c r="B201" s="2386" t="s">
        <v>1112</v>
      </c>
      <c r="C201" s="2386"/>
      <c r="D201" s="2422"/>
      <c r="E201" s="2422"/>
      <c r="F201" s="2422"/>
      <c r="G201" s="503" t="s">
        <v>784</v>
      </c>
      <c r="H201" s="1172"/>
      <c r="I201" s="2364">
        <f>'BS old'!D131</f>
        <v>0</v>
      </c>
      <c r="J201" s="2366"/>
      <c r="K201" s="2364">
        <f>'BS old'!E131</f>
        <v>0</v>
      </c>
      <c r="L201" s="2368"/>
    </row>
    <row r="202" spans="1:12" ht="27.75" customHeight="1">
      <c r="A202" s="507" t="s">
        <v>649</v>
      </c>
      <c r="B202" s="2398" t="s">
        <v>1111</v>
      </c>
      <c r="C202" s="2398"/>
      <c r="D202" s="2423"/>
      <c r="E202" s="2423"/>
      <c r="F202" s="2423"/>
      <c r="G202" s="503" t="s">
        <v>786</v>
      </c>
      <c r="H202" s="1172"/>
      <c r="I202" s="2364">
        <f>'BS old'!D132</f>
        <v>0</v>
      </c>
      <c r="J202" s="2366"/>
      <c r="K202" s="2364">
        <f>'BS old'!E132</f>
        <v>0</v>
      </c>
      <c r="L202" s="2368"/>
    </row>
    <row r="203" spans="1:12" ht="27.75" customHeight="1">
      <c r="A203" s="508" t="s">
        <v>787</v>
      </c>
      <c r="B203" s="2398" t="s">
        <v>1110</v>
      </c>
      <c r="C203" s="2398"/>
      <c r="D203" s="2423"/>
      <c r="E203" s="2423"/>
      <c r="F203" s="2423"/>
      <c r="G203" s="503" t="s">
        <v>789</v>
      </c>
      <c r="H203" s="1172"/>
      <c r="I203" s="2364">
        <f>'BS old'!D133</f>
        <v>0</v>
      </c>
      <c r="J203" s="2366"/>
      <c r="K203" s="2364">
        <f>'BS old'!E133</f>
        <v>0</v>
      </c>
      <c r="L203" s="2368"/>
    </row>
    <row r="204" spans="1:12" ht="27.75" customHeight="1">
      <c r="A204" s="505" t="s">
        <v>790</v>
      </c>
      <c r="B204" s="2398" t="s">
        <v>1109</v>
      </c>
      <c r="C204" s="2398"/>
      <c r="D204" s="2423"/>
      <c r="E204" s="2423"/>
      <c r="F204" s="2423"/>
      <c r="G204" s="503" t="s">
        <v>792</v>
      </c>
      <c r="H204" s="1172"/>
      <c r="I204" s="2364">
        <f>'BS old'!D134</f>
        <v>0</v>
      </c>
      <c r="J204" s="2366"/>
      <c r="K204" s="2364">
        <f>'BS old'!E134</f>
        <v>0</v>
      </c>
      <c r="L204" s="2368"/>
    </row>
    <row r="205" spans="1:12" s="450" customFormat="1" ht="27.75" customHeight="1">
      <c r="A205" s="505" t="s">
        <v>532</v>
      </c>
      <c r="B205" s="2386" t="s">
        <v>1108</v>
      </c>
      <c r="C205" s="2386"/>
      <c r="D205" s="2422"/>
      <c r="E205" s="2422"/>
      <c r="F205" s="2422"/>
      <c r="G205" s="503" t="s">
        <v>794</v>
      </c>
      <c r="H205" s="1172"/>
      <c r="I205" s="2364">
        <f>'BS old'!D135</f>
        <v>0</v>
      </c>
      <c r="J205" s="2366"/>
      <c r="K205" s="2364">
        <f>'BS old'!E135</f>
        <v>0</v>
      </c>
      <c r="L205" s="2368"/>
    </row>
    <row r="206" spans="1:12" ht="27.75" customHeight="1">
      <c r="A206" s="507" t="s">
        <v>663</v>
      </c>
      <c r="B206" s="2398" t="s">
        <v>1107</v>
      </c>
      <c r="C206" s="2398"/>
      <c r="D206" s="2423"/>
      <c r="E206" s="2423"/>
      <c r="F206" s="2423"/>
      <c r="G206" s="503" t="s">
        <v>796</v>
      </c>
      <c r="H206" s="1172"/>
      <c r="I206" s="2364">
        <f>'BS old'!D136</f>
        <v>0</v>
      </c>
      <c r="J206" s="2366"/>
      <c r="K206" s="2364">
        <f>'BS old'!E136</f>
        <v>0</v>
      </c>
      <c r="L206" s="2368"/>
    </row>
    <row r="207" spans="1:12" ht="27.75" customHeight="1">
      <c r="A207" s="506" t="s">
        <v>666</v>
      </c>
      <c r="B207" s="2386" t="s">
        <v>1106</v>
      </c>
      <c r="C207" s="2386"/>
      <c r="D207" s="2422"/>
      <c r="E207" s="2422"/>
      <c r="F207" s="2422"/>
      <c r="G207" s="503" t="s">
        <v>798</v>
      </c>
      <c r="H207" s="1172"/>
      <c r="I207" s="2364">
        <f>'BS old'!D137</f>
        <v>0</v>
      </c>
      <c r="J207" s="2366"/>
      <c r="K207" s="2364">
        <f>'BS old'!E137</f>
        <v>0</v>
      </c>
      <c r="L207" s="2368"/>
    </row>
    <row r="208" spans="1:12" ht="27.75" customHeight="1">
      <c r="A208" s="505" t="s">
        <v>532</v>
      </c>
      <c r="B208" s="2386" t="s">
        <v>1105</v>
      </c>
      <c r="C208" s="2386"/>
      <c r="D208" s="2422"/>
      <c r="E208" s="2422"/>
      <c r="F208" s="2422"/>
      <c r="G208" s="503" t="s">
        <v>800</v>
      </c>
      <c r="H208" s="1172"/>
      <c r="I208" s="2364">
        <f>'BS old'!D138</f>
        <v>0</v>
      </c>
      <c r="J208" s="2366"/>
      <c r="K208" s="2364">
        <f>'BS old'!E138</f>
        <v>0</v>
      </c>
      <c r="L208" s="2368"/>
    </row>
    <row r="209" spans="1:12" s="450" customFormat="1" ht="27.75" customHeight="1">
      <c r="A209" s="505" t="s">
        <v>535</v>
      </c>
      <c r="B209" s="2386" t="s">
        <v>1104</v>
      </c>
      <c r="C209" s="2386"/>
      <c r="D209" s="2422"/>
      <c r="E209" s="2422"/>
      <c r="F209" s="2422"/>
      <c r="G209" s="503" t="s">
        <v>802</v>
      </c>
      <c r="H209" s="1172"/>
      <c r="I209" s="2364">
        <f>'BS old'!D139</f>
        <v>0</v>
      </c>
      <c r="J209" s="2366"/>
      <c r="K209" s="2364">
        <f>'BS old'!E139</f>
        <v>0</v>
      </c>
      <c r="L209" s="2368"/>
    </row>
    <row r="210" spans="1:12" ht="27.75" customHeight="1" thickBot="1">
      <c r="A210" s="504" t="s">
        <v>538</v>
      </c>
      <c r="B210" s="2426" t="s">
        <v>1103</v>
      </c>
      <c r="C210" s="2426"/>
      <c r="D210" s="2427"/>
      <c r="E210" s="2427"/>
      <c r="F210" s="2427"/>
      <c r="G210" s="503" t="s">
        <v>804</v>
      </c>
      <c r="H210" s="1172"/>
      <c r="I210" s="2364">
        <f>'BS old'!D140</f>
        <v>0</v>
      </c>
      <c r="J210" s="2366"/>
      <c r="K210" s="2364">
        <f>'BS old'!E140</f>
        <v>0</v>
      </c>
      <c r="L210" s="2368"/>
    </row>
    <row r="211" spans="1:12" ht="24.75" customHeight="1"/>
    <row r="212" spans="1:12" ht="24.75" customHeight="1"/>
    <row r="213" spans="1:12" ht="24.75" customHeight="1"/>
  </sheetData>
  <mergeCells count="700">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I81:K81"/>
    <mergeCell ref="J80:L80"/>
    <mergeCell ref="I87:K87"/>
    <mergeCell ref="J86:L86"/>
    <mergeCell ref="I85:K85"/>
    <mergeCell ref="J84:L84"/>
    <mergeCell ref="E68:G68"/>
    <mergeCell ref="E89:G89"/>
    <mergeCell ref="I91:K91"/>
    <mergeCell ref="I77:K77"/>
    <mergeCell ref="J76:L76"/>
    <mergeCell ref="I75:K75"/>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A15:A16"/>
    <mergeCell ref="B15:B16"/>
    <mergeCell ref="A13:A14"/>
    <mergeCell ref="B13:B14"/>
    <mergeCell ref="A11:A12"/>
    <mergeCell ref="B11:B12"/>
    <mergeCell ref="A4:A6"/>
    <mergeCell ref="B4:B6"/>
    <mergeCell ref="A7:A8"/>
    <mergeCell ref="B7:B8"/>
    <mergeCell ref="A9:A10"/>
    <mergeCell ref="B9:B10"/>
    <mergeCell ref="A31:A32"/>
    <mergeCell ref="A29:A30"/>
    <mergeCell ref="B29:B30"/>
    <mergeCell ref="B31:B32"/>
    <mergeCell ref="A23:A24"/>
    <mergeCell ref="E24:G24"/>
    <mergeCell ref="E23:G23"/>
    <mergeCell ref="B21:B22"/>
    <mergeCell ref="B19:B20"/>
    <mergeCell ref="E22:G22"/>
    <mergeCell ref="B23:B24"/>
    <mergeCell ref="C21:D22"/>
    <mergeCell ref="C23:D24"/>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77:A78"/>
    <mergeCell ref="B77:B78"/>
    <mergeCell ref="D77:D78"/>
    <mergeCell ref="E77:G77"/>
    <mergeCell ref="E78:G78"/>
    <mergeCell ref="A75:A76"/>
    <mergeCell ref="B75:B76"/>
    <mergeCell ref="D75:D76"/>
    <mergeCell ref="E75:G75"/>
    <mergeCell ref="E76:G76"/>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116:A117"/>
    <mergeCell ref="B116:B117"/>
    <mergeCell ref="D116:D117"/>
    <mergeCell ref="A137:A138"/>
    <mergeCell ref="B137:B138"/>
    <mergeCell ref="A131:A132"/>
    <mergeCell ref="B135:B136"/>
    <mergeCell ref="B139:B140"/>
    <mergeCell ref="D139:D140"/>
    <mergeCell ref="B120:B121"/>
    <mergeCell ref="A126:A127"/>
    <mergeCell ref="A135:A136"/>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B143:B144"/>
    <mergeCell ref="D143:D144"/>
    <mergeCell ref="E140:G140"/>
    <mergeCell ref="E144:G144"/>
    <mergeCell ref="E143:G143"/>
    <mergeCell ref="E134:G134"/>
    <mergeCell ref="E135:G135"/>
    <mergeCell ref="E138:G138"/>
    <mergeCell ref="D137:D138"/>
    <mergeCell ref="E137:G137"/>
    <mergeCell ref="E142:G142"/>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E147:G147"/>
    <mergeCell ref="E145:G145"/>
    <mergeCell ref="A145:A146"/>
    <mergeCell ref="B145:B146"/>
    <mergeCell ref="D145:D146"/>
    <mergeCell ref="A147:A148"/>
    <mergeCell ref="B147:B148"/>
    <mergeCell ref="D147:D148"/>
    <mergeCell ref="E148:G148"/>
    <mergeCell ref="E146:G146"/>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I154:J154"/>
    <mergeCell ref="I155:J155"/>
    <mergeCell ref="I156:J156"/>
    <mergeCell ref="I149:J149"/>
    <mergeCell ref="I150:J150"/>
    <mergeCell ref="I151:J151"/>
    <mergeCell ref="I152:J152"/>
    <mergeCell ref="I161:J161"/>
    <mergeCell ref="I162:J162"/>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86:J186"/>
    <mergeCell ref="I187:J187"/>
    <mergeCell ref="I188:J188"/>
    <mergeCell ref="I189:J189"/>
    <mergeCell ref="I193:J193"/>
    <mergeCell ref="I182:J182"/>
    <mergeCell ref="I183:J183"/>
    <mergeCell ref="I184:J184"/>
    <mergeCell ref="I185:J185"/>
    <mergeCell ref="I195:J195"/>
    <mergeCell ref="I196:J196"/>
    <mergeCell ref="I197:J197"/>
    <mergeCell ref="I198:J198"/>
    <mergeCell ref="I190:J190"/>
    <mergeCell ref="I191:J191"/>
    <mergeCell ref="I192:J192"/>
    <mergeCell ref="I194:J194"/>
    <mergeCell ref="I209:J209"/>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K166:L166"/>
    <mergeCell ref="K167:L167"/>
    <mergeCell ref="K168:L168"/>
    <mergeCell ref="K161:L161"/>
    <mergeCell ref="K162:L162"/>
    <mergeCell ref="K163:L163"/>
    <mergeCell ref="K164:L164"/>
    <mergeCell ref="K173:L173"/>
    <mergeCell ref="K174:L174"/>
    <mergeCell ref="K175:L175"/>
    <mergeCell ref="K176:L176"/>
    <mergeCell ref="K181:L181"/>
    <mergeCell ref="K169:L169"/>
    <mergeCell ref="K170:L170"/>
    <mergeCell ref="K171:L171"/>
    <mergeCell ref="K172:L172"/>
    <mergeCell ref="K182:L182"/>
    <mergeCell ref="K183:L183"/>
    <mergeCell ref="K184:L184"/>
    <mergeCell ref="K185:L185"/>
    <mergeCell ref="K177:L177"/>
    <mergeCell ref="K178:L178"/>
    <mergeCell ref="K179:L179"/>
    <mergeCell ref="K180:L180"/>
    <mergeCell ref="K190:L190"/>
    <mergeCell ref="K191:L191"/>
    <mergeCell ref="K192:L192"/>
    <mergeCell ref="K194:L194"/>
    <mergeCell ref="K186:L186"/>
    <mergeCell ref="K187:L187"/>
    <mergeCell ref="K188:L188"/>
    <mergeCell ref="K189:L189"/>
    <mergeCell ref="K193:L193"/>
    <mergeCell ref="K199:L199"/>
    <mergeCell ref="K200:L200"/>
    <mergeCell ref="K207:L207"/>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796875" defaultRowHeight="9.5"/>
  <cols>
    <col min="1" max="1" width="4.453125" style="535" customWidth="1"/>
    <col min="2" max="2" width="37.54296875" style="535" customWidth="1"/>
    <col min="3" max="3" width="1.453125" style="535" customWidth="1"/>
    <col min="4" max="4" width="6.453125" style="535" customWidth="1"/>
    <col min="5" max="6" width="29.54296875" style="535" customWidth="1"/>
    <col min="7" max="16384" width="9.1796875" style="535"/>
  </cols>
  <sheetData>
    <row r="1" spans="1:10" s="502" customFormat="1" ht="7.5" customHeight="1">
      <c r="A1" s="501"/>
      <c r="G1" s="445"/>
      <c r="H1" s="445"/>
    </row>
    <row r="2" spans="1:10" s="502" customFormat="1" ht="17.25" customHeight="1">
      <c r="A2" s="501"/>
      <c r="B2" s="526" t="s">
        <v>1232</v>
      </c>
      <c r="C2" s="445"/>
      <c r="D2" s="525" t="s">
        <v>1231</v>
      </c>
      <c r="E2" s="581"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row>
    <row r="3" spans="1:10" s="502" customFormat="1" ht="7.5" customHeight="1" thickBot="1">
      <c r="A3" s="501"/>
      <c r="B3" s="580"/>
      <c r="C3" s="445"/>
    </row>
    <row r="4" spans="1:10" s="560" customFormat="1" ht="11.25" customHeight="1">
      <c r="A4" s="579"/>
      <c r="B4" s="578"/>
      <c r="C4" s="577"/>
      <c r="D4" s="576"/>
      <c r="E4" s="2416" t="s">
        <v>1299</v>
      </c>
      <c r="F4" s="2440"/>
    </row>
    <row r="5" spans="1:10" s="560" customFormat="1" ht="33.75" customHeight="1">
      <c r="A5" s="575" t="s">
        <v>1137</v>
      </c>
      <c r="B5" s="574" t="s">
        <v>1298</v>
      </c>
      <c r="C5" s="573"/>
      <c r="D5" s="572" t="s">
        <v>1135</v>
      </c>
      <c r="E5" s="571" t="s">
        <v>1297</v>
      </c>
      <c r="F5" s="570" t="s">
        <v>1296</v>
      </c>
    </row>
    <row r="6" spans="1:10" s="560" customFormat="1" ht="29.65" customHeight="1">
      <c r="A6" s="506" t="s">
        <v>813</v>
      </c>
      <c r="B6" s="541" t="s">
        <v>1295</v>
      </c>
      <c r="C6" s="540"/>
      <c r="D6" s="503" t="s">
        <v>814</v>
      </c>
      <c r="E6" s="539">
        <f>'P&amp;L old'!D9</f>
        <v>0</v>
      </c>
      <c r="F6" s="539">
        <f>'P&amp;L old'!E9</f>
        <v>0</v>
      </c>
    </row>
    <row r="7" spans="1:10" s="560" customFormat="1" ht="29.65" customHeight="1">
      <c r="A7" s="506" t="s">
        <v>815</v>
      </c>
      <c r="B7" s="541" t="s">
        <v>1294</v>
      </c>
      <c r="C7" s="540"/>
      <c r="D7" s="503" t="s">
        <v>817</v>
      </c>
      <c r="E7" s="604">
        <f>'P&amp;L old'!D10</f>
        <v>0</v>
      </c>
      <c r="F7" s="539">
        <f>'P&amp;L old'!E10</f>
        <v>0</v>
      </c>
    </row>
    <row r="8" spans="1:10" s="565" customFormat="1" ht="29.65" customHeight="1">
      <c r="A8" s="507" t="s">
        <v>818</v>
      </c>
      <c r="B8" s="543" t="s">
        <v>1293</v>
      </c>
      <c r="C8" s="542"/>
      <c r="D8" s="513" t="s">
        <v>820</v>
      </c>
      <c r="E8" s="604">
        <f>'P&amp;L old'!D11</f>
        <v>0</v>
      </c>
      <c r="F8" s="539">
        <f>'P&amp;L old'!E11</f>
        <v>0</v>
      </c>
    </row>
    <row r="9" spans="1:10" s="565" customFormat="1" ht="29.65" customHeight="1">
      <c r="A9" s="507" t="s">
        <v>821</v>
      </c>
      <c r="B9" s="543" t="s">
        <v>1292</v>
      </c>
      <c r="C9" s="542"/>
      <c r="D9" s="513" t="s">
        <v>823</v>
      </c>
      <c r="E9" s="604">
        <f>'P&amp;L old'!D12</f>
        <v>0</v>
      </c>
      <c r="F9" s="539">
        <f>'P&amp;L old'!E12</f>
        <v>0</v>
      </c>
    </row>
    <row r="10" spans="1:10" s="560" customFormat="1" ht="29.65" customHeight="1">
      <c r="A10" s="505" t="s">
        <v>824</v>
      </c>
      <c r="B10" s="541" t="s">
        <v>1291</v>
      </c>
      <c r="C10" s="540"/>
      <c r="D10" s="503" t="s">
        <v>826</v>
      </c>
      <c r="E10" s="604">
        <f>'P&amp;L old'!D13</f>
        <v>0</v>
      </c>
      <c r="F10" s="539">
        <f>'P&amp;L old'!E13</f>
        <v>0</v>
      </c>
    </row>
    <row r="11" spans="1:10" s="560" customFormat="1" ht="29.65" customHeight="1">
      <c r="A11" s="505" t="s">
        <v>532</v>
      </c>
      <c r="B11" s="541" t="s">
        <v>1290</v>
      </c>
      <c r="C11" s="540"/>
      <c r="D11" s="503" t="s">
        <v>828</v>
      </c>
      <c r="E11" s="604">
        <f>'P&amp;L old'!D14</f>
        <v>0</v>
      </c>
      <c r="F11" s="539">
        <f>'P&amp;L old'!E14</f>
        <v>0</v>
      </c>
    </row>
    <row r="12" spans="1:10" s="560" customFormat="1" ht="29.65" customHeight="1">
      <c r="A12" s="505" t="s">
        <v>535</v>
      </c>
      <c r="B12" s="541" t="s">
        <v>1289</v>
      </c>
      <c r="C12" s="540"/>
      <c r="D12" s="503" t="s">
        <v>830</v>
      </c>
      <c r="E12" s="604">
        <f>'P&amp;L old'!D15</f>
        <v>0</v>
      </c>
      <c r="F12" s="539">
        <f>'P&amp;L old'!E15</f>
        <v>0</v>
      </c>
    </row>
    <row r="13" spans="1:10" s="565" customFormat="1" ht="29.65" customHeight="1">
      <c r="A13" s="507" t="s">
        <v>594</v>
      </c>
      <c r="B13" s="543" t="s">
        <v>1288</v>
      </c>
      <c r="C13" s="542"/>
      <c r="D13" s="513" t="s">
        <v>832</v>
      </c>
      <c r="E13" s="604">
        <f>'P&amp;L old'!D16</f>
        <v>0</v>
      </c>
      <c r="F13" s="539">
        <f>'P&amp;L old'!E16</f>
        <v>0</v>
      </c>
      <c r="J13" s="560"/>
    </row>
    <row r="14" spans="1:10" s="560" customFormat="1" ht="29.65" customHeight="1">
      <c r="A14" s="506" t="s">
        <v>833</v>
      </c>
      <c r="B14" s="541" t="s">
        <v>1287</v>
      </c>
      <c r="C14" s="540"/>
      <c r="D14" s="503" t="s">
        <v>835</v>
      </c>
      <c r="E14" s="604">
        <f>'P&amp;L old'!D17</f>
        <v>0</v>
      </c>
      <c r="F14" s="539">
        <f>'P&amp;L old'!E17</f>
        <v>0</v>
      </c>
    </row>
    <row r="15" spans="1:10" s="560" customFormat="1" ht="29.65" customHeight="1">
      <c r="A15" s="506" t="s">
        <v>836</v>
      </c>
      <c r="B15" s="541" t="s">
        <v>1286</v>
      </c>
      <c r="C15" s="540"/>
      <c r="D15" s="503" t="s">
        <v>838</v>
      </c>
      <c r="E15" s="604">
        <f>'P&amp;L old'!D18</f>
        <v>0</v>
      </c>
      <c r="F15" s="539">
        <f>'P&amp;L old'!E18</f>
        <v>0</v>
      </c>
    </row>
    <row r="16" spans="1:10" s="565" customFormat="1" ht="29.65" customHeight="1">
      <c r="A16" s="507" t="s">
        <v>818</v>
      </c>
      <c r="B16" s="543" t="s">
        <v>1285</v>
      </c>
      <c r="C16" s="542"/>
      <c r="D16" s="513" t="s">
        <v>840</v>
      </c>
      <c r="E16" s="604">
        <f>'P&amp;L old'!D19</f>
        <v>0</v>
      </c>
      <c r="F16" s="539">
        <f>'P&amp;L old'!E19</f>
        <v>0</v>
      </c>
    </row>
    <row r="17" spans="1:6" s="560" customFormat="1" ht="29.65" customHeight="1">
      <c r="A17" s="506" t="s">
        <v>663</v>
      </c>
      <c r="B17" s="541" t="s">
        <v>1284</v>
      </c>
      <c r="C17" s="540"/>
      <c r="D17" s="503" t="s">
        <v>842</v>
      </c>
      <c r="E17" s="604">
        <f>'P&amp;L old'!D20</f>
        <v>0</v>
      </c>
      <c r="F17" s="539">
        <f>'P&amp;L old'!E20</f>
        <v>0</v>
      </c>
    </row>
    <row r="18" spans="1:6" s="560" customFormat="1" ht="29.65" customHeight="1">
      <c r="A18" s="506" t="s">
        <v>666</v>
      </c>
      <c r="B18" s="541" t="s">
        <v>1283</v>
      </c>
      <c r="C18" s="540"/>
      <c r="D18" s="503" t="s">
        <v>844</v>
      </c>
      <c r="E18" s="604">
        <f>'P&amp;L old'!D21</f>
        <v>0</v>
      </c>
      <c r="F18" s="539">
        <f>'P&amp;L old'!E21</f>
        <v>0</v>
      </c>
    </row>
    <row r="19" spans="1:6" s="560" customFormat="1" ht="29.65" customHeight="1">
      <c r="A19" s="506" t="s">
        <v>836</v>
      </c>
      <c r="B19" s="541" t="s">
        <v>1282</v>
      </c>
      <c r="C19" s="540"/>
      <c r="D19" s="503" t="s">
        <v>846</v>
      </c>
      <c r="E19" s="604">
        <f>'P&amp;L old'!D22</f>
        <v>0</v>
      </c>
      <c r="F19" s="539">
        <f>'P&amp;L old'!E22</f>
        <v>0</v>
      </c>
    </row>
    <row r="20" spans="1:6" s="560" customFormat="1" ht="29.65" customHeight="1">
      <c r="A20" s="506" t="s">
        <v>847</v>
      </c>
      <c r="B20" s="541" t="s">
        <v>1281</v>
      </c>
      <c r="C20" s="540"/>
      <c r="D20" s="503" t="s">
        <v>849</v>
      </c>
      <c r="E20" s="604">
        <f>'P&amp;L old'!D23</f>
        <v>0</v>
      </c>
      <c r="F20" s="539">
        <f>'P&amp;L old'!E23</f>
        <v>0</v>
      </c>
    </row>
    <row r="21" spans="1:6" s="560" customFormat="1" ht="29.65" customHeight="1">
      <c r="A21" s="506" t="s">
        <v>850</v>
      </c>
      <c r="B21" s="541" t="s">
        <v>1280</v>
      </c>
      <c r="C21" s="540"/>
      <c r="D21" s="503" t="s">
        <v>852</v>
      </c>
      <c r="E21" s="604">
        <f>'P&amp;L old'!D24</f>
        <v>0</v>
      </c>
      <c r="F21" s="539">
        <f>'P&amp;L old'!E24</f>
        <v>0</v>
      </c>
    </row>
    <row r="22" spans="1:6" s="560" customFormat="1" ht="29.65" customHeight="1">
      <c r="A22" s="506" t="s">
        <v>853</v>
      </c>
      <c r="B22" s="541" t="s">
        <v>1279</v>
      </c>
      <c r="C22" s="540"/>
      <c r="D22" s="503" t="s">
        <v>855</v>
      </c>
      <c r="E22" s="604">
        <f>'P&amp;L old'!D25</f>
        <v>0</v>
      </c>
      <c r="F22" s="539">
        <f>'P&amp;L old'!E25</f>
        <v>0</v>
      </c>
    </row>
    <row r="23" spans="1:6" s="560" customFormat="1" ht="29.65" customHeight="1">
      <c r="A23" s="506" t="s">
        <v>856</v>
      </c>
      <c r="B23" s="541" t="s">
        <v>1278</v>
      </c>
      <c r="C23" s="540"/>
      <c r="D23" s="503" t="s">
        <v>858</v>
      </c>
      <c r="E23" s="604">
        <f>'P&amp;L old'!D26</f>
        <v>0</v>
      </c>
      <c r="F23" s="539">
        <f>'P&amp;L old'!E26</f>
        <v>0</v>
      </c>
    </row>
    <row r="24" spans="1:6" s="560" customFormat="1" ht="29.65" customHeight="1">
      <c r="A24" s="506" t="s">
        <v>859</v>
      </c>
      <c r="B24" s="541" t="s">
        <v>1277</v>
      </c>
      <c r="C24" s="540"/>
      <c r="D24" s="503" t="s">
        <v>861</v>
      </c>
      <c r="E24" s="604">
        <f>'P&amp;L old'!D27</f>
        <v>0</v>
      </c>
      <c r="F24" s="539">
        <f>'P&amp;L old'!E27</f>
        <v>0</v>
      </c>
    </row>
    <row r="25" spans="1:6" s="560" customFormat="1" ht="29.65" customHeight="1">
      <c r="A25" s="506" t="s">
        <v>862</v>
      </c>
      <c r="B25" s="541" t="s">
        <v>1276</v>
      </c>
      <c r="C25" s="540"/>
      <c r="D25" s="503" t="s">
        <v>864</v>
      </c>
      <c r="E25" s="604">
        <f>'P&amp;L old'!D28</f>
        <v>0</v>
      </c>
      <c r="F25" s="539">
        <f>'P&amp;L old'!E28</f>
        <v>0</v>
      </c>
    </row>
    <row r="26" spans="1:6" s="560" customFormat="1" ht="29.65" customHeight="1">
      <c r="A26" s="506" t="s">
        <v>865</v>
      </c>
      <c r="B26" s="569" t="s">
        <v>1275</v>
      </c>
      <c r="C26" s="568"/>
      <c r="D26" s="503" t="s">
        <v>867</v>
      </c>
      <c r="E26" s="604">
        <f>'P&amp;L old'!D29</f>
        <v>0</v>
      </c>
      <c r="F26" s="539">
        <f>'P&amp;L old'!E29</f>
        <v>0</v>
      </c>
    </row>
    <row r="27" spans="1:6" s="560" customFormat="1" ht="29.65" customHeight="1">
      <c r="A27" s="506" t="s">
        <v>868</v>
      </c>
      <c r="B27" s="541" t="s">
        <v>1274</v>
      </c>
      <c r="C27" s="540"/>
      <c r="D27" s="503" t="s">
        <v>870</v>
      </c>
      <c r="E27" s="604">
        <f>'P&amp;L old'!D30</f>
        <v>0</v>
      </c>
      <c r="F27" s="539">
        <f>'P&amp;L old'!E30</f>
        <v>0</v>
      </c>
    </row>
    <row r="28" spans="1:6" s="560" customFormat="1" ht="29.65" customHeight="1">
      <c r="A28" s="506" t="s">
        <v>871</v>
      </c>
      <c r="B28" s="569" t="s">
        <v>1273</v>
      </c>
      <c r="C28" s="568"/>
      <c r="D28" s="503" t="s">
        <v>873</v>
      </c>
      <c r="E28" s="604">
        <f>'P&amp;L old'!D31</f>
        <v>0</v>
      </c>
      <c r="F28" s="539">
        <f>'P&amp;L old'!E31</f>
        <v>0</v>
      </c>
    </row>
    <row r="29" spans="1:6" s="560" customFormat="1" ht="29.65" customHeight="1">
      <c r="A29" s="506" t="s">
        <v>874</v>
      </c>
      <c r="B29" s="541" t="s">
        <v>1272</v>
      </c>
      <c r="C29" s="540"/>
      <c r="D29" s="503" t="s">
        <v>876</v>
      </c>
      <c r="E29" s="604">
        <f>'P&amp;L old'!D32</f>
        <v>0</v>
      </c>
      <c r="F29" s="539">
        <f>'P&amp;L old'!E32</f>
        <v>0</v>
      </c>
    </row>
    <row r="30" spans="1:6" s="560" customFormat="1" ht="29.65" customHeight="1">
      <c r="A30" s="506" t="s">
        <v>877</v>
      </c>
      <c r="B30" s="541" t="s">
        <v>1271</v>
      </c>
      <c r="C30" s="540"/>
      <c r="D30" s="503" t="s">
        <v>879</v>
      </c>
      <c r="E30" s="604">
        <f>'P&amp;L old'!D33</f>
        <v>0</v>
      </c>
      <c r="F30" s="539">
        <f>'P&amp;L old'!E33</f>
        <v>0</v>
      </c>
    </row>
    <row r="31" spans="1:6" s="565" customFormat="1" ht="33.75" customHeight="1">
      <c r="A31" s="507" t="s">
        <v>880</v>
      </c>
      <c r="B31" s="567" t="s">
        <v>1270</v>
      </c>
      <c r="C31" s="566"/>
      <c r="D31" s="513" t="s">
        <v>882</v>
      </c>
      <c r="E31" s="604">
        <f>'P&amp;L old'!D34</f>
        <v>0</v>
      </c>
      <c r="F31" s="539">
        <f>'P&amp;L old'!E34</f>
        <v>0</v>
      </c>
    </row>
    <row r="32" spans="1:6" s="560" customFormat="1" ht="29.65" customHeight="1" thickBot="1">
      <c r="A32" s="564" t="s">
        <v>883</v>
      </c>
      <c r="B32" s="563" t="s">
        <v>1269</v>
      </c>
      <c r="C32" s="562"/>
      <c r="D32" s="561" t="s">
        <v>885</v>
      </c>
      <c r="E32" s="604">
        <f>'P&amp;L old'!D35</f>
        <v>0</v>
      </c>
      <c r="F32" s="539">
        <f>'P&amp;L old'!E35</f>
        <v>0</v>
      </c>
    </row>
    <row r="33" spans="1:6" ht="24.75" customHeight="1">
      <c r="A33" s="552" t="s">
        <v>886</v>
      </c>
      <c r="B33" s="551" t="s">
        <v>1268</v>
      </c>
      <c r="C33" s="550"/>
      <c r="D33" s="549" t="s">
        <v>888</v>
      </c>
      <c r="E33" s="604">
        <f>'P&amp;L old'!D36</f>
        <v>0</v>
      </c>
      <c r="F33" s="539">
        <f>'P&amp;L old'!E36</f>
        <v>0</v>
      </c>
    </row>
    <row r="34" spans="1:6" ht="31" customHeight="1">
      <c r="A34" s="552" t="s">
        <v>889</v>
      </c>
      <c r="B34" s="559" t="s">
        <v>1267</v>
      </c>
      <c r="C34" s="558"/>
      <c r="D34" s="549" t="s">
        <v>891</v>
      </c>
      <c r="E34" s="604">
        <f>'P&amp;L old'!D37</f>
        <v>0</v>
      </c>
      <c r="F34" s="539">
        <f>'P&amp;L old'!E37</f>
        <v>0</v>
      </c>
    </row>
    <row r="35" spans="1:6" ht="36.75" customHeight="1">
      <c r="A35" s="506" t="s">
        <v>892</v>
      </c>
      <c r="B35" s="541" t="s">
        <v>1266</v>
      </c>
      <c r="C35" s="540"/>
      <c r="D35" s="503" t="s">
        <v>894</v>
      </c>
      <c r="E35" s="604">
        <f>'P&amp;L old'!D38</f>
        <v>0</v>
      </c>
      <c r="F35" s="539">
        <f>'P&amp;L old'!E38</f>
        <v>0</v>
      </c>
    </row>
    <row r="36" spans="1:6" ht="31" customHeight="1">
      <c r="A36" s="506" t="s">
        <v>895</v>
      </c>
      <c r="B36" s="541" t="s">
        <v>1265</v>
      </c>
      <c r="C36" s="540"/>
      <c r="D36" s="503" t="s">
        <v>897</v>
      </c>
      <c r="E36" s="604">
        <f>'P&amp;L old'!D39</f>
        <v>0</v>
      </c>
      <c r="F36" s="539">
        <f>'P&amp;L old'!E39</f>
        <v>0</v>
      </c>
    </row>
    <row r="37" spans="1:6" ht="30" customHeight="1">
      <c r="A37" s="506" t="s">
        <v>898</v>
      </c>
      <c r="B37" s="541" t="s">
        <v>1264</v>
      </c>
      <c r="C37" s="540"/>
      <c r="D37" s="503" t="s">
        <v>900</v>
      </c>
      <c r="E37" s="604">
        <f>'P&amp;L old'!D40</f>
        <v>0</v>
      </c>
      <c r="F37" s="539">
        <f>'P&amp;L old'!E40</f>
        <v>0</v>
      </c>
    </row>
    <row r="38" spans="1:6" ht="26.25" customHeight="1">
      <c r="A38" s="506" t="s">
        <v>901</v>
      </c>
      <c r="B38" s="541" t="s">
        <v>1263</v>
      </c>
      <c r="C38" s="540"/>
      <c r="D38" s="503" t="s">
        <v>903</v>
      </c>
      <c r="E38" s="604">
        <f>'P&amp;L old'!D41</f>
        <v>0</v>
      </c>
      <c r="F38" s="539">
        <f>'P&amp;L old'!E41</f>
        <v>0</v>
      </c>
    </row>
    <row r="39" spans="1:6" ht="22.5" customHeight="1">
      <c r="A39" s="506" t="s">
        <v>904</v>
      </c>
      <c r="B39" s="541" t="s">
        <v>1262</v>
      </c>
      <c r="C39" s="540"/>
      <c r="D39" s="503" t="s">
        <v>906</v>
      </c>
      <c r="E39" s="604">
        <f>'P&amp;L old'!D42</f>
        <v>0</v>
      </c>
      <c r="F39" s="539">
        <f>'P&amp;L old'!E42</f>
        <v>0</v>
      </c>
    </row>
    <row r="40" spans="1:6" ht="31" customHeight="1">
      <c r="A40" s="506" t="s">
        <v>907</v>
      </c>
      <c r="B40" s="541" t="s">
        <v>1261</v>
      </c>
      <c r="C40" s="540"/>
      <c r="D40" s="503" t="s">
        <v>909</v>
      </c>
      <c r="E40" s="604">
        <f>'P&amp;L old'!D43</f>
        <v>0</v>
      </c>
      <c r="F40" s="539">
        <f>'P&amp;L old'!E43</f>
        <v>0</v>
      </c>
    </row>
    <row r="41" spans="1:6" ht="30" customHeight="1">
      <c r="A41" s="506" t="s">
        <v>910</v>
      </c>
      <c r="B41" s="541" t="s">
        <v>1260</v>
      </c>
      <c r="C41" s="540"/>
      <c r="D41" s="503" t="s">
        <v>912</v>
      </c>
      <c r="E41" s="604">
        <f>'P&amp;L old'!D44</f>
        <v>0</v>
      </c>
      <c r="F41" s="539">
        <f>'P&amp;L old'!E44</f>
        <v>0</v>
      </c>
    </row>
    <row r="42" spans="1:6" ht="32.25" customHeight="1">
      <c r="A42" s="506" t="s">
        <v>913</v>
      </c>
      <c r="B42" s="541" t="s">
        <v>1259</v>
      </c>
      <c r="C42" s="540"/>
      <c r="D42" s="503" t="s">
        <v>915</v>
      </c>
      <c r="E42" s="604">
        <f>'P&amp;L old'!D45</f>
        <v>0</v>
      </c>
      <c r="F42" s="539">
        <f>'P&amp;L old'!E45</f>
        <v>0</v>
      </c>
    </row>
    <row r="43" spans="1:6" ht="24" customHeight="1">
      <c r="A43" s="506" t="s">
        <v>916</v>
      </c>
      <c r="B43" s="541" t="s">
        <v>1258</v>
      </c>
      <c r="C43" s="540"/>
      <c r="D43" s="503" t="s">
        <v>918</v>
      </c>
      <c r="E43" s="604">
        <f>'P&amp;L old'!D46</f>
        <v>0</v>
      </c>
      <c r="F43" s="539">
        <f>'P&amp;L old'!E46</f>
        <v>0</v>
      </c>
    </row>
    <row r="44" spans="1:6" ht="26.25" customHeight="1">
      <c r="A44" s="506" t="s">
        <v>919</v>
      </c>
      <c r="B44" s="541" t="s">
        <v>1257</v>
      </c>
      <c r="C44" s="540"/>
      <c r="D44" s="503" t="s">
        <v>921</v>
      </c>
      <c r="E44" s="604">
        <f>'P&amp;L old'!D47</f>
        <v>0</v>
      </c>
      <c r="F44" s="539">
        <f>'P&amp;L old'!E47</f>
        <v>0</v>
      </c>
    </row>
    <row r="45" spans="1:6" ht="24.75" customHeight="1">
      <c r="A45" s="506" t="s">
        <v>922</v>
      </c>
      <c r="B45" s="541" t="s">
        <v>1256</v>
      </c>
      <c r="C45" s="540"/>
      <c r="D45" s="503" t="s">
        <v>924</v>
      </c>
      <c r="E45" s="604">
        <f>'P&amp;L old'!D48</f>
        <v>0</v>
      </c>
      <c r="F45" s="539">
        <f>'P&amp;L old'!E48</f>
        <v>0</v>
      </c>
    </row>
    <row r="46" spans="1:6" ht="27.25" customHeight="1">
      <c r="A46" s="506" t="s">
        <v>925</v>
      </c>
      <c r="B46" s="541" t="s">
        <v>1255</v>
      </c>
      <c r="C46" s="540"/>
      <c r="D46" s="503" t="s">
        <v>927</v>
      </c>
      <c r="E46" s="604">
        <f>'P&amp;L old'!D49</f>
        <v>0</v>
      </c>
      <c r="F46" s="539">
        <f>'P&amp;L old'!E49</f>
        <v>0</v>
      </c>
    </row>
    <row r="47" spans="1:6" ht="29.25" customHeight="1">
      <c r="A47" s="506" t="s">
        <v>928</v>
      </c>
      <c r="B47" s="541" t="s">
        <v>1254</v>
      </c>
      <c r="C47" s="540"/>
      <c r="D47" s="503" t="s">
        <v>930</v>
      </c>
      <c r="E47" s="604">
        <f>'P&amp;L old'!D50</f>
        <v>0</v>
      </c>
      <c r="F47" s="539">
        <f>'P&amp;L old'!E50</f>
        <v>0</v>
      </c>
    </row>
    <row r="48" spans="1:6" ht="27.75" customHeight="1">
      <c r="A48" s="506" t="s">
        <v>931</v>
      </c>
      <c r="B48" s="541" t="s">
        <v>1253</v>
      </c>
      <c r="C48" s="540"/>
      <c r="D48" s="503" t="s">
        <v>933</v>
      </c>
      <c r="E48" s="604">
        <f>'P&amp;L old'!D51</f>
        <v>0</v>
      </c>
      <c r="F48" s="539">
        <f>'P&amp;L old'!E51</f>
        <v>0</v>
      </c>
    </row>
    <row r="49" spans="1:6" ht="27.75" customHeight="1">
      <c r="A49" s="506" t="s">
        <v>934</v>
      </c>
      <c r="B49" s="541" t="s">
        <v>1252</v>
      </c>
      <c r="C49" s="540"/>
      <c r="D49" s="503" t="s">
        <v>936</v>
      </c>
      <c r="E49" s="604">
        <f>'P&amp;L old'!D52</f>
        <v>0</v>
      </c>
      <c r="F49" s="539">
        <f>'P&amp;L old'!E52</f>
        <v>0</v>
      </c>
    </row>
    <row r="50" spans="1:6" ht="27.75" customHeight="1">
      <c r="A50" s="506" t="s">
        <v>937</v>
      </c>
      <c r="B50" s="541" t="s">
        <v>1251</v>
      </c>
      <c r="C50" s="540"/>
      <c r="D50" s="503" t="s">
        <v>939</v>
      </c>
      <c r="E50" s="604">
        <f>'P&amp;L old'!D53</f>
        <v>0</v>
      </c>
      <c r="F50" s="539">
        <f>'P&amp;L old'!E53</f>
        <v>0</v>
      </c>
    </row>
    <row r="51" spans="1:6" s="536" customFormat="1" ht="44.25" customHeight="1">
      <c r="A51" s="555" t="s">
        <v>880</v>
      </c>
      <c r="B51" s="557" t="s">
        <v>1250</v>
      </c>
      <c r="C51" s="556"/>
      <c r="D51" s="513" t="s">
        <v>941</v>
      </c>
      <c r="E51" s="604">
        <f>'P&amp;L old'!D54</f>
        <v>0</v>
      </c>
      <c r="F51" s="539">
        <f>'P&amp;L old'!E54</f>
        <v>0</v>
      </c>
    </row>
    <row r="52" spans="1:6" s="536" customFormat="1" ht="29.25" customHeight="1">
      <c r="A52" s="555" t="s">
        <v>942</v>
      </c>
      <c r="B52" s="554" t="s">
        <v>1249</v>
      </c>
      <c r="C52" s="553"/>
      <c r="D52" s="513" t="s">
        <v>944</v>
      </c>
      <c r="E52" s="604">
        <f>'P&amp;L old'!D55</f>
        <v>0</v>
      </c>
      <c r="F52" s="539">
        <f>'P&amp;L old'!E55</f>
        <v>0</v>
      </c>
    </row>
    <row r="53" spans="1:6" ht="31" customHeight="1">
      <c r="A53" s="506" t="s">
        <v>945</v>
      </c>
      <c r="B53" s="541" t="s">
        <v>1248</v>
      </c>
      <c r="C53" s="540"/>
      <c r="D53" s="503" t="s">
        <v>947</v>
      </c>
      <c r="E53" s="604">
        <f>'P&amp;L old'!D56</f>
        <v>0</v>
      </c>
      <c r="F53" s="539">
        <f>'P&amp;L old'!E56</f>
        <v>0</v>
      </c>
    </row>
    <row r="54" spans="1:6" ht="28.5" customHeight="1">
      <c r="A54" s="548" t="s">
        <v>948</v>
      </c>
      <c r="B54" s="541" t="s">
        <v>1247</v>
      </c>
      <c r="C54" s="540"/>
      <c r="D54" s="503" t="s">
        <v>950</v>
      </c>
      <c r="E54" s="604">
        <f>'P&amp;L old'!D57</f>
        <v>0</v>
      </c>
      <c r="F54" s="539">
        <f>'P&amp;L old'!E57</f>
        <v>0</v>
      </c>
    </row>
    <row r="55" spans="1:6" ht="28.5" customHeight="1">
      <c r="A55" s="506" t="s">
        <v>836</v>
      </c>
      <c r="B55" s="541" t="s">
        <v>1246</v>
      </c>
      <c r="C55" s="540"/>
      <c r="D55" s="503" t="s">
        <v>952</v>
      </c>
      <c r="E55" s="604">
        <f>'P&amp;L old'!D58</f>
        <v>0</v>
      </c>
      <c r="F55" s="539">
        <f>'P&amp;L old'!E58</f>
        <v>0</v>
      </c>
    </row>
    <row r="56" spans="1:6" s="536" customFormat="1" ht="31.5" customHeight="1">
      <c r="A56" s="555" t="s">
        <v>942</v>
      </c>
      <c r="B56" s="554" t="s">
        <v>1245</v>
      </c>
      <c r="C56" s="553"/>
      <c r="D56" s="513" t="s">
        <v>954</v>
      </c>
      <c r="E56" s="604">
        <f>'P&amp;L old'!D59</f>
        <v>0</v>
      </c>
      <c r="F56" s="539">
        <f>'P&amp;L old'!E59</f>
        <v>0</v>
      </c>
    </row>
    <row r="57" spans="1:6" ht="29.25" customHeight="1">
      <c r="A57" s="506" t="s">
        <v>955</v>
      </c>
      <c r="B57" s="541" t="s">
        <v>1244</v>
      </c>
      <c r="C57" s="540"/>
      <c r="D57" s="503" t="s">
        <v>957</v>
      </c>
      <c r="E57" s="604">
        <f>'P&amp;L old'!D60</f>
        <v>0</v>
      </c>
      <c r="F57" s="539">
        <f>'P&amp;L old'!E60</f>
        <v>0</v>
      </c>
    </row>
    <row r="58" spans="1:6" ht="28.5" customHeight="1">
      <c r="A58" s="506" t="s">
        <v>958</v>
      </c>
      <c r="B58" s="541" t="s">
        <v>1243</v>
      </c>
      <c r="C58" s="540"/>
      <c r="D58" s="503" t="s">
        <v>960</v>
      </c>
      <c r="E58" s="604">
        <f>'P&amp;L old'!D61</f>
        <v>0</v>
      </c>
      <c r="F58" s="539">
        <f>'P&amp;L old'!E61</f>
        <v>0</v>
      </c>
    </row>
    <row r="59" spans="1:6" ht="31" customHeight="1" thickBot="1">
      <c r="A59" s="512" t="s">
        <v>880</v>
      </c>
      <c r="B59" s="538" t="s">
        <v>1242</v>
      </c>
      <c r="C59" s="537"/>
      <c r="D59" s="511" t="s">
        <v>962</v>
      </c>
      <c r="E59" s="604">
        <f>'P&amp;L old'!D62</f>
        <v>0</v>
      </c>
      <c r="F59" s="539">
        <f>'P&amp;L old'!E62</f>
        <v>0</v>
      </c>
    </row>
    <row r="60" spans="1:6" ht="27.75" customHeight="1">
      <c r="A60" s="552" t="s">
        <v>963</v>
      </c>
      <c r="B60" s="551" t="s">
        <v>1241</v>
      </c>
      <c r="C60" s="550"/>
      <c r="D60" s="549" t="s">
        <v>965</v>
      </c>
      <c r="E60" s="604">
        <f>'P&amp;L old'!D63</f>
        <v>0</v>
      </c>
      <c r="F60" s="539">
        <f>'P&amp;L old'!E63</f>
        <v>0</v>
      </c>
    </row>
    <row r="61" spans="1:6" ht="27.75" customHeight="1">
      <c r="A61" s="548" t="s">
        <v>966</v>
      </c>
      <c r="B61" s="541" t="s">
        <v>1240</v>
      </c>
      <c r="C61" s="540"/>
      <c r="D61" s="503" t="s">
        <v>968</v>
      </c>
      <c r="E61" s="604">
        <f>'P&amp;L old'!D64</f>
        <v>0</v>
      </c>
      <c r="F61" s="539">
        <f>'P&amp;L old'!E64</f>
        <v>0</v>
      </c>
    </row>
    <row r="62" spans="1:6" ht="27.75" customHeight="1">
      <c r="A62" s="506" t="s">
        <v>836</v>
      </c>
      <c r="B62" s="541" t="s">
        <v>1239</v>
      </c>
      <c r="C62" s="540"/>
      <c r="D62" s="503" t="s">
        <v>970</v>
      </c>
      <c r="E62" s="604">
        <f>'P&amp;L old'!D65</f>
        <v>0</v>
      </c>
      <c r="F62" s="539">
        <f>'P&amp;L old'!E65</f>
        <v>0</v>
      </c>
    </row>
    <row r="63" spans="1:6" s="536" customFormat="1" ht="27.75" customHeight="1">
      <c r="A63" s="547" t="s">
        <v>880</v>
      </c>
      <c r="B63" s="546" t="s">
        <v>1238</v>
      </c>
      <c r="C63" s="545"/>
      <c r="D63" s="544" t="s">
        <v>972</v>
      </c>
      <c r="E63" s="604">
        <f>'P&amp;L old'!D66</f>
        <v>0</v>
      </c>
      <c r="F63" s="539">
        <f>'P&amp;L old'!E66</f>
        <v>0</v>
      </c>
    </row>
    <row r="64" spans="1:6" s="536" customFormat="1" ht="27.75" customHeight="1">
      <c r="A64" s="507" t="s">
        <v>973</v>
      </c>
      <c r="B64" s="543" t="s">
        <v>1237</v>
      </c>
      <c r="C64" s="542"/>
      <c r="D64" s="513" t="s">
        <v>975</v>
      </c>
      <c r="E64" s="604">
        <f>'P&amp;L old'!D67</f>
        <v>0</v>
      </c>
      <c r="F64" s="539">
        <f>'P&amp;L old'!E67</f>
        <v>0</v>
      </c>
    </row>
    <row r="65" spans="1:6" ht="27.75" customHeight="1">
      <c r="A65" s="506" t="s">
        <v>976</v>
      </c>
      <c r="B65" s="541" t="s">
        <v>1236</v>
      </c>
      <c r="C65" s="540"/>
      <c r="D65" s="503" t="s">
        <v>978</v>
      </c>
      <c r="E65" s="604">
        <f>'P&amp;L old'!D68</f>
        <v>0</v>
      </c>
      <c r="F65" s="539">
        <f>'P&amp;L old'!E68</f>
        <v>0</v>
      </c>
    </row>
    <row r="66" spans="1:6" s="536" customFormat="1" ht="27.75" customHeight="1" thickBot="1">
      <c r="A66" s="512" t="s">
        <v>973</v>
      </c>
      <c r="B66" s="538" t="s">
        <v>1235</v>
      </c>
      <c r="C66" s="537"/>
      <c r="D66" s="511" t="s">
        <v>980</v>
      </c>
      <c r="E66" s="604">
        <f>'P&amp;L old'!D69</f>
        <v>0</v>
      </c>
      <c r="F66" s="539">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O55"/>
  <sheetViews>
    <sheetView showGridLines="0" view="pageBreakPreview" zoomScaleNormal="100" zoomScaleSheetLayoutView="100" workbookViewId="0"/>
  </sheetViews>
  <sheetFormatPr defaultColWidth="9.1796875" defaultRowHeight="12.5"/>
  <cols>
    <col min="1" max="38" width="2.54296875" style="390" customWidth="1"/>
    <col min="39" max="39" width="0.81640625" style="390" customWidth="1"/>
    <col min="40" max="41" width="2.54296875" style="390" customWidth="1"/>
    <col min="42" max="42" width="9.1796875" style="390"/>
    <col min="43" max="45" width="2.54296875" style="390" customWidth="1"/>
    <col min="46" max="46" width="7.7265625" style="390" customWidth="1"/>
    <col min="47" max="61" width="2.54296875" style="390" customWidth="1"/>
    <col min="62" max="16384" width="9.1796875" style="390"/>
  </cols>
  <sheetData>
    <row r="1" spans="1:39" s="500" customFormat="1" ht="10.5" customHeight="1">
      <c r="B1" s="501" t="s">
        <v>1234</v>
      </c>
      <c r="N1" s="2441" t="s">
        <v>1233</v>
      </c>
      <c r="O1" s="2441"/>
      <c r="P1" s="2441"/>
      <c r="Q1" s="2441"/>
      <c r="R1" s="2441"/>
      <c r="S1" s="2441"/>
      <c r="T1" s="2441"/>
      <c r="U1" s="2441"/>
      <c r="V1" s="2441"/>
      <c r="W1" s="2441"/>
      <c r="AM1" s="501"/>
    </row>
    <row r="2" spans="1:39" s="397" customFormat="1" ht="21" customHeight="1">
      <c r="B2" s="499" t="s">
        <v>1232</v>
      </c>
      <c r="C2" s="498"/>
      <c r="D2" s="498"/>
      <c r="E2" s="498"/>
      <c r="F2" s="498"/>
      <c r="G2" s="498"/>
      <c r="H2" s="498"/>
      <c r="I2" s="498"/>
      <c r="J2" s="534"/>
      <c r="K2" s="498"/>
      <c r="L2" s="498"/>
      <c r="M2" s="533"/>
      <c r="N2" s="2441"/>
      <c r="O2" s="2441"/>
      <c r="P2" s="2441"/>
      <c r="Q2" s="2441"/>
      <c r="R2" s="2441"/>
      <c r="S2" s="2441"/>
      <c r="T2" s="2441"/>
      <c r="U2" s="2441"/>
      <c r="V2" s="2441"/>
      <c r="W2" s="2441"/>
      <c r="AM2" s="532"/>
    </row>
    <row r="3" spans="1:39" ht="13.5" customHeight="1" thickBot="1">
      <c r="N3" s="2442"/>
      <c r="O3" s="2442"/>
      <c r="P3" s="2442"/>
      <c r="Q3" s="2442"/>
      <c r="R3" s="2442"/>
      <c r="S3" s="2442"/>
      <c r="T3" s="2442"/>
      <c r="U3" s="2442"/>
      <c r="V3" s="2442"/>
      <c r="W3" s="2442"/>
    </row>
    <row r="4" spans="1:39" ht="28.5" customHeight="1" thickBot="1">
      <c r="K4" s="495" t="s">
        <v>1062</v>
      </c>
      <c r="L4" s="494" t="str">
        <f>+MID('Input data'!$B$11,1,1)</f>
        <v>3</v>
      </c>
      <c r="M4" s="494" t="str">
        <f>+MID('Input data'!$B$11,2,1)</f>
        <v>1</v>
      </c>
      <c r="N4" s="494" t="s">
        <v>1063</v>
      </c>
      <c r="O4" s="494" t="str">
        <f>LEFT('Input data'!B13,1)</f>
        <v>0</v>
      </c>
      <c r="P4" s="494" t="str">
        <f>RIGHT('Input data'!B13,1)</f>
        <v>3</v>
      </c>
      <c r="Q4" s="494" t="s">
        <v>1063</v>
      </c>
      <c r="R4" s="494" t="str">
        <f>+LEFT('Input data'!$B$14,1)</f>
        <v>2</v>
      </c>
      <c r="S4" s="494" t="str">
        <f>+MID('Input data'!$B$14,2,1)</f>
        <v>0</v>
      </c>
      <c r="T4" s="494" t="str">
        <f>+MID('Input data'!$B$14,3,1)</f>
        <v>1</v>
      </c>
      <c r="U4" s="494" t="str">
        <f>+MID('Input data'!$B$14,4,1)</f>
        <v>9</v>
      </c>
      <c r="V4" s="493" t="s">
        <v>1064</v>
      </c>
      <c r="W4" s="492"/>
      <c r="X4" s="492"/>
      <c r="Y4" s="492"/>
      <c r="Z4" s="491"/>
    </row>
    <row r="5" spans="1:39" ht="7.5" customHeight="1" thickBot="1"/>
    <row r="6" spans="1:39" s="487" customFormat="1" ht="14.25" customHeight="1">
      <c r="A6" s="490" t="s">
        <v>1065</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9" s="391" customFormat="1" ht="15" customHeight="1">
      <c r="A7" s="403" t="s">
        <v>1066</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9"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9" s="462" customFormat="1" ht="3.75" customHeight="1" thickBot="1"/>
    <row r="10" spans="1:39" s="462" customFormat="1" ht="14.25" customHeight="1">
      <c r="A10" s="464" t="s">
        <v>1068</v>
      </c>
      <c r="B10" s="463"/>
      <c r="C10" s="463"/>
      <c r="D10" s="463"/>
      <c r="E10" s="463"/>
      <c r="F10" s="463"/>
      <c r="G10" s="463"/>
      <c r="H10" s="463"/>
      <c r="I10" s="407"/>
      <c r="J10" s="406"/>
      <c r="K10" s="480" t="s">
        <v>1069</v>
      </c>
      <c r="L10" s="463"/>
      <c r="M10" s="481"/>
      <c r="N10" s="481"/>
      <c r="O10" s="481"/>
      <c r="P10" s="463"/>
      <c r="Q10" s="480" t="s">
        <v>1069</v>
      </c>
      <c r="R10" s="463"/>
      <c r="S10" s="407"/>
      <c r="T10" s="463"/>
      <c r="U10" s="463"/>
      <c r="V10" s="479"/>
      <c r="W10" s="463"/>
      <c r="X10" s="463"/>
      <c r="Y10" s="463"/>
      <c r="Z10" s="463"/>
      <c r="AA10" s="463"/>
      <c r="AB10" s="463"/>
      <c r="AC10" s="463"/>
      <c r="AD10" s="480" t="s">
        <v>1070</v>
      </c>
      <c r="AE10" s="480"/>
      <c r="AF10" s="480"/>
      <c r="AG10" s="480" t="s">
        <v>1071</v>
      </c>
      <c r="AH10" s="463"/>
      <c r="AI10" s="463"/>
      <c r="AJ10" s="463"/>
      <c r="AK10" s="479"/>
    </row>
    <row r="11" spans="1:39"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65"/>
      <c r="M11" s="465"/>
      <c r="N11" s="465"/>
      <c r="O11" s="465"/>
      <c r="P11" s="465"/>
      <c r="Q11" s="465"/>
      <c r="R11" s="465"/>
      <c r="S11" s="465"/>
      <c r="T11" s="465"/>
      <c r="U11" s="465"/>
      <c r="V11" s="471"/>
      <c r="W11" s="470" t="s">
        <v>1072</v>
      </c>
      <c r="X11" s="465"/>
      <c r="Y11" s="465"/>
      <c r="Z11" s="465"/>
      <c r="AA11" s="465"/>
      <c r="AB11" s="470" t="s">
        <v>1073</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8</v>
      </c>
      <c r="AK11" s="471"/>
    </row>
    <row r="12" spans="1:39" s="462" customFormat="1" ht="19.5" customHeight="1" thickBot="1">
      <c r="A12" s="403" t="s">
        <v>1074</v>
      </c>
      <c r="B12" s="465"/>
      <c r="C12" s="465"/>
      <c r="D12" s="465"/>
      <c r="E12" s="465"/>
      <c r="F12" s="465"/>
      <c r="G12" s="465"/>
      <c r="H12" s="399"/>
      <c r="I12" s="399"/>
      <c r="J12" s="398"/>
      <c r="K12" s="399"/>
      <c r="L12" s="478" t="str">
        <f>IF('Input data'!D7="x","x"," ")</f>
        <v>x</v>
      </c>
      <c r="M12" s="470" t="s">
        <v>1075</v>
      </c>
      <c r="N12" s="472"/>
      <c r="O12" s="472"/>
      <c r="P12" s="472"/>
      <c r="Q12" s="472"/>
      <c r="R12" s="478" t="str">
        <f>IF('Input data'!D17="x","x"," ")</f>
        <v>x</v>
      </c>
      <c r="S12" s="470" t="s">
        <v>1076</v>
      </c>
      <c r="T12" s="465"/>
      <c r="U12" s="465"/>
      <c r="V12" s="471"/>
      <c r="W12" s="477"/>
      <c r="X12" s="467"/>
      <c r="Y12" s="467"/>
      <c r="Z12" s="467"/>
      <c r="AA12" s="467"/>
      <c r="AB12" s="466" t="s">
        <v>1077</v>
      </c>
      <c r="AC12" s="467"/>
      <c r="AD12" s="439" t="str">
        <f>MID('Input data'!$B$13,1,1)</f>
        <v>0</v>
      </c>
      <c r="AE12" s="439" t="str">
        <f>MID('Input data'!$B$13,2,1)</f>
        <v>3</v>
      </c>
      <c r="AF12" s="439"/>
      <c r="AG12" s="439" t="str">
        <f>MID('Input data'!$B$14,1,1)</f>
        <v>2</v>
      </c>
      <c r="AH12" s="439" t="str">
        <f>MID('Input data'!$B$14,2,1)</f>
        <v>0</v>
      </c>
      <c r="AI12" s="439" t="str">
        <f>MID('Input data'!$B$14,3,1)</f>
        <v>1</v>
      </c>
      <c r="AJ12" s="439" t="str">
        <f>MID('Input data'!$B$14,4,1)</f>
        <v>9</v>
      </c>
      <c r="AK12" s="468"/>
    </row>
    <row r="13" spans="1:39"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399"/>
      <c r="L13" s="474" t="str">
        <f>IF('Input data'!D8="x","x", "")</f>
        <v/>
      </c>
      <c r="M13" s="470" t="s">
        <v>1078</v>
      </c>
      <c r="N13" s="472"/>
      <c r="O13" s="472"/>
      <c r="P13" s="472"/>
      <c r="Q13" s="472"/>
      <c r="R13" s="475" t="str">
        <f>IF('Input data'!D18="x","x"," ")</f>
        <v xml:space="preserve"> </v>
      </c>
      <c r="S13" s="470" t="s">
        <v>1079</v>
      </c>
      <c r="T13" s="465"/>
      <c r="U13" s="465"/>
      <c r="V13" s="471"/>
      <c r="W13" s="470" t="s">
        <v>1080</v>
      </c>
      <c r="X13" s="465"/>
      <c r="Y13" s="402"/>
      <c r="Z13" s="399"/>
      <c r="AA13" s="399"/>
      <c r="AB13" s="472"/>
      <c r="AC13" s="399"/>
      <c r="AD13" s="474"/>
      <c r="AE13" s="474"/>
      <c r="AF13" s="474"/>
      <c r="AG13" s="474"/>
      <c r="AH13" s="474"/>
      <c r="AI13" s="474"/>
      <c r="AJ13" s="474"/>
      <c r="AK13" s="398"/>
    </row>
    <row r="14" spans="1:39" s="462" customFormat="1" ht="19.5" customHeight="1">
      <c r="A14" s="403" t="s">
        <v>1081</v>
      </c>
      <c r="B14" s="465"/>
      <c r="C14" s="465"/>
      <c r="D14" s="465"/>
      <c r="E14" s="465"/>
      <c r="F14" s="465"/>
      <c r="G14" s="465"/>
      <c r="H14" s="465"/>
      <c r="I14" s="399"/>
      <c r="J14" s="398"/>
      <c r="K14" s="399"/>
      <c r="L14" s="399"/>
      <c r="M14" s="470"/>
      <c r="N14" s="472"/>
      <c r="O14" s="472"/>
      <c r="P14" s="472"/>
      <c r="Q14" s="472"/>
      <c r="R14" s="473" t="s">
        <v>1082</v>
      </c>
      <c r="S14" s="472"/>
      <c r="T14" s="465"/>
      <c r="U14" s="465"/>
      <c r="V14" s="471"/>
      <c r="W14" s="470" t="s">
        <v>983</v>
      </c>
      <c r="X14" s="465"/>
      <c r="Y14" s="402"/>
      <c r="Z14" s="399"/>
      <c r="AA14" s="399"/>
      <c r="AB14" s="470" t="s">
        <v>1073</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7</v>
      </c>
      <c r="AK14" s="398"/>
    </row>
    <row r="15" spans="1:39" s="462" customFormat="1" ht="19.5" customHeight="1" thickBot="1">
      <c r="A15" s="469" t="str">
        <f>LEFT('Input data'!$F$7,1)</f>
        <v>2</v>
      </c>
      <c r="B15" s="394" t="str">
        <f>MID('Input data'!$F$7,2,1)</f>
        <v>7</v>
      </c>
      <c r="C15" s="467" t="s">
        <v>1063</v>
      </c>
      <c r="D15" s="394" t="str">
        <f>MID('Input data'!$F$7,3,1)</f>
        <v>3</v>
      </c>
      <c r="E15" s="394" t="str">
        <f>MID('Input data'!$F$7,4,1)</f>
        <v>1</v>
      </c>
      <c r="F15" s="418" t="s">
        <v>1063</v>
      </c>
      <c r="G15" s="394" t="str">
        <f>MID('Input data'!$F$7,5,1)</f>
        <v>0</v>
      </c>
      <c r="H15" s="394"/>
      <c r="I15" s="394"/>
      <c r="J15" s="393"/>
      <c r="K15" s="394"/>
      <c r="L15" s="394"/>
      <c r="M15" s="394"/>
      <c r="N15" s="394"/>
      <c r="O15" s="394"/>
      <c r="P15" s="394"/>
      <c r="Q15" s="394"/>
      <c r="R15" s="394"/>
      <c r="S15" s="394"/>
      <c r="T15" s="467"/>
      <c r="U15" s="467"/>
      <c r="V15" s="468"/>
      <c r="W15" s="466" t="s">
        <v>1083</v>
      </c>
      <c r="X15" s="467"/>
      <c r="Y15" s="395"/>
      <c r="Z15" s="394"/>
      <c r="AA15" s="394"/>
      <c r="AB15" s="466" t="s">
        <v>1077</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8</v>
      </c>
      <c r="AK15" s="393"/>
    </row>
    <row r="16" spans="1:39" s="462" customFormat="1" ht="4.5" customHeigh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39"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39" s="462" customFormat="1" ht="15.5">
      <c r="A18" s="464" t="s">
        <v>1084</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39" s="392" customFormat="1" ht="19.5" customHeight="1">
      <c r="A19" s="449" t="str">
        <f>+LEFT('Input data'!$F$3,1)</f>
        <v>F</v>
      </c>
      <c r="B19" s="441" t="str">
        <f>+MID('Input data'!$F$3,2,1)</f>
        <v>o</v>
      </c>
      <c r="C19" s="441" t="str">
        <f>+MID('Input data'!$F$3,3,1)</f>
        <v>s</v>
      </c>
      <c r="D19" s="441" t="str">
        <f>+MID('Input data'!$F$3,4,1)</f>
        <v>s</v>
      </c>
      <c r="E19" s="441" t="str">
        <f>+MID('Input data'!$F$3,5,1)</f>
        <v xml:space="preserve"> </v>
      </c>
      <c r="F19" s="441" t="str">
        <f>+MID('Input data'!$F$3,6,1)</f>
        <v>F</v>
      </c>
      <c r="G19" s="441" t="str">
        <f>+MID('Input data'!$F$3,7,1)</f>
        <v>i</v>
      </c>
      <c r="H19" s="441" t="str">
        <f>+MID('Input data'!$F$3,8,1)</f>
        <v>b</v>
      </c>
      <c r="I19" s="441" t="str">
        <f>+MID('Input data'!$F$3,9,1)</f>
        <v>r</v>
      </c>
      <c r="J19" s="441" t="str">
        <f>+MID('Input data'!$F$3,10,1)</f>
        <v>e</v>
      </c>
      <c r="K19" s="441" t="str">
        <f>+MID('Input data'!$F$3,11,1)</f>
        <v xml:space="preserve"> </v>
      </c>
      <c r="L19" s="441" t="str">
        <f>+MID('Input data'!$F$3,12,1)</f>
        <v>O</v>
      </c>
      <c r="M19" s="441" t="str">
        <f>+MID('Input data'!$F$3,13,1)</f>
        <v>p</v>
      </c>
      <c r="N19" s="441" t="str">
        <f>+MID('Input data'!$F$3,14,1)</f>
        <v>t</v>
      </c>
      <c r="O19" s="441" t="str">
        <f>+MID('Input data'!$F$3,15,1)</f>
        <v>i</v>
      </c>
      <c r="P19" s="441" t="str">
        <f>+MID('Input data'!$F$3,16,1)</f>
        <v>c</v>
      </c>
      <c r="Q19" s="441" t="str">
        <f>+MID('Input data'!$F$3,17,1)</f>
        <v>s</v>
      </c>
      <c r="R19" s="441" t="str">
        <f>+MID('Input data'!$F$3,18,1)</f>
        <v>,</v>
      </c>
      <c r="S19" s="441" t="str">
        <f>+MID('Input data'!$F$3,19,1)</f>
        <v xml:space="preserve"> </v>
      </c>
      <c r="T19" s="441" t="str">
        <f>+MID('Input data'!$F$3,20,1)</f>
        <v>s</v>
      </c>
      <c r="U19" s="441" t="str">
        <f>+MID('Input data'!$F$3,21,1)</f>
        <v>.</v>
      </c>
      <c r="V19" s="441" t="str">
        <f>+MID('Input data'!$F$3,22,1)</f>
        <v>r</v>
      </c>
      <c r="W19" s="441" t="str">
        <f>+MID('Input data'!$F$3,23,1)</f>
        <v>.</v>
      </c>
      <c r="X19" s="441" t="str">
        <f>+MID('Input data'!$F$3,24,1)</f>
        <v>o</v>
      </c>
      <c r="Y19" s="441" t="str">
        <f>+MID('Input data'!$F$3,25,1)</f>
        <v>.</v>
      </c>
      <c r="Z19" s="441" t="str">
        <f>+MID('Input data'!$F$3,26,1)</f>
        <v xml:space="preserve"> </v>
      </c>
      <c r="AA19" s="441" t="str">
        <f>+MID('Input data'!$F$3,27,1)</f>
        <v xml:space="preserve">
</v>
      </c>
      <c r="AB19" s="441" t="str">
        <f>+MID('Input data'!$F$3,28,1)</f>
        <v/>
      </c>
      <c r="AC19" s="441" t="str">
        <f>+MID('Input data'!$F$3,29,1)</f>
        <v/>
      </c>
      <c r="AD19" s="441" t="str">
        <f>+MID('Input data'!$F$3,30,1)</f>
        <v/>
      </c>
      <c r="AE19" s="441" t="str">
        <f>+MID('Input data'!$F$3,31,1)</f>
        <v/>
      </c>
      <c r="AF19" s="441" t="str">
        <f>+MID('Input data'!$F$3,32,1)</f>
        <v/>
      </c>
      <c r="AG19" s="441" t="str">
        <f>+MID('Input data'!$F$3,33,1)</f>
        <v/>
      </c>
      <c r="AH19" s="441" t="str">
        <f>+MID('Input data'!$F$3,34,1)</f>
        <v/>
      </c>
      <c r="AI19" s="441" t="str">
        <f>+MID('Input data'!$F$3,35,1)</f>
        <v/>
      </c>
      <c r="AJ19" s="441" t="str">
        <f>+MID('Input data'!$F$3,36,1)</f>
        <v/>
      </c>
      <c r="AK19" s="448" t="str">
        <f>+MID('Input data'!$F$3,37,1)</f>
        <v/>
      </c>
      <c r="AL19" s="462"/>
      <c r="AM19" s="462"/>
    </row>
    <row r="20" spans="1:39" s="530" customFormat="1" ht="19.5" customHeight="1">
      <c r="A20" s="449" t="str">
        <f>+MID('Input data'!$F$3,38,1)</f>
        <v/>
      </c>
      <c r="B20" s="441" t="str">
        <f>+MID('Input data'!$F$3,39,1)</f>
        <v/>
      </c>
      <c r="C20" s="441" t="str">
        <f>+MID('Input data'!$F$3,40,1)</f>
        <v/>
      </c>
      <c r="D20" s="441" t="str">
        <f>+MID('Input data'!$F$3,41,1)</f>
        <v/>
      </c>
      <c r="E20" s="441" t="str">
        <f>+MID('Input data'!$F$3,42,1)</f>
        <v/>
      </c>
      <c r="F20" s="441" t="str">
        <f>+MID('Input data'!$F$3,43,1)</f>
        <v/>
      </c>
      <c r="G20" s="441" t="str">
        <f>+MID('Input data'!$F$3,44,1)</f>
        <v/>
      </c>
      <c r="H20" s="441" t="str">
        <f>+MID('Input data'!$F$3,45,1)</f>
        <v/>
      </c>
      <c r="I20" s="441" t="str">
        <f>+MID('Input data'!$F$3,46,1)</f>
        <v/>
      </c>
      <c r="J20" s="441" t="str">
        <f>+MID('Input data'!$F$3,47,1)</f>
        <v/>
      </c>
      <c r="K20" s="441" t="str">
        <f>+MID('Input data'!$F$3,48,1)</f>
        <v/>
      </c>
      <c r="L20" s="441" t="str">
        <f>+MID('Input data'!$F$3,49,1)</f>
        <v/>
      </c>
      <c r="M20" s="441" t="str">
        <f>+MID('Input data'!$F$3,50,1)</f>
        <v/>
      </c>
      <c r="N20" s="441" t="str">
        <f>+MID('Input data'!$F$3,51,1)</f>
        <v/>
      </c>
      <c r="O20" s="441" t="str">
        <f>+MID('Input data'!$F$3,52,1)</f>
        <v/>
      </c>
      <c r="P20" s="441" t="str">
        <f>+MID('Input data'!$F$3,53,1)</f>
        <v/>
      </c>
      <c r="Q20" s="441" t="str">
        <f>+MID('Input data'!$F$3,54,1)</f>
        <v/>
      </c>
      <c r="R20" s="441" t="str">
        <f>+MID('Input data'!$F$3,55,1)</f>
        <v/>
      </c>
      <c r="S20" s="441" t="str">
        <f>+MID('Input data'!$F$3,56,1)</f>
        <v/>
      </c>
      <c r="T20" s="441" t="str">
        <f>+MID('Input data'!$F$3,57,1)</f>
        <v/>
      </c>
      <c r="U20" s="441" t="str">
        <f>+MID('Input data'!$F$3,58,1)</f>
        <v/>
      </c>
      <c r="V20" s="441" t="str">
        <f>+MID('Input data'!$F$3,59,1)</f>
        <v/>
      </c>
      <c r="W20" s="441" t="str">
        <f>+MID('Input data'!$F$3,60,1)</f>
        <v/>
      </c>
      <c r="X20" s="441" t="str">
        <f>+MID('Input data'!$F$3,61,1)</f>
        <v/>
      </c>
      <c r="Y20" s="441" t="str">
        <f>+MID('Input data'!$F$3,62,1)</f>
        <v/>
      </c>
      <c r="Z20" s="441" t="str">
        <f>+MID('Input data'!$F$3,63,1)</f>
        <v/>
      </c>
      <c r="AA20" s="441" t="str">
        <f>+MID('Input data'!$F$3,64,1)</f>
        <v/>
      </c>
      <c r="AB20" s="441" t="str">
        <f>+MID('Input data'!$F$3,65,1)</f>
        <v/>
      </c>
      <c r="AC20" s="441" t="str">
        <f>+MID('Input data'!$F$3,66,1)</f>
        <v/>
      </c>
      <c r="AD20" s="441" t="str">
        <f>+MID('Input data'!$F$3,67,1)</f>
        <v/>
      </c>
      <c r="AE20" s="441" t="str">
        <f>+MID('Input data'!$F$3,68,1)</f>
        <v/>
      </c>
      <c r="AF20" s="441" t="str">
        <f>+MID('Input data'!$F$3,69,1)</f>
        <v/>
      </c>
      <c r="AG20" s="441" t="str">
        <f>+MID('Input data'!$F$3,70,1)</f>
        <v/>
      </c>
      <c r="AH20" s="441" t="str">
        <f>+MID('Input data'!$F$3,71,1)</f>
        <v/>
      </c>
      <c r="AI20" s="441" t="str">
        <f>+MID('Input data'!$F$3,72,1)</f>
        <v/>
      </c>
      <c r="AJ20" s="441" t="str">
        <f>+MID('Input data'!$F$3,73,1)</f>
        <v/>
      </c>
      <c r="AK20" s="448" t="str">
        <f>+MID('Input data'!$F$3,74,1)</f>
        <v/>
      </c>
    </row>
    <row r="21" spans="1:39" ht="13" customHeight="1">
      <c r="A21" s="461"/>
      <c r="B21" s="460"/>
      <c r="C21" s="460"/>
      <c r="D21" s="460"/>
      <c r="E21" s="460"/>
      <c r="F21" s="460"/>
      <c r="G21" s="460"/>
      <c r="H21" s="460"/>
      <c r="I21" s="460"/>
      <c r="J21" s="460"/>
      <c r="K21" s="460"/>
      <c r="L21" s="460"/>
      <c r="M21" s="460"/>
      <c r="N21" s="460"/>
      <c r="O21" s="460"/>
      <c r="P21" s="460"/>
      <c r="Q21" s="460"/>
      <c r="R21" s="460"/>
      <c r="S21" s="460"/>
      <c r="T21" s="460"/>
      <c r="U21" s="460"/>
      <c r="V21" s="460"/>
      <c r="W21" s="459"/>
      <c r="X21" s="459"/>
      <c r="Y21" s="459"/>
      <c r="Z21" s="459"/>
      <c r="AA21" s="459"/>
      <c r="AB21" s="459"/>
      <c r="AC21" s="459"/>
      <c r="AD21" s="459"/>
      <c r="AE21" s="459"/>
      <c r="AF21" s="459"/>
      <c r="AG21" s="459"/>
      <c r="AH21" s="459"/>
      <c r="AI21" s="459"/>
      <c r="AJ21" s="459"/>
      <c r="AK21" s="458"/>
    </row>
    <row r="22" spans="1:39" s="531" customFormat="1" ht="19.5" hidden="1" customHeight="1">
      <c r="A22" s="457"/>
      <c r="B22" s="456"/>
      <c r="C22" s="456"/>
      <c r="D22" s="456"/>
      <c r="E22" s="456"/>
      <c r="F22" s="456"/>
      <c r="G22" s="456" t="e">
        <f>+MID('Input data'!#REF!,7,1)</f>
        <v>#REF!</v>
      </c>
      <c r="H22" s="456" t="e">
        <f>+MID('Input data'!#REF!,8,1)</f>
        <v>#REF!</v>
      </c>
      <c r="I22" s="456" t="e">
        <f>+MID('Input data'!#REF!,9,1)</f>
        <v>#REF!</v>
      </c>
      <c r="J22" s="456" t="e">
        <f>+MID('Input data'!#REF!,10,1)</f>
        <v>#REF!</v>
      </c>
      <c r="K22" s="456" t="e">
        <f>+MID('Input data'!#REF!,11,1)</f>
        <v>#REF!</v>
      </c>
      <c r="L22" s="456" t="e">
        <f>+MID('Input data'!#REF!,12,1)</f>
        <v>#REF!</v>
      </c>
      <c r="M22" s="456" t="e">
        <f>+MID('Input data'!#REF!,13,1)</f>
        <v>#REF!</v>
      </c>
      <c r="N22" s="456" t="e">
        <f>+MID('Input data'!#REF!,14,1)</f>
        <v>#REF!</v>
      </c>
      <c r="O22" s="456" t="e">
        <f>+MID('Input data'!#REF!,15,1)</f>
        <v>#REF!</v>
      </c>
      <c r="P22" s="456" t="e">
        <f>+MID('Input data'!#REF!,16,1)</f>
        <v>#REF!</v>
      </c>
      <c r="Q22" s="456" t="e">
        <f>+MID('Input data'!#REF!,17,1)</f>
        <v>#REF!</v>
      </c>
      <c r="R22" s="456" t="e">
        <f>+MID('Input data'!#REF!,18,1)</f>
        <v>#REF!</v>
      </c>
      <c r="S22" s="456" t="e">
        <f>+MID('Input data'!#REF!,19,1)</f>
        <v>#REF!</v>
      </c>
      <c r="T22" s="456" t="e">
        <f>+MID('Input data'!#REF!,20,1)</f>
        <v>#REF!</v>
      </c>
      <c r="U22" s="456" t="e">
        <f>+MID('Input data'!#REF!,21,1)</f>
        <v>#REF!</v>
      </c>
      <c r="V22" s="456" t="e">
        <f>+MID('Input data'!#REF!,22,1)</f>
        <v>#REF!</v>
      </c>
      <c r="W22" s="456" t="e">
        <f>+MID('Input data'!#REF!,23,1)</f>
        <v>#REF!</v>
      </c>
      <c r="X22" s="456" t="e">
        <f>+MID('Input data'!#REF!,24,1)</f>
        <v>#REF!</v>
      </c>
      <c r="Y22" s="456" t="e">
        <f>+MID('Input data'!#REF!,25,1)</f>
        <v>#REF!</v>
      </c>
      <c r="Z22" s="456" t="e">
        <f>+MID('Input data'!#REF!,26,1)</f>
        <v>#REF!</v>
      </c>
      <c r="AA22" s="456" t="e">
        <f>+MID('Input data'!#REF!,27,1)</f>
        <v>#REF!</v>
      </c>
      <c r="AB22" s="456" t="e">
        <f>+MID('Input data'!#REF!,28,1)</f>
        <v>#REF!</v>
      </c>
      <c r="AC22" s="456" t="e">
        <f>+MID('Input data'!#REF!,29,1)</f>
        <v>#REF!</v>
      </c>
      <c r="AD22" s="456" t="e">
        <f>+MID('Input data'!#REF!,30,1)</f>
        <v>#REF!</v>
      </c>
      <c r="AE22" s="456" t="e">
        <f>+MID('Input data'!#REF!,31,1)</f>
        <v>#REF!</v>
      </c>
      <c r="AF22" s="456" t="e">
        <f>+MID('Input data'!#REF!,32,1)</f>
        <v>#REF!</v>
      </c>
      <c r="AG22" s="456" t="e">
        <f>+MID('Input data'!#REF!,33,1)</f>
        <v>#REF!</v>
      </c>
      <c r="AH22" s="456" t="e">
        <f>+MID('Input data'!#REF!,34,1)</f>
        <v>#REF!</v>
      </c>
      <c r="AI22" s="456" t="e">
        <f>+MID('Input data'!#REF!,35,1)</f>
        <v>#REF!</v>
      </c>
      <c r="AJ22" s="456" t="e">
        <f>+MID('Input data'!#REF!,36,1)</f>
        <v>#REF!</v>
      </c>
      <c r="AK22" s="455" t="e">
        <f>+MID('Input data'!#REF!,37,1)</f>
        <v>#REF!</v>
      </c>
      <c r="AL22" s="390"/>
      <c r="AM22" s="390"/>
    </row>
    <row r="23" spans="1:39" s="450" customFormat="1" ht="14.25" customHeight="1">
      <c r="A23" s="454" t="s">
        <v>1085</v>
      </c>
      <c r="B23" s="453"/>
      <c r="C23" s="453"/>
      <c r="D23" s="453"/>
      <c r="E23" s="453"/>
      <c r="F23" s="453"/>
      <c r="G23" s="453"/>
      <c r="H23" s="453"/>
      <c r="I23" s="453"/>
      <c r="J23" s="453"/>
      <c r="K23" s="453"/>
      <c r="L23" s="453"/>
      <c r="M23" s="453"/>
      <c r="N23" s="453"/>
      <c r="O23" s="453"/>
      <c r="P23" s="453"/>
      <c r="Q23" s="453"/>
      <c r="R23" s="453"/>
      <c r="S23" s="453"/>
      <c r="T23" s="453"/>
      <c r="U23" s="453"/>
      <c r="V23" s="453"/>
      <c r="W23" s="452"/>
      <c r="X23" s="452"/>
      <c r="Y23" s="452"/>
      <c r="Z23" s="452"/>
      <c r="AA23" s="452"/>
      <c r="AB23" s="452"/>
      <c r="AC23" s="452"/>
      <c r="AD23" s="452"/>
      <c r="AE23" s="452"/>
      <c r="AF23" s="452"/>
      <c r="AG23" s="452"/>
      <c r="AH23" s="452"/>
      <c r="AI23" s="452"/>
      <c r="AJ23" s="452"/>
      <c r="AK23" s="451"/>
    </row>
    <row r="24" spans="1:39" ht="13">
      <c r="A24" s="446" t="s">
        <v>1086</v>
      </c>
      <c r="B24" s="404"/>
      <c r="C24" s="404"/>
      <c r="D24" s="404"/>
      <c r="E24" s="404"/>
      <c r="F24" s="404"/>
      <c r="G24" s="404"/>
      <c r="H24" s="404"/>
      <c r="I24" s="404"/>
      <c r="J24" s="404"/>
      <c r="K24" s="404"/>
      <c r="L24" s="404"/>
      <c r="M24" s="404"/>
      <c r="N24" s="404"/>
      <c r="O24" s="404"/>
      <c r="P24" s="404"/>
      <c r="Q24" s="404"/>
      <c r="R24" s="404"/>
      <c r="S24" s="404"/>
      <c r="T24" s="404"/>
      <c r="U24" s="404"/>
      <c r="V24" s="404"/>
      <c r="W24" s="399"/>
      <c r="X24" s="399"/>
      <c r="Y24" s="399"/>
      <c r="Z24" s="399"/>
      <c r="AA24" s="399"/>
      <c r="AB24" s="404"/>
      <c r="AC24" s="399"/>
      <c r="AD24" s="402" t="s">
        <v>1087</v>
      </c>
      <c r="AE24" s="399"/>
      <c r="AF24" s="399"/>
      <c r="AG24" s="399"/>
      <c r="AH24" s="399"/>
      <c r="AI24" s="399"/>
      <c r="AJ24" s="399"/>
      <c r="AK24" s="398"/>
    </row>
    <row r="25" spans="1:39" s="530" customFormat="1" ht="19.5" customHeight="1">
      <c r="A25" s="449" t="str">
        <f>+LEFT('Input data'!$C$28,1)</f>
        <v>O</v>
      </c>
      <c r="B25" s="441" t="str">
        <f>+MID('Input data'!$C$28,2,1)</f>
        <v>d</v>
      </c>
      <c r="C25" s="441" t="str">
        <f>+MID('Input data'!$C$28,3,1)</f>
        <v>b</v>
      </c>
      <c r="D25" s="441" t="str">
        <f>+MID('Input data'!$C$28,4,1)</f>
        <v>o</v>
      </c>
      <c r="E25" s="441" t="str">
        <f>+MID('Input data'!$C$28,5,1)</f>
        <v>r</v>
      </c>
      <c r="F25" s="441" t="str">
        <f>+MID('Input data'!$C$28,6,1)</f>
        <v>á</v>
      </c>
      <c r="G25" s="441" t="str">
        <f>+MID('Input data'!$C$28,7,1)</f>
        <v>r</v>
      </c>
      <c r="H25" s="441" t="str">
        <f>+MID('Input data'!$C$28,8,1)</f>
        <v>s</v>
      </c>
      <c r="I25" s="441" t="str">
        <f>+MID('Input data'!$C$28,9,1)</f>
        <v>k</v>
      </c>
      <c r="J25" s="441" t="str">
        <f>+MID('Input data'!$C$28,10,1)</f>
        <v>a</v>
      </c>
      <c r="K25" s="441" t="str">
        <f>+MID('Input data'!$C$28,11,1)</f>
        <v/>
      </c>
      <c r="L25" s="441" t="str">
        <f>+MID('Input data'!$C$28,12,1)</f>
        <v/>
      </c>
      <c r="M25" s="441" t="str">
        <f>+MID('Input data'!$C$28,13,1)</f>
        <v/>
      </c>
      <c r="N25" s="441" t="str">
        <f>+MID('Input data'!$C$28,14,1)</f>
        <v/>
      </c>
      <c r="O25" s="441" t="str">
        <f>+MID('Input data'!$C$28,15,1)</f>
        <v/>
      </c>
      <c r="P25" s="441" t="str">
        <f>+MID('Input data'!$C$28,16,1)</f>
        <v/>
      </c>
      <c r="Q25" s="441" t="str">
        <f>+MID('Input data'!$C$28,17,1)</f>
        <v/>
      </c>
      <c r="R25" s="441" t="str">
        <f>+MID('Input data'!$C$28,18,1)</f>
        <v/>
      </c>
      <c r="S25" s="441" t="str">
        <f>+MID('Input data'!$C$28,19,1)</f>
        <v/>
      </c>
      <c r="T25" s="441" t="str">
        <f>+MID('Input data'!$C$28,20,1)</f>
        <v/>
      </c>
      <c r="U25" s="441" t="str">
        <f>+MID('Input data'!$C$28,21,1)</f>
        <v/>
      </c>
      <c r="V25" s="441" t="str">
        <f>+MID('Input data'!$C$28,22,1)</f>
        <v/>
      </c>
      <c r="W25" s="441" t="str">
        <f>+MID('Input data'!$C$28,23,1)</f>
        <v/>
      </c>
      <c r="X25" s="441" t="str">
        <f>+MID('Input data'!$C$28,24,1)</f>
        <v/>
      </c>
      <c r="Y25" s="441" t="str">
        <f>+MID('Input data'!$C$28,25,1)</f>
        <v/>
      </c>
      <c r="Z25" s="441" t="str">
        <f>+MID('Input data'!$C$28,26,1)</f>
        <v/>
      </c>
      <c r="AA25" s="441" t="str">
        <f>+MID('Input data'!$C$28,27,1)</f>
        <v/>
      </c>
      <c r="AB25" s="441" t="str">
        <f>+MID('Input data'!$C$28,28,1)</f>
        <v/>
      </c>
      <c r="AC25" s="443"/>
      <c r="AD25" s="441" t="str">
        <f>+LEFT('Input data'!$C$30,1)</f>
        <v>5</v>
      </c>
      <c r="AE25" s="441" t="str">
        <f>+MID('Input data'!$C$30,2,1)</f>
        <v>2</v>
      </c>
      <c r="AF25" s="441" t="str">
        <f>+MID('Input data'!$C$30,3,1)</f>
        <v/>
      </c>
      <c r="AG25" s="441" t="str">
        <f>+MID('Input data'!$C$30,4,1)</f>
        <v/>
      </c>
      <c r="AH25" s="441" t="str">
        <f>+MID('Input data'!$C$30,5,1)</f>
        <v/>
      </c>
      <c r="AI25" s="441" t="str">
        <f>+MID('Input data'!$C$30,6,1)</f>
        <v/>
      </c>
      <c r="AJ25" s="441" t="str">
        <f>+MID('Input data'!$C$30,7,1)</f>
        <v/>
      </c>
      <c r="AK25" s="448" t="str">
        <f>+MID('Input data'!$C$30,8,1)</f>
        <v/>
      </c>
    </row>
    <row r="26" spans="1:39" ht="13">
      <c r="A26" s="446" t="s">
        <v>1088</v>
      </c>
      <c r="B26" s="404"/>
      <c r="C26" s="404"/>
      <c r="D26" s="404"/>
      <c r="E26" s="404"/>
      <c r="F26" s="404"/>
      <c r="G26" s="445" t="s">
        <v>1089</v>
      </c>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39" s="530" customFormat="1" ht="19.5" customHeight="1">
      <c r="A27" s="449" t="str">
        <f>+LEFT('Input data'!$C$32,1)</f>
        <v>8</v>
      </c>
      <c r="B27" s="441" t="str">
        <f>+MID('Input data'!$C$32,2,1)</f>
        <v>3</v>
      </c>
      <c r="C27" s="441" t="str">
        <f>+MID('Input data'!$C$32,3,1)</f>
        <v>1</v>
      </c>
      <c r="D27" s="441" t="str">
        <f>+MID('Input data'!$C$32,4,1)</f>
        <v xml:space="preserve"> </v>
      </c>
      <c r="E27" s="441" t="str">
        <f>+MID('Input data'!$C$32,5,1)</f>
        <v>0</v>
      </c>
      <c r="F27" s="441"/>
      <c r="G27" s="441" t="str">
        <f>+LEFT('Input data'!$C$34,1)</f>
        <v>B</v>
      </c>
      <c r="H27" s="441" t="str">
        <f>+MID('Input data'!$C$34,2,1)</f>
        <v>r</v>
      </c>
      <c r="I27" s="441" t="str">
        <f>+MID('Input data'!$C$34,3,1)</f>
        <v>a</v>
      </c>
      <c r="J27" s="441" t="str">
        <f>+MID('Input data'!$C$34,4,1)</f>
        <v>t</v>
      </c>
      <c r="K27" s="441" t="str">
        <f>+MID('Input data'!$C$34,5,1)</f>
        <v>i</v>
      </c>
      <c r="L27" s="441" t="str">
        <f>+MID('Input data'!$C$34,6,1)</f>
        <v>s</v>
      </c>
      <c r="M27" s="441" t="str">
        <f>+MID('Input data'!$C$34,7,1)</f>
        <v>l</v>
      </c>
      <c r="N27" s="441" t="str">
        <f>+MID('Input data'!$C$34,8,1)</f>
        <v>a</v>
      </c>
      <c r="O27" s="441" t="str">
        <f>+MID('Input data'!$C$34,9,1)</f>
        <v>v</v>
      </c>
      <c r="P27" s="441" t="str">
        <f>+MID('Input data'!$C$34,10,1)</f>
        <v>a</v>
      </c>
      <c r="Q27" s="441" t="str">
        <f>+MID('Input data'!$C$34,11,1)</f>
        <v xml:space="preserve"> </v>
      </c>
      <c r="R27" s="441" t="str">
        <f>+MID('Input data'!$C$34,12,1)</f>
        <v/>
      </c>
      <c r="S27" s="441" t="str">
        <f>+MID('Input data'!$C$34,13,1)</f>
        <v/>
      </c>
      <c r="T27" s="441" t="str">
        <f>+MID('Input data'!$C$34,14,1)</f>
        <v/>
      </c>
      <c r="U27" s="441" t="str">
        <f>+MID('Input data'!$C$34,15,1)</f>
        <v/>
      </c>
      <c r="V27" s="441" t="str">
        <f>+MID('Input data'!$C$34,16,1)</f>
        <v/>
      </c>
      <c r="W27" s="441" t="str">
        <f>+MID('Input data'!$C$34,17,1)</f>
        <v/>
      </c>
      <c r="X27" s="441" t="str">
        <f>+MID('Input data'!$C$34,18,1)</f>
        <v/>
      </c>
      <c r="Y27" s="441" t="str">
        <f>+MID('Input data'!$C$34,19,1)</f>
        <v/>
      </c>
      <c r="Z27" s="441" t="str">
        <f>+MID('Input data'!$C$34,20,1)</f>
        <v/>
      </c>
      <c r="AA27" s="441" t="str">
        <f>+MID('Input data'!$C$34,21,1)</f>
        <v/>
      </c>
      <c r="AB27" s="441" t="str">
        <f>+MID('Input data'!$C$34,22,1)</f>
        <v/>
      </c>
      <c r="AC27" s="441" t="str">
        <f>+MID('Input data'!$C$34,23,1)</f>
        <v/>
      </c>
      <c r="AD27" s="441" t="str">
        <f>+MID('Input data'!$C$34,24,1)</f>
        <v/>
      </c>
      <c r="AE27" s="441" t="str">
        <f>+MID('Input data'!$C$34,25,1)</f>
        <v/>
      </c>
      <c r="AF27" s="441" t="str">
        <f>+MID('Input data'!$C$34,26,1)</f>
        <v/>
      </c>
      <c r="AG27" s="441" t="str">
        <f>+MID('Input data'!$C$34,27,1)</f>
        <v/>
      </c>
      <c r="AH27" s="441" t="str">
        <f>+MID('Input data'!$C$34,28,1)</f>
        <v/>
      </c>
      <c r="AI27" s="441" t="str">
        <f>+MID('Input data'!$C$34,29,1)</f>
        <v/>
      </c>
      <c r="AJ27" s="441" t="str">
        <f>+MID('Input data'!$C$34,30,1)</f>
        <v/>
      </c>
      <c r="AK27" s="448" t="str">
        <f>+MID('Input data'!$C$34,31,1)</f>
        <v/>
      </c>
    </row>
    <row r="28" spans="1:39" ht="13">
      <c r="A28" s="446" t="s">
        <v>1090</v>
      </c>
      <c r="B28" s="404"/>
      <c r="C28" s="404"/>
      <c r="D28" s="404"/>
      <c r="E28" s="404"/>
      <c r="F28" s="404"/>
      <c r="G28" s="445"/>
      <c r="H28" s="445"/>
      <c r="I28" s="445"/>
      <c r="J28" s="445"/>
      <c r="K28" s="445"/>
      <c r="L28" s="445"/>
      <c r="M28" s="445"/>
      <c r="N28" s="404"/>
      <c r="O28" s="445" t="s">
        <v>1091</v>
      </c>
      <c r="P28" s="445"/>
      <c r="Q28" s="445"/>
      <c r="R28" s="445"/>
      <c r="S28" s="445"/>
      <c r="T28" s="445"/>
      <c r="U28" s="445"/>
      <c r="V28" s="445"/>
      <c r="W28" s="445"/>
      <c r="X28" s="445"/>
      <c r="Y28" s="445"/>
      <c r="Z28" s="445"/>
      <c r="AA28" s="445"/>
      <c r="AB28" s="445"/>
      <c r="AC28" s="445"/>
      <c r="AD28" s="445"/>
      <c r="AE28" s="399"/>
      <c r="AF28" s="399"/>
      <c r="AG28" s="399"/>
      <c r="AH28" s="399"/>
      <c r="AI28" s="399"/>
      <c r="AJ28" s="399"/>
      <c r="AK28" s="398"/>
    </row>
    <row r="29" spans="1:39" s="530" customFormat="1" ht="19.5" customHeight="1">
      <c r="A29" s="444">
        <v>0</v>
      </c>
      <c r="B29" s="441" t="str">
        <f>+LEFT('Input data'!$C$36,1)</f>
        <v>2</v>
      </c>
      <c r="C29" s="441" t="str">
        <f>+MID('Input data'!$C$36,2,1)</f>
        <v/>
      </c>
      <c r="D29" s="441" t="str">
        <f>+MID('Input data'!$C$36,3,1)</f>
        <v/>
      </c>
      <c r="E29" s="441" t="s">
        <v>1092</v>
      </c>
      <c r="F29" s="441" t="str">
        <f>+LEFT('Input data'!$C$38,1)</f>
        <v>4</v>
      </c>
      <c r="G29" s="441" t="str">
        <f>+MID('Input data'!$C$38,2,1)</f>
        <v>8</v>
      </c>
      <c r="H29" s="441" t="str">
        <f>+MID('Input data'!$C$38,3,1)</f>
        <v>2</v>
      </c>
      <c r="I29" s="441" t="str">
        <f>+MID('Input data'!$C$38,4,1)</f>
        <v>0</v>
      </c>
      <c r="J29" s="441" t="str">
        <f>+MID('Input data'!$C$38,5,1)</f>
        <v>5</v>
      </c>
      <c r="K29" s="441" t="str">
        <f>+MID('Input data'!$C$38,6,1)</f>
        <v>2</v>
      </c>
      <c r="L29" s="441" t="str">
        <f>+MID('Input data'!$C$38,7,1)</f>
        <v>0</v>
      </c>
      <c r="M29" s="441" t="str">
        <f>+MID('Input data'!$C$38,8,1)</f>
        <v>0</v>
      </c>
      <c r="N29" s="443"/>
      <c r="O29" s="442">
        <v>0</v>
      </c>
      <c r="P29" s="441" t="str">
        <f>+LEFT('Input data'!$C$36,1)</f>
        <v>2</v>
      </c>
      <c r="Q29" s="441" t="str">
        <f>+MID('Input data'!$C$36,2,1)</f>
        <v/>
      </c>
      <c r="R29" s="441" t="str">
        <f>+MID('Input data'!$C$36,3,1)</f>
        <v/>
      </c>
      <c r="S29" s="441" t="s">
        <v>1092</v>
      </c>
      <c r="T29" s="441" t="str">
        <f>+LEFT('Input data'!$C$40,1)</f>
        <v/>
      </c>
      <c r="U29" s="441" t="str">
        <f>+MID('Input data'!$C$40,2,1)</f>
        <v/>
      </c>
      <c r="V29" s="441" t="str">
        <f>+MID('Input data'!$C$40,3,1)</f>
        <v/>
      </c>
      <c r="W29" s="441" t="str">
        <f>+MID('Input data'!$C$40,4,1)</f>
        <v/>
      </c>
      <c r="X29" s="441" t="str">
        <f>+MID('Input data'!$C$40,5,1)</f>
        <v/>
      </c>
      <c r="Y29" s="441" t="str">
        <f>+MID('Input data'!$C$40,6,1)</f>
        <v/>
      </c>
      <c r="Z29" s="441" t="str">
        <f>+MID('Input data'!$C$40,7,1)</f>
        <v/>
      </c>
      <c r="AA29" s="441" t="str">
        <f>+MID('Input data'!$C$40,8,1)</f>
        <v/>
      </c>
      <c r="AB29" s="441"/>
      <c r="AC29" s="441"/>
      <c r="AD29" s="441"/>
      <c r="AE29" s="399"/>
      <c r="AF29" s="399"/>
      <c r="AG29" s="399"/>
      <c r="AH29" s="399"/>
      <c r="AI29" s="399"/>
      <c r="AJ29" s="399"/>
      <c r="AK29" s="398"/>
    </row>
    <row r="30" spans="1:39" s="391" customFormat="1" ht="13">
      <c r="A30" s="403" t="s">
        <v>1094</v>
      </c>
      <c r="B30" s="402"/>
      <c r="C30" s="402"/>
      <c r="D30" s="402"/>
      <c r="E30" s="402"/>
      <c r="F30" s="402"/>
      <c r="G30" s="402"/>
      <c r="H30" s="402"/>
      <c r="I30" s="402"/>
      <c r="J30" s="402"/>
      <c r="K30" s="402"/>
      <c r="L30" s="402"/>
      <c r="M30" s="402"/>
      <c r="N30" s="402"/>
      <c r="O30" s="402"/>
      <c r="P30" s="402"/>
      <c r="Q30" s="402"/>
      <c r="R30" s="402"/>
      <c r="S30" s="402"/>
      <c r="T30" s="402"/>
      <c r="U30" s="402"/>
      <c r="V30" s="402"/>
      <c r="W30" s="399"/>
      <c r="X30" s="399"/>
      <c r="Y30" s="399"/>
      <c r="Z30" s="399"/>
      <c r="AA30" s="399"/>
      <c r="AB30" s="399"/>
      <c r="AC30" s="399"/>
      <c r="AD30" s="399"/>
      <c r="AE30" s="399"/>
      <c r="AF30" s="399"/>
      <c r="AG30" s="399"/>
      <c r="AH30" s="399"/>
      <c r="AI30" s="399"/>
      <c r="AJ30" s="399"/>
      <c r="AK30" s="398"/>
    </row>
    <row r="31" spans="1:39" s="530" customFormat="1" ht="19.5" customHeight="1" thickBot="1">
      <c r="A31" s="440" t="str">
        <f>+LEFT('Input data'!$B$42,1)</f>
        <v>o</v>
      </c>
      <c r="B31" s="439" t="str">
        <f>+MID('Input data'!$B$42,2,1)</f>
        <v>f</v>
      </c>
      <c r="C31" s="439" t="str">
        <f>+MID('Input data'!$B$42,3,1)</f>
        <v>f</v>
      </c>
      <c r="D31" s="439" t="str">
        <f>+MID('Input data'!$B$42,4,1)</f>
        <v>i</v>
      </c>
      <c r="E31" s="439" t="str">
        <f>+MID('Input data'!$B$42,5,1)</f>
        <v>c</v>
      </c>
      <c r="F31" s="439" t="str">
        <f>+MID('Input data'!$B$42,6,1)</f>
        <v>e</v>
      </c>
      <c r="G31" s="439" t="str">
        <f>+MID('Input data'!$B$42,7,1)</f>
        <v>.</v>
      </c>
      <c r="H31" s="439" t="str">
        <f>+MID('Input data'!$B$42,8,1)</f>
        <v>s</v>
      </c>
      <c r="I31" s="439" t="str">
        <f>+MID('Input data'!$B$42,9,1)</f>
        <v>k</v>
      </c>
      <c r="J31" s="439" t="str">
        <f>+MID('Input data'!$B$42,10,1)</f>
        <v>@</v>
      </c>
      <c r="K31" s="439" t="str">
        <f>+MID('Input data'!$B$42,11,1)</f>
        <v>f</v>
      </c>
      <c r="L31" s="439" t="str">
        <f>+MID('Input data'!$B$42,12,1)</f>
        <v>o</v>
      </c>
      <c r="M31" s="439" t="str">
        <f>+MID('Input data'!$B$42,13,1)</f>
        <v>s</v>
      </c>
      <c r="N31" s="439" t="str">
        <f>+MID('Input data'!$B$42,14,1)</f>
        <v>s</v>
      </c>
      <c r="O31" s="439" t="str">
        <f>+MID('Input data'!$B$42,15,1)</f>
        <v>f</v>
      </c>
      <c r="P31" s="439" t="str">
        <f>+MID('Input data'!$B$42,16,1)</f>
        <v>i</v>
      </c>
      <c r="Q31" s="439" t="str">
        <f>+MID('Input data'!$B$42,17,1)</f>
        <v>b</v>
      </c>
      <c r="R31" s="439" t="str">
        <f>+MID('Input data'!$B$42,18,1)</f>
        <v>r</v>
      </c>
      <c r="S31" s="439" t="str">
        <f>+MID('Input data'!$B$42,19,1)</f>
        <v>e</v>
      </c>
      <c r="T31" s="439" t="str">
        <f>+MID('Input data'!$B$42,20,1)</f>
        <v>o</v>
      </c>
      <c r="U31" s="439" t="str">
        <f>+MID('Input data'!$B$42,21,1)</f>
        <v>p</v>
      </c>
      <c r="V31" s="439" t="str">
        <f>+MID('Input data'!$B$42,22,1)</f>
        <v>t</v>
      </c>
      <c r="W31" s="439" t="str">
        <f>+MID('Input data'!$B$42,23,1)</f>
        <v>i</v>
      </c>
      <c r="X31" s="439" t="str">
        <f>+MID('Input data'!$B$42,24,1)</f>
        <v>c</v>
      </c>
      <c r="Y31" s="439" t="str">
        <f>+MID('Input data'!$B$42,25,1)</f>
        <v>s</v>
      </c>
      <c r="Z31" s="439" t="str">
        <f>+MID('Input data'!$B$42,26,1)</f>
        <v>.</v>
      </c>
      <c r="AA31" s="439" t="str">
        <f>+MID('Input data'!$B$42,27,1)</f>
        <v>c</v>
      </c>
      <c r="AB31" s="439" t="str">
        <f>+MID('Input data'!$B$42,28,1)</f>
        <v>o</v>
      </c>
      <c r="AC31" s="439" t="str">
        <f>+MID('Input data'!$B$42,29,1)</f>
        <v>m</v>
      </c>
      <c r="AD31" s="439" t="str">
        <f>+MID('Input data'!$B$42,30,1)</f>
        <v/>
      </c>
      <c r="AE31" s="439" t="str">
        <f>+MID('Input data'!$B$42,31,1)</f>
        <v/>
      </c>
      <c r="AF31" s="439" t="str">
        <f>+MID('Input data'!$B$42,32,1)</f>
        <v/>
      </c>
      <c r="AG31" s="439" t="str">
        <f>+MID('Input data'!$B$42,33,1)</f>
        <v/>
      </c>
      <c r="AH31" s="439" t="str">
        <f>+MID('Input data'!$B$42,34,1)</f>
        <v/>
      </c>
      <c r="AI31" s="439" t="str">
        <f>+MID('Input data'!$B$42,35,1)</f>
        <v/>
      </c>
      <c r="AJ31" s="439" t="str">
        <f>+MID('Input data'!$B$42,36,1)</f>
        <v/>
      </c>
      <c r="AK31" s="438" t="str">
        <f>+MID('Input data'!$B$42,37,1)</f>
        <v/>
      </c>
    </row>
    <row r="32" spans="1:39" s="391" customFormat="1" ht="4.5" customHeight="1" thickBot="1">
      <c r="W32" s="392"/>
      <c r="X32" s="392"/>
      <c r="Y32" s="392"/>
      <c r="Z32" s="392"/>
      <c r="AA32" s="392"/>
      <c r="AB32" s="392"/>
      <c r="AC32" s="392"/>
      <c r="AD32" s="392"/>
      <c r="AE32" s="392"/>
      <c r="AF32" s="392"/>
      <c r="AG32" s="392"/>
      <c r="AH32" s="392"/>
      <c r="AI32" s="392"/>
      <c r="AJ32" s="392"/>
      <c r="AK32" s="392"/>
    </row>
    <row r="33" spans="1:41" s="434" customFormat="1" ht="13" customHeight="1">
      <c r="A33" s="437" t="s">
        <v>1095</v>
      </c>
      <c r="B33" s="436"/>
      <c r="C33" s="436"/>
      <c r="D33" s="436"/>
      <c r="E33" s="436"/>
      <c r="F33" s="436"/>
      <c r="G33" s="436"/>
      <c r="H33" s="436"/>
      <c r="I33" s="436"/>
      <c r="J33" s="436"/>
      <c r="K33" s="435"/>
      <c r="L33" s="2443" t="s">
        <v>1098</v>
      </c>
      <c r="M33" s="2444"/>
      <c r="N33" s="2444"/>
      <c r="O33" s="2444"/>
      <c r="P33" s="2444"/>
      <c r="Q33" s="2444"/>
      <c r="R33" s="2444"/>
      <c r="S33" s="2444"/>
      <c r="T33" s="2445"/>
      <c r="U33" s="1639" t="s">
        <v>1097</v>
      </c>
      <c r="V33" s="1639"/>
      <c r="W33" s="1639"/>
      <c r="X33" s="1639"/>
      <c r="Y33" s="1639"/>
      <c r="Z33" s="1639"/>
      <c r="AA33" s="1639"/>
      <c r="AB33" s="2345"/>
      <c r="AC33" s="2443" t="s">
        <v>1096</v>
      </c>
      <c r="AD33" s="2444"/>
      <c r="AE33" s="2444"/>
      <c r="AF33" s="2444"/>
      <c r="AG33" s="2444"/>
      <c r="AH33" s="2444"/>
      <c r="AI33" s="2444"/>
      <c r="AJ33" s="2444"/>
      <c r="AK33" s="2449"/>
    </row>
    <row r="34" spans="1:41" s="391" customFormat="1" ht="19.5" customHeight="1">
      <c r="A34" s="420" t="str">
        <f>LEFT(TEXT('Input data'!F34,"dd.m.yyyy"),1)</f>
        <v>1</v>
      </c>
      <c r="B34" s="419" t="str">
        <f>MID(TEXT('Input data'!$F$34,"dd.mm.yyyy"),2,1)</f>
        <v>5</v>
      </c>
      <c r="C34" s="418" t="s">
        <v>1063</v>
      </c>
      <c r="D34" s="419" t="str">
        <f>MID(TEXT('Input data'!$F$34,"dd.mm.yyyy"),4,1)</f>
        <v>0</v>
      </c>
      <c r="E34" s="419" t="str">
        <f>MID(TEXT('Input data'!$F$34,"dd.mm.yyyy"),5,1)</f>
        <v>5</v>
      </c>
      <c r="F34" s="418" t="s">
        <v>1063</v>
      </c>
      <c r="G34" s="417" t="str">
        <f>MID(TEXT('Input data'!$F$34,"dd.mm.yyyy"),7,1)</f>
        <v>2</v>
      </c>
      <c r="H34" s="417" t="str">
        <f>MID(TEXT('Input data'!$F$34,"dd.mm.yyyy"),8,1)</f>
        <v>0</v>
      </c>
      <c r="I34" s="417" t="str">
        <f>MID(TEXT('Input data'!$F$34,"dd.mm.yyyy"),9,1)</f>
        <v>1</v>
      </c>
      <c r="J34" s="417" t="str">
        <f>MID(TEXT('Input data'!$F$34,"dd.mm.yyyy"),10,1)</f>
        <v>9</v>
      </c>
      <c r="K34" s="433"/>
      <c r="L34" s="2446"/>
      <c r="M34" s="2447"/>
      <c r="N34" s="2447"/>
      <c r="O34" s="2447"/>
      <c r="P34" s="2447"/>
      <c r="Q34" s="2447"/>
      <c r="R34" s="2447"/>
      <c r="S34" s="2447"/>
      <c r="T34" s="2448"/>
      <c r="U34" s="1641"/>
      <c r="V34" s="1641"/>
      <c r="W34" s="1641"/>
      <c r="X34" s="1641"/>
      <c r="Y34" s="1641"/>
      <c r="Z34" s="1641"/>
      <c r="AA34" s="1641"/>
      <c r="AB34" s="2347"/>
      <c r="AC34" s="2446"/>
      <c r="AD34" s="2447"/>
      <c r="AE34" s="2447"/>
      <c r="AF34" s="2447"/>
      <c r="AG34" s="2447"/>
      <c r="AH34" s="2447"/>
      <c r="AI34" s="2447"/>
      <c r="AJ34" s="2447"/>
      <c r="AK34" s="2450"/>
      <c r="AO34" s="529"/>
    </row>
    <row r="35" spans="1:41" s="391" customFormat="1" ht="13.5" customHeight="1">
      <c r="A35" s="432"/>
      <c r="B35" s="431"/>
      <c r="C35" s="431"/>
      <c r="D35" s="431"/>
      <c r="E35" s="431"/>
      <c r="F35" s="431"/>
      <c r="G35" s="430"/>
      <c r="H35" s="430"/>
      <c r="I35" s="430"/>
      <c r="J35" s="430"/>
      <c r="K35" s="429"/>
      <c r="L35" s="2446"/>
      <c r="M35" s="2447"/>
      <c r="N35" s="2447"/>
      <c r="O35" s="2447"/>
      <c r="P35" s="2447"/>
      <c r="Q35" s="2447"/>
      <c r="R35" s="2447"/>
      <c r="S35" s="2447"/>
      <c r="T35" s="2448"/>
      <c r="U35" s="1641"/>
      <c r="V35" s="1641"/>
      <c r="W35" s="1641"/>
      <c r="X35" s="1641"/>
      <c r="Y35" s="1641"/>
      <c r="Z35" s="1641"/>
      <c r="AA35" s="1641"/>
      <c r="AB35" s="2347"/>
      <c r="AC35" s="2446"/>
      <c r="AD35" s="2447"/>
      <c r="AE35" s="2447"/>
      <c r="AF35" s="2447"/>
      <c r="AG35" s="2447"/>
      <c r="AH35" s="2447"/>
      <c r="AI35" s="2447"/>
      <c r="AJ35" s="2447"/>
      <c r="AK35" s="2450"/>
    </row>
    <row r="36" spans="1:41" s="391" customFormat="1" ht="13">
      <c r="A36" s="403" t="s">
        <v>1099</v>
      </c>
      <c r="B36" s="402"/>
      <c r="C36" s="402"/>
      <c r="D36" s="402"/>
      <c r="E36" s="402"/>
      <c r="F36" s="402"/>
      <c r="G36" s="428"/>
      <c r="H36" s="428"/>
      <c r="I36" s="428"/>
      <c r="J36" s="428"/>
      <c r="K36" s="427"/>
      <c r="L36" s="426"/>
      <c r="M36" s="426"/>
      <c r="N36" s="426"/>
      <c r="O36" s="426"/>
      <c r="P36" s="426"/>
      <c r="Q36" s="426"/>
      <c r="R36" s="426"/>
      <c r="S36" s="402"/>
      <c r="T36" s="424"/>
      <c r="U36" s="425"/>
      <c r="V36" s="425"/>
      <c r="W36" s="425"/>
      <c r="X36" s="425"/>
      <c r="Y36" s="425"/>
      <c r="Z36" s="399"/>
      <c r="AA36" s="425"/>
      <c r="AB36" s="424"/>
      <c r="AC36" s="423"/>
      <c r="AD36" s="422"/>
      <c r="AE36" s="422"/>
      <c r="AF36" s="422"/>
      <c r="AG36" s="422"/>
      <c r="AH36" s="422"/>
      <c r="AI36" s="422"/>
      <c r="AJ36" s="422"/>
      <c r="AK36" s="421"/>
    </row>
    <row r="37" spans="1:41" s="391" customFormat="1" ht="19.5" customHeight="1">
      <c r="A37" s="420" t="str">
        <f>IF('Input data'!$F$36="","",LEFT(TEXT('Input data'!$F$36,"dd.mm.yyyy"),1))</f>
        <v/>
      </c>
      <c r="B37" s="419" t="str">
        <f>IF('Input data'!$F$36="","",MID(TEXT('Input data'!$F$36,"dd.mm.yyyy"),2,1))</f>
        <v/>
      </c>
      <c r="C37" s="418" t="s">
        <v>1063</v>
      </c>
      <c r="D37" s="419" t="str">
        <f>IF('Input data'!$F$36="","",MID(TEXT('Input data'!$F$36,"dd.mm.yyyy"),4,1))</f>
        <v/>
      </c>
      <c r="E37" s="419" t="str">
        <f>IF('Input data'!$F$36="","",MID(TEXT('Input data'!$F$36,"dd.mm.yyyy"),5,1))</f>
        <v/>
      </c>
      <c r="F37" s="418" t="s">
        <v>1063</v>
      </c>
      <c r="G37" s="417" t="str">
        <f>IF('Input data'!$F$36="","",MID(TEXT('Input data'!$F$36,"dd.mm.yyyy"),7,1))</f>
        <v/>
      </c>
      <c r="H37" s="417" t="str">
        <f>IF('Input data'!$F$36="","",MID(TEXT('Input data'!$F$36,"dd.mm.yyyy"),8,1))</f>
        <v/>
      </c>
      <c r="I37" s="417" t="str">
        <f>IF('Input data'!$F$36="","",MID(TEXT('Input data'!$F$36,"dd.mm.yyyy"),9,1))</f>
        <v/>
      </c>
      <c r="J37" s="417" t="str">
        <f>IF('Input data'!$F$36="","",MID(TEXT('Input data'!$F$36,"dd.mm.yyyy"),10,1))</f>
        <v/>
      </c>
      <c r="K37" s="416"/>
      <c r="L37" s="402"/>
      <c r="M37" s="402"/>
      <c r="N37" s="402"/>
      <c r="O37" s="402"/>
      <c r="P37" s="402"/>
      <c r="Q37" s="402"/>
      <c r="R37" s="402"/>
      <c r="S37" s="402"/>
      <c r="T37" s="528"/>
      <c r="U37" s="402"/>
      <c r="V37" s="399"/>
      <c r="W37" s="399"/>
      <c r="X37" s="399"/>
      <c r="Y37" s="399"/>
      <c r="Z37" s="399"/>
      <c r="AA37" s="399"/>
      <c r="AB37" s="527"/>
      <c r="AC37" s="399"/>
      <c r="AD37" s="399"/>
      <c r="AE37" s="399"/>
      <c r="AF37" s="399"/>
      <c r="AG37" s="399"/>
      <c r="AH37" s="399"/>
      <c r="AI37" s="399"/>
      <c r="AJ37" s="399"/>
      <c r="AK37" s="398"/>
    </row>
    <row r="38" spans="1:41" s="397" customFormat="1" ht="12" thickBot="1">
      <c r="A38" s="412"/>
      <c r="B38" s="411"/>
      <c r="C38" s="411"/>
      <c r="D38" s="411"/>
      <c r="E38" s="411"/>
      <c r="F38" s="411"/>
      <c r="G38" s="411"/>
      <c r="H38" s="411"/>
      <c r="I38" s="411"/>
      <c r="J38" s="411"/>
      <c r="K38" s="410"/>
      <c r="L38" s="2348">
        <f>'Input data'!F40</f>
        <v>0</v>
      </c>
      <c r="M38" s="2349"/>
      <c r="N38" s="2349"/>
      <c r="O38" s="2349"/>
      <c r="P38" s="2349"/>
      <c r="Q38" s="2349"/>
      <c r="R38" s="2349"/>
      <c r="S38" s="2349"/>
      <c r="T38" s="2350"/>
      <c r="U38" s="2348" t="e">
        <f>'Input data'!#REF!</f>
        <v>#REF!</v>
      </c>
      <c r="V38" s="2349"/>
      <c r="W38" s="2349"/>
      <c r="X38" s="2349"/>
      <c r="Y38" s="2349"/>
      <c r="Z38" s="2349"/>
      <c r="AA38" s="2349"/>
      <c r="AB38" s="2350"/>
      <c r="AC38" s="2351" t="e">
        <f>'Input data'!#REF!</f>
        <v>#REF!</v>
      </c>
      <c r="AD38" s="2349"/>
      <c r="AE38" s="2349"/>
      <c r="AF38" s="2349"/>
      <c r="AG38" s="2349"/>
      <c r="AH38" s="2349"/>
      <c r="AI38" s="2349"/>
      <c r="AJ38" s="2349"/>
      <c r="AK38" s="2352"/>
    </row>
    <row r="39" spans="1:41" s="397" customFormat="1" ht="13">
      <c r="W39" s="392"/>
      <c r="X39" s="392"/>
      <c r="Y39" s="392"/>
      <c r="Z39" s="392"/>
      <c r="AA39" s="392"/>
      <c r="AB39" s="392"/>
      <c r="AC39" s="392"/>
      <c r="AD39" s="392"/>
      <c r="AE39" s="392"/>
      <c r="AF39" s="392"/>
      <c r="AG39" s="392"/>
      <c r="AH39" s="392"/>
      <c r="AI39" s="392"/>
      <c r="AJ39" s="392"/>
      <c r="AK39" s="392"/>
    </row>
    <row r="40" spans="1:41" s="397" customFormat="1" ht="13">
      <c r="W40" s="392"/>
      <c r="X40" s="392"/>
      <c r="Y40" s="392"/>
      <c r="Z40" s="392"/>
      <c r="AA40" s="392"/>
      <c r="AB40" s="392"/>
      <c r="AC40" s="392"/>
      <c r="AD40" s="392"/>
      <c r="AE40" s="392"/>
      <c r="AF40" s="392"/>
      <c r="AG40" s="392"/>
      <c r="AH40" s="392"/>
      <c r="AI40" s="392"/>
      <c r="AJ40" s="392"/>
      <c r="AK40" s="392"/>
    </row>
    <row r="41" spans="1:41" s="397" customFormat="1" ht="13">
      <c r="W41" s="392"/>
      <c r="X41" s="392"/>
      <c r="Y41" s="392"/>
      <c r="Z41" s="392"/>
      <c r="AA41" s="392"/>
      <c r="AB41" s="392"/>
      <c r="AC41" s="392"/>
      <c r="AD41" s="392"/>
      <c r="AE41" s="392"/>
      <c r="AF41" s="392"/>
      <c r="AG41" s="392"/>
      <c r="AH41" s="392"/>
      <c r="AI41" s="392"/>
      <c r="AJ41" s="392"/>
      <c r="AK41" s="392"/>
    </row>
    <row r="42" spans="1:41" ht="13.5" thickBot="1">
      <c r="W42" s="392"/>
      <c r="X42" s="392"/>
      <c r="Y42" s="392"/>
      <c r="Z42" s="392"/>
      <c r="AA42" s="392"/>
      <c r="AB42" s="392"/>
      <c r="AC42" s="392"/>
      <c r="AD42" s="392"/>
      <c r="AE42" s="392"/>
      <c r="AF42" s="392"/>
      <c r="AG42" s="392"/>
      <c r="AH42" s="392"/>
      <c r="AI42" s="392"/>
      <c r="AJ42" s="392"/>
      <c r="AK42" s="392"/>
    </row>
    <row r="43" spans="1:41" s="397" customFormat="1" ht="13">
      <c r="B43" s="409" t="s">
        <v>1100</v>
      </c>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392"/>
    </row>
    <row r="44" spans="1:41" s="397" customFormat="1" ht="13">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41" ht="13">
      <c r="B45" s="405"/>
      <c r="C45" s="404"/>
      <c r="D45" s="404"/>
      <c r="E45" s="404"/>
      <c r="F45" s="404"/>
      <c r="G45" s="404"/>
      <c r="H45" s="404"/>
      <c r="I45" s="404"/>
      <c r="J45" s="404"/>
      <c r="K45" s="404"/>
      <c r="L45" s="404"/>
      <c r="M45" s="404"/>
      <c r="N45" s="404"/>
      <c r="O45" s="404"/>
      <c r="P45" s="404"/>
      <c r="Q45" s="404"/>
      <c r="R45" s="404"/>
      <c r="S45" s="404"/>
      <c r="T45" s="404"/>
      <c r="U45" s="404"/>
      <c r="V45" s="404"/>
      <c r="W45" s="399"/>
      <c r="X45" s="399"/>
      <c r="Y45" s="399"/>
      <c r="Z45" s="399"/>
      <c r="AA45" s="399"/>
      <c r="AB45" s="399"/>
      <c r="AC45" s="399"/>
      <c r="AD45" s="399"/>
      <c r="AE45" s="399"/>
      <c r="AF45" s="399"/>
      <c r="AG45" s="399"/>
      <c r="AH45" s="399"/>
      <c r="AI45" s="399"/>
      <c r="AJ45" s="398"/>
      <c r="AK45" s="392"/>
    </row>
    <row r="46" spans="1:41" s="397" customFormat="1" ht="13">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41" s="391" customFormat="1" ht="13">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41" s="391" customFormat="1" ht="13">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1:39"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1:39"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1:39" s="397" customFormat="1" ht="13">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1:39" s="397" customFormat="1" ht="13">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1:39" s="391" customFormat="1" ht="13.5" thickBot="1">
      <c r="B53" s="396"/>
      <c r="C53" s="395"/>
      <c r="D53" s="395"/>
      <c r="E53" s="395"/>
      <c r="F53" s="395"/>
      <c r="G53" s="395" t="s">
        <v>1101</v>
      </c>
      <c r="H53" s="395"/>
      <c r="I53" s="395"/>
      <c r="J53" s="395"/>
      <c r="K53" s="395"/>
      <c r="L53" s="395"/>
      <c r="M53" s="395"/>
      <c r="N53" s="395"/>
      <c r="O53" s="395"/>
      <c r="P53" s="395"/>
      <c r="Q53" s="395"/>
      <c r="R53" s="395"/>
      <c r="S53" s="395"/>
      <c r="T53" s="395"/>
      <c r="U53" s="395" t="s">
        <v>1102</v>
      </c>
      <c r="V53" s="395"/>
      <c r="W53" s="394"/>
      <c r="X53" s="394"/>
      <c r="Y53" s="394"/>
      <c r="Z53" s="394"/>
      <c r="AA53" s="394"/>
      <c r="AB53" s="394"/>
      <c r="AC53" s="394"/>
      <c r="AD53" s="394"/>
      <c r="AE53" s="394"/>
      <c r="AF53" s="394"/>
      <c r="AG53" s="394"/>
      <c r="AH53" s="394"/>
      <c r="AI53" s="394"/>
      <c r="AJ53" s="393"/>
      <c r="AK53" s="392"/>
    </row>
    <row r="55" spans="1:39">
      <c r="A55" s="500"/>
      <c r="B55" s="500"/>
      <c r="C55" s="501"/>
      <c r="D55" s="500"/>
      <c r="E55" s="500"/>
      <c r="F55" s="500"/>
      <c r="G55" s="500"/>
      <c r="H55" s="500"/>
      <c r="I55" s="500"/>
      <c r="J55" s="500"/>
      <c r="K55" s="500"/>
      <c r="L55" s="500"/>
      <c r="M55" s="500"/>
      <c r="N55" s="500"/>
      <c r="O55" s="500"/>
      <c r="P55" s="500"/>
      <c r="Q55" s="500"/>
      <c r="R55" s="500"/>
      <c r="S55" s="500"/>
      <c r="T55" s="500"/>
      <c r="U55" s="500"/>
      <c r="V55" s="500"/>
      <c r="W55" s="500"/>
      <c r="X55" s="500"/>
      <c r="Y55" s="500"/>
      <c r="Z55" s="500"/>
      <c r="AA55" s="500"/>
      <c r="AB55" s="500"/>
      <c r="AC55" s="500"/>
      <c r="AD55" s="500"/>
      <c r="AE55" s="500"/>
      <c r="AF55" s="500"/>
      <c r="AG55" s="500"/>
      <c r="AH55" s="500"/>
      <c r="AI55" s="500"/>
      <c r="AJ55" s="500"/>
      <c r="AK55" s="500"/>
      <c r="AL55" s="500"/>
      <c r="AM55" s="500"/>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sheetPr>
  <dimension ref="B2:G208"/>
  <sheetViews>
    <sheetView showGridLines="0" tabSelected="1" topLeftCell="A7" zoomScale="50" zoomScaleNormal="50" workbookViewId="0">
      <selection activeCell="D29" sqref="D29"/>
    </sheetView>
  </sheetViews>
  <sheetFormatPr defaultColWidth="10.26953125" defaultRowHeight="17.5"/>
  <cols>
    <col min="1" max="1" width="5" style="297" customWidth="1"/>
    <col min="2" max="2" width="10.453125" style="291" customWidth="1"/>
    <col min="3" max="3" width="140.453125" style="293" customWidth="1"/>
    <col min="4" max="4" width="21.7265625" style="294" customWidth="1"/>
    <col min="5" max="5" width="22.81640625" style="294" customWidth="1"/>
    <col min="6" max="6" width="19.7265625" style="291" customWidth="1"/>
    <col min="7" max="7" width="11.54296875" style="295" bestFit="1" customWidth="1"/>
    <col min="8" max="16384" width="10.26953125" style="297"/>
  </cols>
  <sheetData>
    <row r="2" spans="2:7" ht="32.5">
      <c r="C2" s="292" t="s">
        <v>981</v>
      </c>
    </row>
    <row r="3" spans="2:7" ht="24" customHeight="1">
      <c r="C3" s="298" t="s">
        <v>2991</v>
      </c>
      <c r="D3" s="299"/>
      <c r="F3" s="300"/>
    </row>
    <row r="4" spans="2:7" ht="24" customHeight="1">
      <c r="C4" s="301" t="s">
        <v>982</v>
      </c>
      <c r="D4" s="299"/>
      <c r="F4" s="300"/>
      <c r="G4" s="296"/>
    </row>
    <row r="5" spans="2:7" ht="24" customHeight="1">
      <c r="C5" s="301"/>
      <c r="D5" s="299"/>
      <c r="F5" s="300"/>
      <c r="G5" s="296"/>
    </row>
    <row r="6" spans="2:7" ht="20.25" customHeight="1">
      <c r="B6" s="302"/>
      <c r="C6" s="303"/>
      <c r="F6" s="304"/>
    </row>
    <row r="7" spans="2:7" s="305" customFormat="1" ht="20.25" customHeight="1">
      <c r="B7" s="2452" t="s">
        <v>2206</v>
      </c>
      <c r="C7" s="2452" t="s">
        <v>1</v>
      </c>
      <c r="D7" s="2455" t="s">
        <v>2207</v>
      </c>
      <c r="E7" s="2456"/>
      <c r="F7" s="306"/>
      <c r="G7" s="295"/>
    </row>
    <row r="8" spans="2:7" s="305" customFormat="1" ht="20.25" customHeight="1">
      <c r="B8" s="2453"/>
      <c r="C8" s="2453"/>
      <c r="D8" s="1009" t="s">
        <v>2208</v>
      </c>
      <c r="E8" s="1009" t="s">
        <v>2209</v>
      </c>
      <c r="F8" s="306"/>
      <c r="G8" s="295"/>
    </row>
    <row r="9" spans="2:7" s="305" customFormat="1" ht="20.25" customHeight="1">
      <c r="B9" s="2454"/>
      <c r="C9" s="2454"/>
      <c r="D9" s="1010" t="s">
        <v>1083</v>
      </c>
      <c r="E9" s="1010" t="s">
        <v>1083</v>
      </c>
      <c r="F9" s="306"/>
      <c r="G9" s="295"/>
    </row>
    <row r="10" spans="2:7" s="305" customFormat="1" ht="20.25" customHeight="1">
      <c r="B10" s="1011" t="s">
        <v>2210</v>
      </c>
      <c r="C10" s="1012"/>
      <c r="D10" s="1013"/>
      <c r="E10" s="1014"/>
      <c r="F10" s="306"/>
      <c r="G10" s="295"/>
    </row>
    <row r="11" spans="2:7" s="305" customFormat="1" ht="18">
      <c r="B11" s="1015" t="s">
        <v>984</v>
      </c>
      <c r="C11" s="1016" t="s">
        <v>2025</v>
      </c>
      <c r="D11" s="1017">
        <f>'P&amp;L'!D64</f>
        <v>497111</v>
      </c>
      <c r="E11" s="1017">
        <f>'P&amp;L'!E64</f>
        <v>212837</v>
      </c>
      <c r="F11" s="306"/>
      <c r="G11" s="295"/>
    </row>
    <row r="12" spans="2:7" s="305" customFormat="1" ht="22" customHeight="1">
      <c r="B12" s="309"/>
      <c r="C12" s="310"/>
      <c r="D12" s="1008"/>
      <c r="E12" s="1008"/>
      <c r="F12" s="306"/>
      <c r="G12" s="295"/>
    </row>
    <row r="13" spans="2:7" s="305" customFormat="1" ht="39.75" customHeight="1">
      <c r="B13" s="312" t="s">
        <v>985</v>
      </c>
      <c r="C13" s="960" t="s">
        <v>2026</v>
      </c>
      <c r="D13" s="1007">
        <f>SUM(D14:D26)</f>
        <v>355930</v>
      </c>
      <c r="E13" s="1007">
        <f>SUM(E14:E26)</f>
        <v>471804</v>
      </c>
      <c r="F13" s="315"/>
      <c r="G13" s="295"/>
    </row>
    <row r="14" spans="2:7" s="305" customFormat="1" ht="22" customHeight="1">
      <c r="B14" s="312" t="s">
        <v>986</v>
      </c>
      <c r="C14" s="313" t="s">
        <v>2027</v>
      </c>
      <c r="D14" s="311">
        <v>429679</v>
      </c>
      <c r="E14" s="316">
        <v>406478</v>
      </c>
      <c r="F14" s="315"/>
      <c r="G14" s="295"/>
    </row>
    <row r="15" spans="2:7" s="305" customFormat="1" ht="39.75" customHeight="1">
      <c r="B15" s="312" t="s">
        <v>987</v>
      </c>
      <c r="C15" s="961" t="s">
        <v>2028</v>
      </c>
      <c r="D15" s="311">
        <v>0</v>
      </c>
      <c r="E15" s="316">
        <v>0</v>
      </c>
      <c r="F15" s="315"/>
      <c r="G15" s="295"/>
    </row>
    <row r="16" spans="2:7" s="305" customFormat="1" ht="22" customHeight="1">
      <c r="B16" s="312" t="s">
        <v>988</v>
      </c>
      <c r="C16" s="313" t="s">
        <v>2029</v>
      </c>
      <c r="D16" s="311">
        <v>0</v>
      </c>
      <c r="E16" s="316">
        <v>0</v>
      </c>
      <c r="F16" s="315"/>
      <c r="G16" s="295"/>
    </row>
    <row r="17" spans="2:7" s="305" customFormat="1" ht="22" customHeight="1">
      <c r="B17" s="312" t="s">
        <v>989</v>
      </c>
      <c r="C17" s="313" t="s">
        <v>2030</v>
      </c>
      <c r="D17" s="311">
        <v>0</v>
      </c>
      <c r="E17" s="316">
        <v>0</v>
      </c>
      <c r="F17" s="315"/>
      <c r="G17" s="295"/>
    </row>
    <row r="18" spans="2:7" s="305" customFormat="1" ht="22" customHeight="1">
      <c r="B18" s="312" t="s">
        <v>990</v>
      </c>
      <c r="C18" s="313" t="s">
        <v>2031</v>
      </c>
      <c r="D18" s="311">
        <v>16027</v>
      </c>
      <c r="E18" s="316">
        <v>11121</v>
      </c>
      <c r="F18" s="315"/>
      <c r="G18" s="295"/>
    </row>
    <row r="19" spans="2:7" s="305" customFormat="1" ht="22" customHeight="1">
      <c r="B19" s="312" t="s">
        <v>991</v>
      </c>
      <c r="C19" s="313" t="s">
        <v>2032</v>
      </c>
      <c r="D19" s="311">
        <v>-2120</v>
      </c>
      <c r="E19" s="316">
        <v>-1421</v>
      </c>
      <c r="F19" s="315"/>
      <c r="G19" s="295"/>
    </row>
    <row r="20" spans="2:7" s="305" customFormat="1" ht="22" customHeight="1">
      <c r="B20" s="312" t="s">
        <v>992</v>
      </c>
      <c r="C20" s="313" t="s">
        <v>2033</v>
      </c>
      <c r="D20" s="311">
        <v>0</v>
      </c>
      <c r="E20" s="316">
        <v>0</v>
      </c>
      <c r="F20" s="315"/>
      <c r="G20" s="295"/>
    </row>
    <row r="21" spans="2:7" s="305" customFormat="1" ht="22" customHeight="1">
      <c r="B21" s="312" t="s">
        <v>993</v>
      </c>
      <c r="C21" s="961" t="s">
        <v>2034</v>
      </c>
      <c r="D21" s="311">
        <v>0</v>
      </c>
      <c r="E21" s="316">
        <v>0</v>
      </c>
      <c r="F21" s="315"/>
      <c r="G21" s="295"/>
    </row>
    <row r="22" spans="2:7" s="305" customFormat="1" ht="22" customHeight="1">
      <c r="B22" s="312" t="s">
        <v>994</v>
      </c>
      <c r="C22" s="961" t="s">
        <v>2035</v>
      </c>
      <c r="D22" s="311">
        <v>0</v>
      </c>
      <c r="E22" s="316">
        <v>0</v>
      </c>
      <c r="F22" s="315"/>
      <c r="G22" s="295"/>
    </row>
    <row r="23" spans="2:7" s="305" customFormat="1" ht="39.75" customHeight="1">
      <c r="B23" s="312" t="s">
        <v>995</v>
      </c>
      <c r="C23" s="960" t="s">
        <v>2036</v>
      </c>
      <c r="D23" s="311">
        <v>0</v>
      </c>
      <c r="E23" s="316">
        <v>0</v>
      </c>
      <c r="F23" s="315"/>
      <c r="G23" s="295"/>
    </row>
    <row r="24" spans="2:7" s="305" customFormat="1" ht="41.25" customHeight="1">
      <c r="B24" s="312" t="s">
        <v>996</v>
      </c>
      <c r="C24" s="960" t="s">
        <v>2037</v>
      </c>
      <c r="D24" s="311">
        <v>0</v>
      </c>
      <c r="E24" s="316">
        <v>0</v>
      </c>
      <c r="F24" s="315"/>
      <c r="G24" s="295"/>
    </row>
    <row r="25" spans="2:7" s="305" customFormat="1" ht="22" customHeight="1">
      <c r="B25" s="312" t="s">
        <v>997</v>
      </c>
      <c r="C25" s="313" t="s">
        <v>2038</v>
      </c>
      <c r="D25" s="311">
        <v>0</v>
      </c>
      <c r="E25" s="316">
        <v>-9584</v>
      </c>
      <c r="F25" s="315"/>
      <c r="G25" s="295"/>
    </row>
    <row r="26" spans="2:7" s="305" customFormat="1" ht="42.75" customHeight="1">
      <c r="B26" s="312" t="s">
        <v>998</v>
      </c>
      <c r="C26" s="960" t="s">
        <v>2039</v>
      </c>
      <c r="D26" s="1008">
        <v>-87656</v>
      </c>
      <c r="E26" s="311">
        <v>65210</v>
      </c>
      <c r="F26" s="315"/>
      <c r="G26" s="295"/>
    </row>
    <row r="27" spans="2:7" s="305" customFormat="1" ht="59.25" customHeight="1">
      <c r="B27" s="312" t="s">
        <v>999</v>
      </c>
      <c r="C27" s="960" t="s">
        <v>2040</v>
      </c>
      <c r="D27" s="1007">
        <f>SUM(D28:D30)</f>
        <v>515046</v>
      </c>
      <c r="E27" s="1007">
        <f>SUM(E28:E30)</f>
        <v>-356274</v>
      </c>
      <c r="F27" s="306"/>
      <c r="G27" s="317"/>
    </row>
    <row r="28" spans="2:7" s="305" customFormat="1" ht="22" customHeight="1">
      <c r="B28" s="312" t="s">
        <v>1000</v>
      </c>
      <c r="C28" s="313" t="s">
        <v>2041</v>
      </c>
      <c r="D28" s="311">
        <v>805704</v>
      </c>
      <c r="E28" s="316">
        <v>-419578</v>
      </c>
      <c r="F28" s="306"/>
      <c r="G28" s="317"/>
    </row>
    <row r="29" spans="2:7" s="305" customFormat="1" ht="22" customHeight="1">
      <c r="B29" s="312" t="s">
        <v>1001</v>
      </c>
      <c r="C29" s="961" t="s">
        <v>2042</v>
      </c>
      <c r="D29" s="1008">
        <v>-342790</v>
      </c>
      <c r="E29" s="316">
        <v>336963</v>
      </c>
      <c r="F29" s="306"/>
      <c r="G29" s="317"/>
    </row>
    <row r="30" spans="2:7" s="305" customFormat="1" ht="22" customHeight="1">
      <c r="B30" s="312" t="s">
        <v>1002</v>
      </c>
      <c r="C30" s="961" t="s">
        <v>2043</v>
      </c>
      <c r="D30" s="311">
        <v>52132</v>
      </c>
      <c r="E30" s="316">
        <v>-273659</v>
      </c>
      <c r="F30" s="306"/>
      <c r="G30" s="317"/>
    </row>
    <row r="31" spans="2:7" s="305" customFormat="1" ht="38.25" customHeight="1">
      <c r="B31" s="312" t="s">
        <v>1003</v>
      </c>
      <c r="C31" s="961" t="s">
        <v>2044</v>
      </c>
      <c r="D31" s="316"/>
      <c r="E31" s="316"/>
      <c r="F31" s="306"/>
      <c r="G31" s="317"/>
    </row>
    <row r="32" spans="2:7" s="305" customFormat="1" ht="38.25" customHeight="1">
      <c r="B32" s="312"/>
      <c r="C32" s="962" t="s">
        <v>2045</v>
      </c>
      <c r="D32" s="1463">
        <f>D11+D13+D27</f>
        <v>1368087</v>
      </c>
      <c r="E32" s="1496">
        <f>E11+E13+E27</f>
        <v>328367</v>
      </c>
      <c r="F32" s="306"/>
      <c r="G32" s="317"/>
    </row>
    <row r="33" spans="2:7" s="305" customFormat="1" ht="22" customHeight="1">
      <c r="B33" s="963" t="s">
        <v>1004</v>
      </c>
      <c r="C33" s="964" t="s">
        <v>2046</v>
      </c>
      <c r="D33" s="316"/>
      <c r="E33" s="316"/>
      <c r="F33" s="306"/>
      <c r="G33" s="317"/>
    </row>
    <row r="34" spans="2:7" s="305" customFormat="1" ht="22" customHeight="1">
      <c r="B34" s="963" t="s">
        <v>1005</v>
      </c>
      <c r="C34" s="964" t="s">
        <v>2047</v>
      </c>
      <c r="D34" s="311">
        <v>0</v>
      </c>
      <c r="E34" s="316">
        <v>0</v>
      </c>
      <c r="F34" s="306"/>
      <c r="G34" s="317"/>
    </row>
    <row r="35" spans="2:7" s="305" customFormat="1">
      <c r="B35" s="963" t="s">
        <v>1006</v>
      </c>
      <c r="C35" s="964" t="s">
        <v>2048</v>
      </c>
      <c r="D35" s="311">
        <v>0</v>
      </c>
      <c r="E35" s="316">
        <v>0</v>
      </c>
      <c r="F35" s="306"/>
      <c r="G35" s="317"/>
    </row>
    <row r="36" spans="2:7" s="305" customFormat="1">
      <c r="B36" s="963" t="s">
        <v>1007</v>
      </c>
      <c r="C36" s="964" t="s">
        <v>2049</v>
      </c>
      <c r="D36" s="311">
        <v>-411360</v>
      </c>
      <c r="E36" s="316">
        <v>-114636</v>
      </c>
      <c r="F36" s="306"/>
      <c r="G36" s="317"/>
    </row>
    <row r="37" spans="2:7" s="305" customFormat="1" ht="22" customHeight="1">
      <c r="B37" s="963"/>
      <c r="C37" s="965" t="s">
        <v>2050</v>
      </c>
      <c r="D37" s="1538">
        <f>SUM(D32:D36)</f>
        <v>956727</v>
      </c>
      <c r="E37" s="1539">
        <f>SUM(E32:E36)</f>
        <v>213731</v>
      </c>
      <c r="F37" s="306"/>
      <c r="G37" s="317"/>
    </row>
    <row r="38" spans="2:7" s="305" customFormat="1" ht="35">
      <c r="B38" s="963" t="s">
        <v>1008</v>
      </c>
      <c r="C38" s="964" t="s">
        <v>2051</v>
      </c>
      <c r="D38" s="311">
        <v>-101233</v>
      </c>
      <c r="E38" s="316">
        <v>-286811</v>
      </c>
      <c r="F38" s="306"/>
      <c r="G38" s="317"/>
    </row>
    <row r="39" spans="2:7" s="305" customFormat="1" ht="22" customHeight="1">
      <c r="B39" s="963" t="s">
        <v>1009</v>
      </c>
      <c r="C39" s="964" t="s">
        <v>2052</v>
      </c>
      <c r="D39" s="316">
        <v>0</v>
      </c>
      <c r="E39" s="316">
        <v>0</v>
      </c>
      <c r="F39" s="306"/>
      <c r="G39" s="317"/>
    </row>
    <row r="40" spans="2:7" s="305" customFormat="1" ht="22" customHeight="1">
      <c r="B40" s="963" t="s">
        <v>1010</v>
      </c>
      <c r="C40" s="964" t="s">
        <v>2053</v>
      </c>
      <c r="D40" s="316">
        <v>0</v>
      </c>
      <c r="E40" s="316"/>
      <c r="F40" s="306"/>
      <c r="G40" s="317"/>
    </row>
    <row r="41" spans="2:7" s="320" customFormat="1" ht="18">
      <c r="B41" s="307" t="s">
        <v>523</v>
      </c>
      <c r="C41" s="962" t="s">
        <v>2054</v>
      </c>
      <c r="D41" s="308">
        <f>SUM(D37:D40)</f>
        <v>855494</v>
      </c>
      <c r="E41" s="308">
        <f>SUM(E37:E40)</f>
        <v>-73080</v>
      </c>
      <c r="F41" s="318"/>
      <c r="G41" s="319"/>
    </row>
    <row r="42" spans="2:7" s="320" customFormat="1" ht="28" customHeight="1">
      <c r="B42" s="967"/>
      <c r="C42" s="969"/>
      <c r="D42" s="966"/>
      <c r="E42" s="966"/>
      <c r="F42" s="318"/>
      <c r="G42" s="319"/>
    </row>
    <row r="43" spans="2:7" s="320" customFormat="1" ht="28" customHeight="1">
      <c r="B43" s="967"/>
      <c r="C43" s="970" t="s">
        <v>2056</v>
      </c>
      <c r="D43" s="966"/>
      <c r="E43" s="966"/>
      <c r="F43" s="318"/>
      <c r="G43" s="319"/>
    </row>
    <row r="44" spans="2:7" s="305" customFormat="1">
      <c r="B44" s="968" t="s">
        <v>833</v>
      </c>
      <c r="C44" s="971" t="s">
        <v>2057</v>
      </c>
      <c r="D44" s="311">
        <v>0</v>
      </c>
      <c r="E44" s="311"/>
      <c r="F44" s="306"/>
      <c r="G44" s="317"/>
    </row>
    <row r="45" spans="2:7" s="305" customFormat="1" ht="22" customHeight="1">
      <c r="B45" s="968" t="s">
        <v>1011</v>
      </c>
      <c r="C45" s="971" t="s">
        <v>2058</v>
      </c>
      <c r="D45" s="311">
        <v>-54415</v>
      </c>
      <c r="E45" s="311">
        <v>-406211</v>
      </c>
      <c r="F45" s="306"/>
      <c r="G45" s="317"/>
    </row>
    <row r="46" spans="2:7" s="305" customFormat="1" ht="35">
      <c r="B46" s="968" t="s">
        <v>1012</v>
      </c>
      <c r="C46" s="971" t="s">
        <v>2059</v>
      </c>
      <c r="D46" s="311">
        <v>0</v>
      </c>
      <c r="E46" s="311">
        <v>0</v>
      </c>
      <c r="F46" s="306"/>
      <c r="G46" s="317"/>
    </row>
    <row r="47" spans="2:7" s="305" customFormat="1" ht="22" customHeight="1">
      <c r="B47" s="968" t="s">
        <v>1013</v>
      </c>
      <c r="C47" s="971" t="s">
        <v>2060</v>
      </c>
      <c r="D47" s="311">
        <v>0</v>
      </c>
      <c r="E47" s="311">
        <v>0</v>
      </c>
      <c r="F47" s="306"/>
      <c r="G47" s="317"/>
    </row>
    <row r="48" spans="2:7" s="305" customFormat="1" ht="22" customHeight="1">
      <c r="B48" s="968" t="s">
        <v>1014</v>
      </c>
      <c r="C48" s="971" t="s">
        <v>2061</v>
      </c>
      <c r="D48" s="311">
        <v>0</v>
      </c>
      <c r="E48" s="311">
        <v>9584</v>
      </c>
      <c r="F48" s="306"/>
      <c r="G48" s="317"/>
    </row>
    <row r="49" spans="2:7" s="305" customFormat="1" ht="35">
      <c r="B49" s="968" t="s">
        <v>1015</v>
      </c>
      <c r="C49" s="971" t="s">
        <v>2062</v>
      </c>
      <c r="D49" s="311">
        <v>0</v>
      </c>
      <c r="E49" s="311"/>
      <c r="F49" s="306"/>
      <c r="G49" s="317"/>
    </row>
    <row r="50" spans="2:7" s="305" customFormat="1" ht="35">
      <c r="B50" s="968" t="s">
        <v>1016</v>
      </c>
      <c r="C50" s="971" t="s">
        <v>2063</v>
      </c>
      <c r="D50" s="311">
        <v>0</v>
      </c>
      <c r="E50" s="311"/>
      <c r="F50" s="306"/>
      <c r="G50" s="317"/>
    </row>
    <row r="51" spans="2:7" s="305" customFormat="1" ht="35">
      <c r="B51" s="968" t="s">
        <v>1017</v>
      </c>
      <c r="C51" s="971" t="s">
        <v>2064</v>
      </c>
      <c r="D51" s="311">
        <v>0</v>
      </c>
      <c r="E51" s="311"/>
      <c r="F51" s="306"/>
      <c r="G51" s="317"/>
    </row>
    <row r="52" spans="2:7" s="305" customFormat="1" ht="35">
      <c r="B52" s="968" t="s">
        <v>1018</v>
      </c>
      <c r="C52" s="971" t="s">
        <v>2065</v>
      </c>
      <c r="D52" s="311">
        <v>0</v>
      </c>
      <c r="E52" s="311"/>
      <c r="F52" s="306"/>
      <c r="G52" s="317"/>
    </row>
    <row r="53" spans="2:7" s="305" customFormat="1" ht="35">
      <c r="B53" s="968" t="s">
        <v>1019</v>
      </c>
      <c r="C53" s="971" t="s">
        <v>2066</v>
      </c>
      <c r="D53" s="311">
        <v>0</v>
      </c>
      <c r="E53" s="311"/>
      <c r="F53" s="306"/>
      <c r="G53" s="317"/>
    </row>
    <row r="54" spans="2:7" s="305" customFormat="1" ht="22" customHeight="1">
      <c r="B54" s="968" t="s">
        <v>1020</v>
      </c>
      <c r="C54" s="971" t="s">
        <v>2067</v>
      </c>
      <c r="D54" s="311">
        <v>0</v>
      </c>
      <c r="E54" s="311"/>
      <c r="F54" s="306"/>
      <c r="G54" s="317"/>
    </row>
    <row r="55" spans="2:7" s="305" customFormat="1" ht="22" customHeight="1">
      <c r="B55" s="968" t="s">
        <v>1021</v>
      </c>
      <c r="C55" s="971" t="s">
        <v>2068</v>
      </c>
      <c r="D55" s="311">
        <v>0</v>
      </c>
      <c r="E55" s="311"/>
      <c r="F55" s="306"/>
      <c r="G55" s="317"/>
    </row>
    <row r="56" spans="2:7" s="305" customFormat="1">
      <c r="B56" s="968" t="s">
        <v>1022</v>
      </c>
      <c r="C56" s="971" t="s">
        <v>2069</v>
      </c>
      <c r="D56" s="311">
        <v>0</v>
      </c>
      <c r="E56" s="311"/>
      <c r="F56" s="306"/>
      <c r="G56" s="317"/>
    </row>
    <row r="57" spans="2:7" s="305" customFormat="1" ht="35">
      <c r="B57" s="968" t="s">
        <v>1023</v>
      </c>
      <c r="C57" s="971" t="s">
        <v>2070</v>
      </c>
      <c r="D57" s="311">
        <v>0</v>
      </c>
      <c r="E57" s="311"/>
      <c r="F57" s="306"/>
      <c r="G57" s="317"/>
    </row>
    <row r="58" spans="2:7" s="305" customFormat="1" ht="35">
      <c r="B58" s="968" t="s">
        <v>1024</v>
      </c>
      <c r="C58" s="971" t="s">
        <v>2071</v>
      </c>
      <c r="D58" s="311">
        <v>0</v>
      </c>
      <c r="E58" s="311"/>
      <c r="F58" s="306"/>
      <c r="G58" s="317"/>
    </row>
    <row r="59" spans="2:7" s="305" customFormat="1" ht="22" customHeight="1">
      <c r="B59" s="968" t="s">
        <v>1025</v>
      </c>
      <c r="C59" s="971" t="s">
        <v>2072</v>
      </c>
      <c r="D59" s="311">
        <v>0</v>
      </c>
      <c r="E59" s="311"/>
      <c r="F59" s="306"/>
      <c r="G59" s="317"/>
    </row>
    <row r="60" spans="2:7" s="305" customFormat="1" ht="22" customHeight="1">
      <c r="B60" s="968" t="s">
        <v>1026</v>
      </c>
      <c r="C60" s="971" t="s">
        <v>2073</v>
      </c>
      <c r="D60" s="311">
        <v>0</v>
      </c>
      <c r="E60" s="311"/>
      <c r="F60" s="306"/>
      <c r="G60" s="317"/>
    </row>
    <row r="61" spans="2:7" s="305" customFormat="1" ht="22" customHeight="1">
      <c r="B61" s="968" t="s">
        <v>1027</v>
      </c>
      <c r="C61" s="971" t="s">
        <v>2074</v>
      </c>
      <c r="D61" s="311">
        <v>0</v>
      </c>
      <c r="E61" s="311"/>
      <c r="F61" s="306"/>
      <c r="G61" s="317"/>
    </row>
    <row r="62" spans="2:7" s="305" customFormat="1" ht="22" customHeight="1">
      <c r="B62" s="968" t="s">
        <v>1028</v>
      </c>
      <c r="C62" s="971" t="s">
        <v>2075</v>
      </c>
      <c r="D62" s="311">
        <v>0</v>
      </c>
      <c r="E62" s="311"/>
      <c r="F62" s="306"/>
      <c r="G62" s="317"/>
    </row>
    <row r="63" spans="2:7" s="305" customFormat="1" ht="22" customHeight="1">
      <c r="B63" s="968" t="s">
        <v>2055</v>
      </c>
      <c r="C63" s="971" t="s">
        <v>2076</v>
      </c>
      <c r="D63" s="311">
        <v>0</v>
      </c>
      <c r="E63" s="311"/>
      <c r="F63" s="306"/>
      <c r="G63" s="317"/>
    </row>
    <row r="64" spans="2:7" s="320" customFormat="1" ht="28" customHeight="1">
      <c r="B64" s="972" t="s">
        <v>594</v>
      </c>
      <c r="C64" s="962" t="s">
        <v>2077</v>
      </c>
      <c r="D64" s="308">
        <f>SUM(D44:D63)</f>
        <v>-54415</v>
      </c>
      <c r="E64" s="308">
        <f>SUM(E44:E62)</f>
        <v>-396627</v>
      </c>
      <c r="F64" s="318"/>
      <c r="G64" s="319"/>
    </row>
    <row r="65" spans="2:7" s="320" customFormat="1" ht="28" customHeight="1">
      <c r="B65" s="973"/>
      <c r="C65" s="974"/>
      <c r="D65" s="966"/>
      <c r="E65" s="966"/>
      <c r="F65" s="318"/>
      <c r="G65" s="319"/>
    </row>
    <row r="66" spans="2:7" s="320" customFormat="1" ht="28" customHeight="1">
      <c r="B66" s="973"/>
      <c r="C66" s="975" t="s">
        <v>2079</v>
      </c>
      <c r="D66" s="966"/>
      <c r="E66" s="966"/>
      <c r="F66" s="318"/>
      <c r="G66" s="319"/>
    </row>
    <row r="67" spans="2:7" s="320" customFormat="1" ht="18">
      <c r="B67" s="971" t="s">
        <v>666</v>
      </c>
      <c r="C67" s="971" t="s">
        <v>2080</v>
      </c>
      <c r="D67" s="314">
        <v>0</v>
      </c>
      <c r="E67" s="314">
        <f>SUM(E68:E75)</f>
        <v>0</v>
      </c>
      <c r="F67" s="318"/>
      <c r="G67" s="319"/>
    </row>
    <row r="68" spans="2:7" s="320" customFormat="1" ht="18">
      <c r="B68" s="968" t="s">
        <v>1029</v>
      </c>
      <c r="C68" s="971" t="s">
        <v>2081</v>
      </c>
      <c r="D68" s="321">
        <v>0</v>
      </c>
      <c r="E68" s="321"/>
      <c r="F68" s="318"/>
      <c r="G68" s="319"/>
    </row>
    <row r="69" spans="2:7" s="320" customFormat="1" ht="18">
      <c r="B69" s="968" t="s">
        <v>1030</v>
      </c>
      <c r="C69" s="971" t="s">
        <v>2082</v>
      </c>
      <c r="D69" s="321">
        <v>0</v>
      </c>
      <c r="E69" s="321"/>
      <c r="F69" s="318"/>
      <c r="G69" s="319"/>
    </row>
    <row r="70" spans="2:7" s="320" customFormat="1" ht="18">
      <c r="B70" s="968" t="s">
        <v>1031</v>
      </c>
      <c r="C70" s="971" t="s">
        <v>2083</v>
      </c>
      <c r="D70" s="321">
        <v>0</v>
      </c>
      <c r="E70" s="321"/>
      <c r="F70" s="318"/>
      <c r="G70" s="319"/>
    </row>
    <row r="71" spans="2:7" s="320" customFormat="1" ht="18">
      <c r="B71" s="968" t="s">
        <v>1032</v>
      </c>
      <c r="C71" s="971" t="s">
        <v>2084</v>
      </c>
      <c r="D71" s="321">
        <v>0</v>
      </c>
      <c r="E71" s="321"/>
      <c r="F71" s="318"/>
      <c r="G71" s="319"/>
    </row>
    <row r="72" spans="2:7" s="320" customFormat="1" ht="18">
      <c r="B72" s="968" t="s">
        <v>1033</v>
      </c>
      <c r="C72" s="971" t="s">
        <v>2085</v>
      </c>
      <c r="D72" s="321">
        <v>0</v>
      </c>
      <c r="E72" s="321"/>
      <c r="F72" s="318"/>
      <c r="G72" s="319"/>
    </row>
    <row r="73" spans="2:7" s="320" customFormat="1" ht="18">
      <c r="B73" s="968" t="s">
        <v>1034</v>
      </c>
      <c r="C73" s="971" t="s">
        <v>2086</v>
      </c>
      <c r="D73" s="321">
        <v>0</v>
      </c>
      <c r="E73" s="321"/>
      <c r="F73" s="318"/>
      <c r="G73" s="319"/>
    </row>
    <row r="74" spans="2:7" s="320" customFormat="1" ht="35.5">
      <c r="B74" s="968" t="s">
        <v>1035</v>
      </c>
      <c r="C74" s="971" t="s">
        <v>2087</v>
      </c>
      <c r="D74" s="321">
        <v>0</v>
      </c>
      <c r="E74" s="321"/>
      <c r="F74" s="318"/>
      <c r="G74" s="319"/>
    </row>
    <row r="75" spans="2:7" s="320" customFormat="1" ht="18">
      <c r="B75" s="968" t="s">
        <v>1036</v>
      </c>
      <c r="C75" s="971" t="s">
        <v>2088</v>
      </c>
      <c r="D75" s="321">
        <v>0</v>
      </c>
      <c r="E75" s="321"/>
      <c r="F75" s="318"/>
      <c r="G75" s="319"/>
    </row>
    <row r="76" spans="2:7" s="320" customFormat="1" ht="18">
      <c r="B76" s="968" t="s">
        <v>1037</v>
      </c>
      <c r="C76" s="971" t="s">
        <v>2089</v>
      </c>
      <c r="D76" s="1007">
        <f>D81+D82</f>
        <v>-3008</v>
      </c>
      <c r="E76" s="1007">
        <v>1310</v>
      </c>
      <c r="F76" s="318"/>
      <c r="G76" s="319"/>
    </row>
    <row r="77" spans="2:7" s="320" customFormat="1" ht="18">
      <c r="B77" s="968" t="s">
        <v>1038</v>
      </c>
      <c r="C77" s="971" t="s">
        <v>2090</v>
      </c>
      <c r="D77" s="321">
        <v>0</v>
      </c>
      <c r="E77" s="321">
        <v>0</v>
      </c>
      <c r="F77" s="318"/>
      <c r="G77" s="319"/>
    </row>
    <row r="78" spans="2:7" s="320" customFormat="1" ht="18">
      <c r="B78" s="968" t="s">
        <v>1039</v>
      </c>
      <c r="C78" s="971" t="s">
        <v>2091</v>
      </c>
      <c r="D78" s="321">
        <v>0</v>
      </c>
      <c r="E78" s="321">
        <v>0</v>
      </c>
      <c r="F78" s="318"/>
      <c r="G78" s="319"/>
    </row>
    <row r="79" spans="2:7" s="320" customFormat="1" ht="35.5">
      <c r="B79" s="968" t="s">
        <v>1040</v>
      </c>
      <c r="C79" s="971" t="s">
        <v>2092</v>
      </c>
      <c r="D79" s="321">
        <v>0</v>
      </c>
      <c r="E79" s="321">
        <v>0</v>
      </c>
      <c r="F79" s="318"/>
      <c r="G79" s="319"/>
    </row>
    <row r="80" spans="2:7" s="320" customFormat="1" ht="35.5">
      <c r="B80" s="968" t="s">
        <v>1041</v>
      </c>
      <c r="C80" s="971" t="s">
        <v>2093</v>
      </c>
      <c r="D80" s="321">
        <v>0</v>
      </c>
      <c r="E80" s="321">
        <v>0</v>
      </c>
      <c r="F80" s="318"/>
      <c r="G80" s="319"/>
    </row>
    <row r="81" spans="2:7" s="320" customFormat="1" ht="18">
      <c r="B81" s="968" t="s">
        <v>1042</v>
      </c>
      <c r="C81" s="971" t="s">
        <v>2094</v>
      </c>
      <c r="D81" s="314"/>
      <c r="E81" s="321">
        <v>1310</v>
      </c>
      <c r="F81" s="318"/>
      <c r="G81" s="319"/>
    </row>
    <row r="82" spans="2:7" s="320" customFormat="1" ht="18">
      <c r="B82" s="968" t="s">
        <v>1043</v>
      </c>
      <c r="C82" s="971" t="s">
        <v>2095</v>
      </c>
      <c r="D82" s="321">
        <v>-3008</v>
      </c>
      <c r="E82" s="321"/>
      <c r="F82" s="318"/>
      <c r="G82" s="319"/>
    </row>
    <row r="83" spans="2:7" s="320" customFormat="1" ht="18">
      <c r="B83" s="968" t="s">
        <v>1044</v>
      </c>
      <c r="C83" s="971" t="s">
        <v>2096</v>
      </c>
      <c r="D83" s="321">
        <v>0</v>
      </c>
      <c r="E83" s="321"/>
      <c r="F83" s="318"/>
      <c r="G83" s="319"/>
    </row>
    <row r="84" spans="2:7" s="320" customFormat="1" ht="35.5">
      <c r="B84" s="968" t="s">
        <v>1045</v>
      </c>
      <c r="C84" s="971" t="s">
        <v>2097</v>
      </c>
      <c r="D84" s="321">
        <v>0</v>
      </c>
      <c r="E84" s="321"/>
      <c r="F84" s="318"/>
      <c r="G84" s="319"/>
    </row>
    <row r="85" spans="2:7" s="320" customFormat="1" ht="35.5">
      <c r="B85" s="968" t="s">
        <v>1046</v>
      </c>
      <c r="C85" s="971" t="s">
        <v>2098</v>
      </c>
      <c r="D85" s="321">
        <v>0</v>
      </c>
      <c r="E85" s="321"/>
      <c r="F85" s="318"/>
      <c r="G85" s="319"/>
    </row>
    <row r="86" spans="2:7" s="320" customFormat="1" ht="35.5">
      <c r="B86" s="968" t="s">
        <v>2078</v>
      </c>
      <c r="C86" s="971" t="s">
        <v>2099</v>
      </c>
      <c r="D86" s="321">
        <v>0</v>
      </c>
      <c r="E86" s="321"/>
      <c r="F86" s="318"/>
      <c r="G86" s="319"/>
    </row>
    <row r="87" spans="2:7" s="320" customFormat="1" ht="18">
      <c r="B87" s="968" t="s">
        <v>1047</v>
      </c>
      <c r="C87" s="971" t="s">
        <v>2100</v>
      </c>
      <c r="D87" s="321">
        <v>0</v>
      </c>
      <c r="E87" s="321"/>
      <c r="F87" s="318"/>
      <c r="G87" s="319"/>
    </row>
    <row r="88" spans="2:7" s="320" customFormat="1" ht="18">
      <c r="B88" s="968" t="s">
        <v>1048</v>
      </c>
      <c r="C88" s="971" t="s">
        <v>2101</v>
      </c>
      <c r="D88" s="321">
        <v>0</v>
      </c>
      <c r="E88" s="321"/>
      <c r="F88" s="318"/>
      <c r="G88" s="319"/>
    </row>
    <row r="89" spans="2:7" s="320" customFormat="1" ht="35.5">
      <c r="B89" s="968" t="s">
        <v>1049</v>
      </c>
      <c r="C89" s="971" t="s">
        <v>2102</v>
      </c>
      <c r="D89" s="321">
        <v>0</v>
      </c>
      <c r="E89" s="321"/>
      <c r="F89" s="318"/>
      <c r="G89" s="319"/>
    </row>
    <row r="90" spans="2:7" s="320" customFormat="1" ht="35.5">
      <c r="B90" s="968" t="s">
        <v>1050</v>
      </c>
      <c r="C90" s="971" t="s">
        <v>2103</v>
      </c>
      <c r="D90" s="321">
        <v>0</v>
      </c>
      <c r="E90" s="321"/>
      <c r="F90" s="318"/>
      <c r="G90" s="319"/>
    </row>
    <row r="91" spans="2:7" s="320" customFormat="1" ht="18">
      <c r="B91" s="968" t="s">
        <v>1051</v>
      </c>
      <c r="C91" s="971" t="s">
        <v>2104</v>
      </c>
      <c r="D91" s="321">
        <v>0</v>
      </c>
      <c r="E91" s="321"/>
      <c r="F91" s="318"/>
      <c r="G91" s="319"/>
    </row>
    <row r="92" spans="2:7" s="320" customFormat="1" ht="18">
      <c r="B92" s="968" t="s">
        <v>1052</v>
      </c>
      <c r="C92" s="971" t="s">
        <v>2105</v>
      </c>
      <c r="D92" s="321">
        <v>0</v>
      </c>
      <c r="E92" s="321"/>
      <c r="F92" s="318"/>
      <c r="G92" s="319"/>
    </row>
    <row r="93" spans="2:7" s="320" customFormat="1" ht="18">
      <c r="B93" s="968" t="s">
        <v>1053</v>
      </c>
      <c r="C93" s="971" t="s">
        <v>2106</v>
      </c>
      <c r="D93" s="321">
        <v>0</v>
      </c>
      <c r="E93" s="321"/>
      <c r="F93" s="318"/>
      <c r="G93" s="319"/>
    </row>
    <row r="94" spans="2:7" s="320" customFormat="1" ht="18">
      <c r="B94" s="972" t="s">
        <v>663</v>
      </c>
      <c r="C94" s="976" t="s">
        <v>1054</v>
      </c>
      <c r="D94" s="308">
        <f>D67+D76+SUM(D87:D93)</f>
        <v>-3008</v>
      </c>
      <c r="E94" s="308">
        <f>E67+E76+SUM(E87:E93)</f>
        <v>1310</v>
      </c>
      <c r="F94" s="318"/>
      <c r="G94" s="319"/>
    </row>
    <row r="95" spans="2:7" s="320" customFormat="1" ht="18">
      <c r="B95" s="967"/>
      <c r="C95" s="973"/>
      <c r="D95" s="966"/>
      <c r="E95" s="966"/>
      <c r="F95" s="318"/>
      <c r="G95" s="319"/>
    </row>
    <row r="96" spans="2:7" s="305" customFormat="1" ht="18">
      <c r="B96" s="972" t="s">
        <v>853</v>
      </c>
      <c r="C96" s="976" t="s">
        <v>2107</v>
      </c>
      <c r="D96" s="308">
        <f>D41+D64+D94</f>
        <v>798071</v>
      </c>
      <c r="E96" s="308">
        <f>E41+E64+E94</f>
        <v>-468397</v>
      </c>
      <c r="F96" s="306"/>
      <c r="G96" s="317"/>
    </row>
    <row r="97" spans="2:7" s="320" customFormat="1" ht="18">
      <c r="B97" s="972" t="s">
        <v>856</v>
      </c>
      <c r="C97" s="976" t="s">
        <v>2108</v>
      </c>
      <c r="D97" s="308">
        <f>BS!G80</f>
        <v>299913</v>
      </c>
      <c r="E97" s="308">
        <v>768310</v>
      </c>
      <c r="F97" s="318"/>
      <c r="G97" s="319"/>
    </row>
    <row r="98" spans="2:7" s="320" customFormat="1" ht="36">
      <c r="B98" s="972" t="s">
        <v>862</v>
      </c>
      <c r="C98" s="976" t="s">
        <v>2109</v>
      </c>
      <c r="D98" s="308">
        <f>BS!F80</f>
        <v>1097984</v>
      </c>
      <c r="E98" s="308">
        <f>BS!G80</f>
        <v>299913</v>
      </c>
      <c r="F98" s="318"/>
      <c r="G98" s="319"/>
    </row>
    <row r="99" spans="2:7" s="305" customFormat="1" ht="36">
      <c r="B99" s="972" t="s">
        <v>865</v>
      </c>
      <c r="C99" s="978" t="s">
        <v>2110</v>
      </c>
      <c r="D99" s="1018"/>
      <c r="E99" s="1018"/>
      <c r="F99" s="306"/>
      <c r="G99" s="317"/>
    </row>
    <row r="100" spans="2:7" s="320" customFormat="1" ht="36.5" thickBot="1">
      <c r="B100" s="977" t="s">
        <v>871</v>
      </c>
      <c r="C100" s="979" t="s">
        <v>2111</v>
      </c>
      <c r="D100" s="1509">
        <f>D96+D97+D99</f>
        <v>1097984</v>
      </c>
      <c r="E100" s="1509">
        <f>E96+E97+E99</f>
        <v>299913</v>
      </c>
      <c r="F100" s="318"/>
      <c r="G100" s="319"/>
    </row>
    <row r="101" spans="2:7" s="305" customFormat="1" ht="21.75" customHeight="1">
      <c r="B101" s="306"/>
      <c r="C101" s="322"/>
      <c r="D101" s="323"/>
      <c r="E101" s="324"/>
      <c r="F101" s="306"/>
      <c r="G101" s="317"/>
    </row>
    <row r="102" spans="2:7" s="305" customFormat="1" ht="14.15" customHeight="1">
      <c r="B102" s="306"/>
      <c r="C102" s="306"/>
      <c r="D102" s="323"/>
      <c r="E102" s="324"/>
      <c r="F102" s="306"/>
      <c r="G102" s="317"/>
    </row>
    <row r="103" spans="2:7" s="305" customFormat="1" ht="14.15" customHeight="1">
      <c r="B103" s="325"/>
      <c r="C103" s="326"/>
      <c r="D103" s="327"/>
      <c r="E103" s="328"/>
      <c r="F103" s="306"/>
      <c r="G103" s="317"/>
    </row>
    <row r="104" spans="2:7" s="305" customFormat="1" ht="14.15" hidden="1" customHeight="1">
      <c r="B104" s="325"/>
      <c r="C104" s="326"/>
      <c r="D104" s="327"/>
      <c r="E104" s="328"/>
      <c r="F104" s="306"/>
      <c r="G104" s="317"/>
    </row>
    <row r="105" spans="2:7" s="305" customFormat="1" ht="14.15" hidden="1" customHeight="1">
      <c r="B105" s="325"/>
      <c r="C105" s="326"/>
      <c r="D105" s="327"/>
      <c r="E105" s="328"/>
      <c r="F105" s="306"/>
      <c r="G105" s="317"/>
    </row>
    <row r="106" spans="2:7" s="305" customFormat="1" ht="20.25" hidden="1" customHeight="1">
      <c r="B106" s="325"/>
      <c r="C106" s="329" t="s">
        <v>1055</v>
      </c>
      <c r="D106" s="330">
        <f>D98-D100</f>
        <v>0</v>
      </c>
      <c r="E106" s="330">
        <f>E98-E100</f>
        <v>0</v>
      </c>
      <c r="F106" s="306"/>
      <c r="G106" s="317"/>
    </row>
    <row r="107" spans="2:7" s="305" customFormat="1" ht="14.15" hidden="1" customHeight="1">
      <c r="B107" s="325"/>
      <c r="C107" s="326"/>
      <c r="D107" s="327"/>
      <c r="E107" s="328"/>
      <c r="F107" s="306"/>
      <c r="G107" s="317"/>
    </row>
    <row r="108" spans="2:7" s="305" customFormat="1" ht="14.15" hidden="1" customHeight="1">
      <c r="B108" s="325"/>
      <c r="C108" s="326"/>
      <c r="D108" s="327"/>
      <c r="E108" s="328"/>
      <c r="F108" s="306"/>
      <c r="G108" s="317"/>
    </row>
    <row r="109" spans="2:7" s="305" customFormat="1" ht="14.15" customHeight="1">
      <c r="B109" s="325"/>
      <c r="C109" s="326"/>
      <c r="D109" s="327"/>
      <c r="E109" s="328"/>
      <c r="F109" s="306"/>
      <c r="G109" s="317"/>
    </row>
    <row r="110" spans="2:7" s="305" customFormat="1" ht="14.15" customHeight="1">
      <c r="B110" s="325"/>
      <c r="C110" s="326"/>
      <c r="D110" s="327"/>
      <c r="E110" s="328"/>
      <c r="F110" s="306"/>
      <c r="G110" s="317"/>
    </row>
    <row r="111" spans="2:7" s="305" customFormat="1" ht="14.15" customHeight="1">
      <c r="B111" s="325"/>
      <c r="C111" s="326"/>
      <c r="D111" s="327"/>
      <c r="E111" s="328"/>
      <c r="F111" s="306"/>
      <c r="G111" s="317"/>
    </row>
    <row r="112" spans="2:7" s="305" customFormat="1" ht="14.15" customHeight="1">
      <c r="B112" s="325"/>
      <c r="C112" s="326"/>
      <c r="D112" s="327"/>
      <c r="E112" s="328"/>
      <c r="F112" s="306"/>
      <c r="G112" s="317"/>
    </row>
    <row r="113" spans="2:7" s="305" customFormat="1" ht="14.15" customHeight="1">
      <c r="B113" s="325"/>
      <c r="C113" s="326"/>
      <c r="D113" s="327"/>
      <c r="E113" s="328"/>
      <c r="F113" s="306"/>
      <c r="G113" s="317"/>
    </row>
    <row r="114" spans="2:7" s="305" customFormat="1" ht="14.15" customHeight="1">
      <c r="B114" s="325"/>
      <c r="C114" s="326"/>
      <c r="D114" s="327"/>
      <c r="E114" s="328"/>
      <c r="F114" s="306"/>
      <c r="G114" s="317"/>
    </row>
    <row r="115" spans="2:7" s="305" customFormat="1" ht="14.15" customHeight="1">
      <c r="B115" s="325"/>
      <c r="C115" s="326"/>
      <c r="D115" s="327"/>
      <c r="E115" s="328"/>
      <c r="F115" s="306"/>
      <c r="G115" s="317"/>
    </row>
    <row r="116" spans="2:7" s="305" customFormat="1" ht="14.15" customHeight="1">
      <c r="B116" s="325"/>
      <c r="C116" s="326"/>
      <c r="D116" s="327"/>
      <c r="E116" s="328"/>
      <c r="F116" s="306"/>
      <c r="G116" s="317"/>
    </row>
    <row r="117" spans="2:7" s="305" customFormat="1" ht="14.15" customHeight="1">
      <c r="B117" s="325"/>
      <c r="C117" s="326"/>
      <c r="D117" s="327"/>
      <c r="E117" s="328"/>
      <c r="F117" s="306"/>
      <c r="G117" s="317"/>
    </row>
    <row r="118" spans="2:7" s="305" customFormat="1" ht="14.15" customHeight="1">
      <c r="B118" s="325"/>
      <c r="C118" s="326"/>
      <c r="D118" s="327"/>
      <c r="E118" s="328"/>
      <c r="F118" s="306"/>
      <c r="G118" s="317"/>
    </row>
    <row r="119" spans="2:7" s="305" customFormat="1" ht="14.15" customHeight="1">
      <c r="B119" s="325"/>
      <c r="C119" s="326"/>
      <c r="D119" s="327"/>
      <c r="E119" s="328"/>
      <c r="F119" s="306"/>
      <c r="G119" s="317"/>
    </row>
    <row r="120" spans="2:7" s="305" customFormat="1" ht="14.15" customHeight="1">
      <c r="B120" s="325"/>
      <c r="C120" s="326"/>
      <c r="D120" s="327"/>
      <c r="E120" s="328"/>
      <c r="F120" s="306"/>
      <c r="G120" s="317"/>
    </row>
    <row r="121" spans="2:7" s="305" customFormat="1" ht="14.15" customHeight="1">
      <c r="B121" s="325"/>
      <c r="C121" s="326"/>
      <c r="D121" s="327"/>
      <c r="E121" s="328"/>
      <c r="F121" s="306"/>
      <c r="G121" s="317"/>
    </row>
    <row r="122" spans="2:7" s="305" customFormat="1" ht="14.15" customHeight="1">
      <c r="B122" s="325"/>
      <c r="C122" s="326"/>
      <c r="D122" s="327"/>
      <c r="E122" s="328"/>
      <c r="F122" s="306"/>
      <c r="G122" s="317"/>
    </row>
    <row r="123" spans="2:7" s="305" customFormat="1" ht="14.15" customHeight="1">
      <c r="B123" s="2451"/>
      <c r="C123" s="2451"/>
      <c r="D123" s="2451"/>
      <c r="E123" s="2451"/>
      <c r="F123" s="306"/>
      <c r="G123" s="317"/>
    </row>
    <row r="124" spans="2:7">
      <c r="B124" s="331"/>
      <c r="C124" s="332"/>
      <c r="D124" s="328"/>
      <c r="E124" s="328"/>
      <c r="F124" s="333"/>
      <c r="G124" s="317"/>
    </row>
    <row r="125" spans="2:7">
      <c r="B125" s="331"/>
      <c r="C125" s="332"/>
      <c r="D125" s="328"/>
      <c r="E125" s="328"/>
      <c r="F125" s="333"/>
      <c r="G125" s="317"/>
    </row>
    <row r="126" spans="2:7">
      <c r="B126" s="331"/>
      <c r="C126" s="332"/>
      <c r="D126" s="328"/>
      <c r="E126" s="328"/>
      <c r="F126" s="333"/>
      <c r="G126" s="317"/>
    </row>
    <row r="127" spans="2:7">
      <c r="B127" s="331"/>
      <c r="C127" s="332"/>
      <c r="D127" s="328"/>
      <c r="E127" s="328"/>
      <c r="F127" s="333"/>
      <c r="G127" s="317"/>
    </row>
    <row r="128" spans="2:7">
      <c r="B128" s="331"/>
      <c r="C128" s="332"/>
      <c r="D128" s="328"/>
      <c r="E128" s="328"/>
      <c r="F128" s="333"/>
      <c r="G128" s="317"/>
    </row>
    <row r="129" spans="2:7">
      <c r="B129" s="331"/>
      <c r="C129" s="332"/>
      <c r="D129" s="328"/>
      <c r="E129" s="328"/>
      <c r="F129" s="333"/>
      <c r="G129" s="317"/>
    </row>
    <row r="130" spans="2:7">
      <c r="B130" s="331"/>
      <c r="C130" s="332"/>
      <c r="D130" s="328"/>
      <c r="E130" s="328"/>
      <c r="F130" s="333"/>
      <c r="G130" s="317"/>
    </row>
    <row r="131" spans="2:7">
      <c r="B131" s="331"/>
      <c r="C131" s="332"/>
      <c r="D131" s="328"/>
      <c r="E131" s="328"/>
      <c r="F131" s="333"/>
      <c r="G131" s="317"/>
    </row>
    <row r="132" spans="2:7">
      <c r="B132" s="331"/>
      <c r="C132" s="332"/>
      <c r="D132" s="328"/>
      <c r="E132" s="328"/>
      <c r="F132" s="333"/>
      <c r="G132" s="317"/>
    </row>
    <row r="133" spans="2:7">
      <c r="B133" s="331"/>
      <c r="C133" s="332"/>
      <c r="D133" s="328"/>
      <c r="E133" s="328"/>
      <c r="F133" s="331"/>
      <c r="G133" s="317"/>
    </row>
    <row r="134" spans="2:7">
      <c r="B134" s="331"/>
      <c r="C134" s="332"/>
      <c r="D134" s="328"/>
      <c r="E134" s="328"/>
      <c r="F134" s="331"/>
      <c r="G134" s="317"/>
    </row>
    <row r="135" spans="2:7">
      <c r="B135" s="331"/>
      <c r="C135" s="332"/>
      <c r="D135" s="328"/>
      <c r="E135" s="328"/>
      <c r="F135" s="331"/>
      <c r="G135" s="317"/>
    </row>
    <row r="136" spans="2:7">
      <c r="B136" s="331"/>
      <c r="C136" s="332"/>
      <c r="D136" s="328"/>
      <c r="E136" s="328"/>
      <c r="F136" s="331"/>
      <c r="G136" s="317"/>
    </row>
    <row r="137" spans="2:7">
      <c r="B137" s="331"/>
      <c r="C137" s="332"/>
      <c r="D137" s="328"/>
      <c r="E137" s="328"/>
      <c r="F137" s="331"/>
      <c r="G137" s="317"/>
    </row>
    <row r="138" spans="2:7">
      <c r="B138" s="331"/>
      <c r="C138" s="332"/>
      <c r="D138" s="328"/>
      <c r="E138" s="328"/>
      <c r="F138" s="331"/>
      <c r="G138" s="317"/>
    </row>
    <row r="139" spans="2:7">
      <c r="B139" s="331"/>
      <c r="C139" s="332"/>
      <c r="D139" s="328"/>
      <c r="E139" s="328"/>
      <c r="F139" s="331"/>
      <c r="G139" s="317"/>
    </row>
    <row r="140" spans="2:7">
      <c r="B140" s="331"/>
      <c r="C140" s="332"/>
      <c r="D140" s="328"/>
      <c r="E140" s="328"/>
      <c r="F140" s="331"/>
      <c r="G140" s="317"/>
    </row>
    <row r="141" spans="2:7">
      <c r="B141" s="331"/>
      <c r="C141" s="332"/>
      <c r="D141" s="328"/>
      <c r="E141" s="328"/>
      <c r="F141" s="331"/>
      <c r="G141" s="317"/>
    </row>
    <row r="142" spans="2:7">
      <c r="B142" s="331"/>
      <c r="C142" s="332"/>
      <c r="D142" s="328"/>
      <c r="E142" s="328"/>
      <c r="F142" s="331"/>
      <c r="G142" s="317"/>
    </row>
    <row r="143" spans="2:7">
      <c r="B143" s="331"/>
      <c r="C143" s="332"/>
      <c r="D143" s="328"/>
      <c r="E143" s="328"/>
      <c r="F143" s="331"/>
      <c r="G143" s="317"/>
    </row>
    <row r="144" spans="2:7">
      <c r="B144" s="331"/>
      <c r="C144" s="332"/>
      <c r="D144" s="328"/>
      <c r="E144" s="328"/>
      <c r="F144" s="331"/>
      <c r="G144" s="317"/>
    </row>
    <row r="145" spans="2:7">
      <c r="B145" s="331"/>
      <c r="C145" s="332"/>
      <c r="D145" s="328"/>
      <c r="E145" s="328"/>
      <c r="F145" s="331"/>
      <c r="G145" s="317"/>
    </row>
    <row r="146" spans="2:7">
      <c r="B146" s="331"/>
      <c r="C146" s="332"/>
      <c r="D146" s="328"/>
      <c r="E146" s="328"/>
      <c r="F146" s="331"/>
      <c r="G146" s="317"/>
    </row>
    <row r="147" spans="2:7">
      <c r="B147" s="331"/>
      <c r="C147" s="332"/>
      <c r="D147" s="328"/>
      <c r="E147" s="328"/>
      <c r="F147" s="331"/>
      <c r="G147" s="317"/>
    </row>
    <row r="148" spans="2:7">
      <c r="B148" s="331"/>
      <c r="C148" s="332"/>
      <c r="D148" s="328"/>
      <c r="E148" s="328"/>
      <c r="F148" s="331"/>
      <c r="G148" s="317"/>
    </row>
    <row r="149" spans="2:7">
      <c r="B149" s="331"/>
      <c r="C149" s="332"/>
      <c r="D149" s="328"/>
      <c r="E149" s="328"/>
      <c r="F149" s="331"/>
      <c r="G149" s="317"/>
    </row>
    <row r="150" spans="2:7">
      <c r="B150" s="331"/>
      <c r="C150" s="332"/>
      <c r="D150" s="328"/>
      <c r="E150" s="328"/>
      <c r="F150" s="331"/>
      <c r="G150" s="317"/>
    </row>
    <row r="151" spans="2:7">
      <c r="B151" s="331"/>
      <c r="C151" s="332"/>
      <c r="D151" s="328"/>
      <c r="E151" s="328"/>
      <c r="F151" s="331"/>
      <c r="G151" s="317"/>
    </row>
    <row r="152" spans="2:7">
      <c r="B152" s="331"/>
      <c r="C152" s="332"/>
      <c r="D152" s="328"/>
      <c r="E152" s="328"/>
      <c r="F152" s="331"/>
      <c r="G152" s="317"/>
    </row>
    <row r="153" spans="2:7">
      <c r="B153" s="331"/>
      <c r="C153" s="332"/>
      <c r="D153" s="328"/>
      <c r="E153" s="328"/>
      <c r="F153" s="331"/>
      <c r="G153" s="317"/>
    </row>
    <row r="154" spans="2:7">
      <c r="B154" s="331"/>
      <c r="C154" s="332"/>
      <c r="D154" s="328"/>
      <c r="E154" s="328"/>
      <c r="F154" s="331"/>
      <c r="G154" s="317"/>
    </row>
    <row r="155" spans="2:7">
      <c r="B155" s="331"/>
      <c r="C155" s="332"/>
      <c r="D155" s="328"/>
      <c r="E155" s="328"/>
      <c r="F155" s="331"/>
      <c r="G155" s="317"/>
    </row>
    <row r="156" spans="2:7">
      <c r="B156" s="331"/>
      <c r="C156" s="332"/>
      <c r="D156" s="328"/>
      <c r="E156" s="328"/>
      <c r="F156" s="331"/>
      <c r="G156" s="317"/>
    </row>
    <row r="157" spans="2:7">
      <c r="B157" s="331"/>
      <c r="C157" s="332"/>
      <c r="D157" s="328"/>
      <c r="E157" s="328"/>
      <c r="F157" s="331"/>
      <c r="G157" s="317"/>
    </row>
    <row r="158" spans="2:7">
      <c r="B158" s="331"/>
      <c r="C158" s="332"/>
      <c r="D158" s="328"/>
      <c r="E158" s="328"/>
      <c r="F158" s="331"/>
      <c r="G158" s="317"/>
    </row>
    <row r="159" spans="2:7">
      <c r="B159" s="331"/>
      <c r="C159" s="332"/>
      <c r="D159" s="328"/>
      <c r="E159" s="328"/>
      <c r="F159" s="331"/>
      <c r="G159" s="317"/>
    </row>
    <row r="160" spans="2:7">
      <c r="B160" s="331"/>
      <c r="C160" s="332"/>
      <c r="D160" s="328"/>
      <c r="E160" s="328"/>
      <c r="F160" s="331"/>
      <c r="G160" s="317"/>
    </row>
    <row r="161" spans="2:7">
      <c r="B161" s="331"/>
      <c r="C161" s="332"/>
      <c r="D161" s="328"/>
      <c r="E161" s="328"/>
      <c r="F161" s="331"/>
      <c r="G161" s="317"/>
    </row>
    <row r="162" spans="2:7">
      <c r="B162" s="331"/>
      <c r="C162" s="332"/>
      <c r="D162" s="328"/>
      <c r="E162" s="328"/>
      <c r="F162" s="331"/>
      <c r="G162" s="317"/>
    </row>
    <row r="163" spans="2:7">
      <c r="B163" s="331"/>
      <c r="C163" s="332"/>
      <c r="D163" s="328"/>
      <c r="E163" s="328"/>
      <c r="F163" s="331"/>
      <c r="G163" s="317"/>
    </row>
    <row r="164" spans="2:7">
      <c r="B164" s="331"/>
      <c r="C164" s="332"/>
      <c r="D164" s="328"/>
      <c r="E164" s="328"/>
      <c r="F164" s="331"/>
      <c r="G164" s="317"/>
    </row>
    <row r="165" spans="2:7">
      <c r="B165" s="331"/>
      <c r="C165" s="332"/>
      <c r="D165" s="328"/>
      <c r="E165" s="328"/>
      <c r="F165" s="331"/>
      <c r="G165" s="317"/>
    </row>
    <row r="166" spans="2:7">
      <c r="B166" s="331"/>
      <c r="C166" s="332"/>
      <c r="D166" s="328"/>
      <c r="E166" s="328"/>
      <c r="F166" s="331"/>
      <c r="G166" s="317"/>
    </row>
    <row r="167" spans="2:7">
      <c r="B167" s="331"/>
      <c r="C167" s="332"/>
      <c r="D167" s="328"/>
      <c r="E167" s="328"/>
      <c r="F167" s="331"/>
      <c r="G167" s="317"/>
    </row>
    <row r="168" spans="2:7">
      <c r="B168" s="331"/>
      <c r="C168" s="332"/>
      <c r="D168" s="328"/>
      <c r="E168" s="328"/>
      <c r="F168" s="331"/>
      <c r="G168" s="317"/>
    </row>
    <row r="169" spans="2:7">
      <c r="B169" s="331"/>
      <c r="C169" s="332"/>
      <c r="D169" s="328"/>
      <c r="E169" s="328"/>
      <c r="F169" s="331"/>
      <c r="G169" s="317"/>
    </row>
    <row r="170" spans="2:7">
      <c r="B170" s="331"/>
      <c r="C170" s="332"/>
      <c r="D170" s="328"/>
      <c r="E170" s="328"/>
      <c r="F170" s="331"/>
      <c r="G170" s="317"/>
    </row>
    <row r="171" spans="2:7">
      <c r="B171" s="331"/>
      <c r="C171" s="332"/>
      <c r="D171" s="328"/>
      <c r="E171" s="328"/>
      <c r="F171" s="331"/>
      <c r="G171" s="317"/>
    </row>
    <row r="172" spans="2:7">
      <c r="B172" s="331"/>
      <c r="C172" s="332"/>
      <c r="D172" s="328"/>
      <c r="E172" s="328"/>
      <c r="F172" s="331"/>
      <c r="G172" s="317"/>
    </row>
    <row r="173" spans="2:7">
      <c r="B173" s="331"/>
      <c r="C173" s="332"/>
      <c r="D173" s="328"/>
      <c r="E173" s="328"/>
      <c r="F173" s="331"/>
      <c r="G173" s="317"/>
    </row>
    <row r="174" spans="2:7">
      <c r="B174" s="331"/>
      <c r="C174" s="332"/>
      <c r="D174" s="328"/>
      <c r="E174" s="328"/>
      <c r="F174" s="331"/>
      <c r="G174" s="317"/>
    </row>
    <row r="175" spans="2:7">
      <c r="B175" s="331"/>
      <c r="C175" s="332"/>
      <c r="D175" s="328"/>
      <c r="E175" s="328"/>
      <c r="F175" s="331"/>
      <c r="G175" s="317"/>
    </row>
    <row r="176" spans="2:7">
      <c r="B176" s="331"/>
      <c r="C176" s="332"/>
      <c r="D176" s="328"/>
      <c r="E176" s="328"/>
      <c r="F176" s="331"/>
      <c r="G176" s="317"/>
    </row>
    <row r="177" spans="2:7">
      <c r="B177" s="331"/>
      <c r="C177" s="332"/>
      <c r="D177" s="328"/>
      <c r="E177" s="328"/>
      <c r="F177" s="331"/>
      <c r="G177" s="317"/>
    </row>
    <row r="178" spans="2:7">
      <c r="B178" s="331"/>
      <c r="C178" s="332"/>
      <c r="D178" s="328"/>
      <c r="E178" s="328"/>
      <c r="F178" s="331"/>
      <c r="G178" s="317"/>
    </row>
    <row r="179" spans="2:7">
      <c r="B179" s="331"/>
      <c r="C179" s="332"/>
      <c r="D179" s="328"/>
      <c r="E179" s="328"/>
      <c r="F179" s="331"/>
      <c r="G179" s="317"/>
    </row>
    <row r="180" spans="2:7">
      <c r="B180" s="331"/>
      <c r="C180" s="332"/>
      <c r="D180" s="328"/>
      <c r="E180" s="328"/>
      <c r="F180" s="331"/>
      <c r="G180" s="317"/>
    </row>
    <row r="181" spans="2:7">
      <c r="B181" s="331"/>
      <c r="C181" s="332"/>
      <c r="D181" s="328"/>
      <c r="E181" s="328"/>
      <c r="F181" s="331"/>
      <c r="G181" s="317"/>
    </row>
    <row r="182" spans="2:7">
      <c r="B182" s="331"/>
      <c r="C182" s="332"/>
      <c r="D182" s="328"/>
      <c r="E182" s="328"/>
      <c r="F182" s="331"/>
      <c r="G182" s="317"/>
    </row>
    <row r="183" spans="2:7">
      <c r="B183" s="331"/>
      <c r="C183" s="332"/>
      <c r="D183" s="328"/>
      <c r="E183" s="328"/>
      <c r="F183" s="331"/>
      <c r="G183" s="317"/>
    </row>
    <row r="184" spans="2:7">
      <c r="B184" s="331"/>
      <c r="C184" s="332"/>
      <c r="D184" s="328"/>
      <c r="E184" s="328"/>
      <c r="F184" s="331"/>
      <c r="G184" s="317"/>
    </row>
    <row r="185" spans="2:7">
      <c r="B185" s="331"/>
      <c r="C185" s="332"/>
      <c r="D185" s="328"/>
      <c r="E185" s="328"/>
      <c r="F185" s="331"/>
      <c r="G185" s="317"/>
    </row>
    <row r="186" spans="2:7">
      <c r="B186" s="331"/>
      <c r="C186" s="332"/>
      <c r="D186" s="328"/>
      <c r="E186" s="328"/>
      <c r="F186" s="331"/>
      <c r="G186" s="317"/>
    </row>
    <row r="187" spans="2:7">
      <c r="B187" s="331"/>
      <c r="C187" s="332"/>
      <c r="D187" s="328"/>
      <c r="E187" s="328"/>
      <c r="F187" s="331"/>
      <c r="G187" s="317"/>
    </row>
    <row r="188" spans="2:7">
      <c r="B188" s="331"/>
      <c r="C188" s="332"/>
      <c r="D188" s="328"/>
      <c r="E188" s="328"/>
      <c r="F188" s="331"/>
      <c r="G188" s="317"/>
    </row>
    <row r="189" spans="2:7">
      <c r="B189" s="331"/>
      <c r="C189" s="332"/>
      <c r="D189" s="328"/>
      <c r="E189" s="328"/>
      <c r="F189" s="331"/>
      <c r="G189" s="317"/>
    </row>
    <row r="190" spans="2:7">
      <c r="B190" s="331"/>
      <c r="C190" s="332"/>
      <c r="D190" s="328"/>
      <c r="E190" s="328"/>
      <c r="F190" s="331"/>
      <c r="G190" s="317"/>
    </row>
    <row r="191" spans="2:7">
      <c r="B191" s="331"/>
      <c r="C191" s="332"/>
      <c r="D191" s="328"/>
      <c r="E191" s="328"/>
      <c r="F191" s="331"/>
      <c r="G191" s="317"/>
    </row>
    <row r="192" spans="2:7">
      <c r="B192" s="331"/>
      <c r="C192" s="332"/>
      <c r="D192" s="328"/>
      <c r="E192" s="328"/>
      <c r="F192" s="331"/>
      <c r="G192" s="317"/>
    </row>
    <row r="193" spans="2:7">
      <c r="B193" s="331"/>
      <c r="C193" s="332"/>
      <c r="D193" s="328"/>
      <c r="E193" s="328"/>
      <c r="F193" s="331"/>
      <c r="G193" s="317"/>
    </row>
    <row r="194" spans="2:7">
      <c r="B194" s="331"/>
      <c r="C194" s="332"/>
      <c r="D194" s="328"/>
      <c r="E194" s="328"/>
      <c r="F194" s="331"/>
      <c r="G194" s="317"/>
    </row>
    <row r="195" spans="2:7">
      <c r="B195" s="331"/>
      <c r="C195" s="332"/>
      <c r="D195" s="328"/>
      <c r="E195" s="328"/>
      <c r="F195" s="331"/>
      <c r="G195" s="317"/>
    </row>
    <row r="196" spans="2:7">
      <c r="B196" s="331"/>
      <c r="C196" s="332"/>
      <c r="D196" s="328"/>
      <c r="E196" s="328"/>
      <c r="F196" s="331"/>
      <c r="G196" s="317"/>
    </row>
    <row r="197" spans="2:7">
      <c r="B197" s="331"/>
      <c r="C197" s="332"/>
      <c r="D197" s="328"/>
      <c r="E197" s="328"/>
      <c r="F197" s="331"/>
      <c r="G197" s="317"/>
    </row>
    <row r="198" spans="2:7">
      <c r="B198" s="331"/>
      <c r="C198" s="332"/>
      <c r="D198" s="328"/>
      <c r="E198" s="328"/>
      <c r="F198" s="331"/>
      <c r="G198" s="317"/>
    </row>
    <row r="199" spans="2:7">
      <c r="B199" s="331"/>
      <c r="C199" s="332"/>
      <c r="D199" s="328"/>
      <c r="E199" s="328"/>
      <c r="F199" s="331"/>
      <c r="G199" s="317"/>
    </row>
    <row r="200" spans="2:7">
      <c r="B200" s="331"/>
      <c r="C200" s="332"/>
      <c r="D200" s="328"/>
      <c r="E200" s="328"/>
      <c r="F200" s="331"/>
      <c r="G200" s="317"/>
    </row>
    <row r="201" spans="2:7">
      <c r="B201" s="331"/>
      <c r="C201" s="332"/>
      <c r="D201" s="328"/>
      <c r="E201" s="328"/>
      <c r="F201" s="331"/>
      <c r="G201" s="317"/>
    </row>
    <row r="202" spans="2:7">
      <c r="B202" s="331"/>
      <c r="C202" s="332"/>
      <c r="D202" s="328"/>
      <c r="E202" s="328"/>
      <c r="F202" s="331"/>
      <c r="G202" s="317"/>
    </row>
    <row r="203" spans="2:7">
      <c r="B203" s="331"/>
      <c r="C203" s="332"/>
      <c r="D203" s="328"/>
      <c r="E203" s="328"/>
      <c r="F203" s="331"/>
      <c r="G203" s="317"/>
    </row>
    <row r="204" spans="2:7">
      <c r="B204" s="331"/>
      <c r="C204" s="332"/>
      <c r="D204" s="328"/>
      <c r="E204" s="328"/>
      <c r="F204" s="331"/>
      <c r="G204" s="317"/>
    </row>
    <row r="205" spans="2:7">
      <c r="B205" s="331"/>
      <c r="C205" s="332"/>
      <c r="D205" s="328"/>
      <c r="E205" s="328"/>
      <c r="F205" s="331"/>
      <c r="G205" s="317"/>
    </row>
    <row r="206" spans="2:7">
      <c r="B206" s="331"/>
      <c r="C206" s="332"/>
      <c r="D206" s="328"/>
      <c r="E206" s="328"/>
      <c r="F206" s="331"/>
      <c r="G206" s="317"/>
    </row>
    <row r="207" spans="2:7">
      <c r="B207" s="331"/>
      <c r="C207" s="332"/>
      <c r="D207" s="328"/>
      <c r="E207" s="328"/>
      <c r="F207" s="331"/>
      <c r="G207" s="317"/>
    </row>
    <row r="208" spans="2:7">
      <c r="B208" s="331"/>
      <c r="C208" s="332"/>
      <c r="D208" s="328"/>
      <c r="E208" s="328"/>
      <c r="F208" s="331"/>
      <c r="G208" s="317"/>
    </row>
  </sheetData>
  <mergeCells count="4">
    <mergeCell ref="B123:E123"/>
    <mergeCell ref="B7:B9"/>
    <mergeCell ref="C7:C9"/>
    <mergeCell ref="D7:E7"/>
  </mergeCells>
  <pageMargins left="0.39370078740157483" right="0.27559055118110237" top="0.74803149606299213" bottom="0.47244094488188981" header="0.11811023622047245" footer="0.51181102362204722"/>
  <pageSetup paperSize="9" scale="44" fitToHeight="2" orientation="portrait" r:id="rId1"/>
  <headerFooter alignWithMargins="0"/>
  <rowBreaks count="1" manualBreakCount="1">
    <brk id="64" max="6"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K54"/>
  <sheetViews>
    <sheetView showGridLines="0" view="pageBreakPreview" topLeftCell="A10" zoomScale="70" zoomScaleNormal="100" zoomScaleSheetLayoutView="70" workbookViewId="0">
      <selection activeCell="F30" sqref="F30"/>
    </sheetView>
  </sheetViews>
  <sheetFormatPr defaultColWidth="9.1796875" defaultRowHeight="12.5"/>
  <cols>
    <col min="1" max="37" width="2.54296875" style="1274" customWidth="1"/>
    <col min="38" max="38" width="1.81640625" style="1274" customWidth="1"/>
    <col min="39" max="45" width="2.54296875" style="1274" customWidth="1"/>
    <col min="46" max="46" width="7.7265625" style="1274" customWidth="1"/>
    <col min="47" max="61" width="2.54296875" style="1274" customWidth="1"/>
    <col min="62" max="16384" width="9.1796875" style="1274"/>
  </cols>
  <sheetData>
    <row r="1" spans="1:37" s="500" customFormat="1" ht="9">
      <c r="C1" s="501" t="s">
        <v>2220</v>
      </c>
    </row>
    <row r="2" spans="1:37" s="397" customFormat="1" ht="21" customHeight="1">
      <c r="C2" s="499" t="s">
        <v>2221</v>
      </c>
      <c r="D2" s="498"/>
      <c r="E2" s="498"/>
      <c r="F2" s="498"/>
      <c r="G2" s="498"/>
      <c r="H2" s="498"/>
      <c r="I2" s="498"/>
      <c r="J2" s="497"/>
      <c r="M2" s="496" t="s">
        <v>2632</v>
      </c>
    </row>
    <row r="3" spans="1:37" ht="13" thickBot="1">
      <c r="M3" s="1291" t="s">
        <v>2633</v>
      </c>
      <c r="O3" s="1275"/>
      <c r="P3" s="1275"/>
    </row>
    <row r="4" spans="1:37" ht="28.5" customHeight="1" thickBot="1">
      <c r="M4" s="1276" t="s">
        <v>1413</v>
      </c>
      <c r="N4" s="1277"/>
      <c r="O4" s="1277"/>
      <c r="P4" s="1277"/>
      <c r="Q4" s="494" t="str">
        <f>+MID('Input data'!$B$11,1,1)</f>
        <v>3</v>
      </c>
      <c r="R4" s="494" t="str">
        <f>+MID('Input data'!$B$11,2,1)</f>
        <v>1</v>
      </c>
      <c r="S4" s="494" t="s">
        <v>1063</v>
      </c>
      <c r="T4" s="494" t="str">
        <f>LEFT('Input data'!B13,1)</f>
        <v>0</v>
      </c>
      <c r="U4" s="494" t="str">
        <f>RIGHT('Input data'!B13,1)</f>
        <v>3</v>
      </c>
      <c r="V4" s="494" t="s">
        <v>1063</v>
      </c>
      <c r="W4" s="494" t="str">
        <f>+LEFT('Input data'!$B$14,1)</f>
        <v>2</v>
      </c>
      <c r="X4" s="494" t="str">
        <f>+MID('Input data'!$B$14,2,1)</f>
        <v>0</v>
      </c>
      <c r="Y4" s="494" t="str">
        <f>+MID('Input data'!$B$14,3,1)</f>
        <v>1</v>
      </c>
      <c r="Z4" s="1035" t="str">
        <f>+MID('Input data'!$B$14,4,1)</f>
        <v>9</v>
      </c>
    </row>
    <row r="5" spans="1:37" ht="6" customHeight="1" thickBot="1"/>
    <row r="6" spans="1:37" s="487" customFormat="1" ht="14.25" customHeight="1">
      <c r="A6" s="490" t="s">
        <v>2219</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1524</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row r="10" spans="1:37" s="462" customFormat="1" ht="14.25" customHeight="1">
      <c r="A10" s="464" t="s">
        <v>1416</v>
      </c>
      <c r="B10" s="463"/>
      <c r="C10" s="463"/>
      <c r="D10" s="463"/>
      <c r="E10" s="463"/>
      <c r="F10" s="463"/>
      <c r="G10" s="463"/>
      <c r="H10" s="463"/>
      <c r="I10" s="407"/>
      <c r="J10" s="406"/>
      <c r="K10" s="480" t="s">
        <v>1417</v>
      </c>
      <c r="L10" s="463"/>
      <c r="M10" s="481"/>
      <c r="N10" s="481"/>
      <c r="O10" s="481"/>
      <c r="P10" s="463"/>
      <c r="Q10" s="480" t="s">
        <v>2570</v>
      </c>
      <c r="R10" s="463"/>
      <c r="S10" s="407"/>
      <c r="T10" s="463"/>
      <c r="U10" s="463"/>
      <c r="V10" s="479"/>
      <c r="W10" s="1292"/>
      <c r="X10" s="463"/>
      <c r="Y10" s="463"/>
      <c r="Z10" s="463"/>
      <c r="AA10" s="463"/>
      <c r="AB10" s="463"/>
      <c r="AC10" s="463"/>
      <c r="AD10" s="480" t="s">
        <v>1418</v>
      </c>
      <c r="AE10" s="480"/>
      <c r="AF10" s="480"/>
      <c r="AG10" s="480" t="s">
        <v>1419</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65"/>
      <c r="M11" s="465"/>
      <c r="N11" s="465"/>
      <c r="O11" s="465"/>
      <c r="P11" s="465"/>
      <c r="Q11" s="465"/>
      <c r="R11" s="465"/>
      <c r="S11" s="465"/>
      <c r="T11" s="465"/>
      <c r="U11" s="465"/>
      <c r="V11" s="471"/>
      <c r="W11" s="1293" t="s">
        <v>1420</v>
      </c>
      <c r="X11" s="465"/>
      <c r="Y11" s="465"/>
      <c r="Z11" s="465"/>
      <c r="AA11" s="465"/>
      <c r="AB11" s="470" t="s">
        <v>1421</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8</v>
      </c>
      <c r="AK11" s="471"/>
    </row>
    <row r="12" spans="1:37" s="462" customFormat="1" ht="19.5" customHeight="1" thickBot="1">
      <c r="A12" s="403" t="s">
        <v>1422</v>
      </c>
      <c r="B12" s="465"/>
      <c r="C12" s="465"/>
      <c r="D12" s="465"/>
      <c r="E12" s="465"/>
      <c r="F12" s="465"/>
      <c r="G12" s="465"/>
      <c r="H12" s="399"/>
      <c r="I12" s="399"/>
      <c r="J12" s="398"/>
      <c r="K12" s="399"/>
      <c r="L12" s="478" t="str">
        <f>IF('Input data'!D7="x","x"," ")</f>
        <v>x</v>
      </c>
      <c r="M12" s="470" t="s">
        <v>1423</v>
      </c>
      <c r="N12" s="472"/>
      <c r="O12" s="472"/>
      <c r="P12" s="472"/>
      <c r="Q12" s="472"/>
      <c r="R12" s="478"/>
      <c r="S12" s="470" t="s">
        <v>2235</v>
      </c>
      <c r="T12" s="465"/>
      <c r="U12" s="465"/>
      <c r="V12" s="471"/>
      <c r="W12" s="477"/>
      <c r="X12" s="467"/>
      <c r="Y12" s="467"/>
      <c r="Z12" s="467"/>
      <c r="AA12" s="467"/>
      <c r="AB12" s="466" t="s">
        <v>1425</v>
      </c>
      <c r="AC12" s="467"/>
      <c r="AD12" s="439" t="str">
        <f>MID('Input data'!$B$13,1,1)</f>
        <v>0</v>
      </c>
      <c r="AE12" s="439" t="str">
        <f>MID('Input data'!$B$13,2,1)</f>
        <v>3</v>
      </c>
      <c r="AF12" s="439"/>
      <c r="AG12" s="439" t="str">
        <f>MID('Input data'!$B$14,1,1)</f>
        <v>2</v>
      </c>
      <c r="AH12" s="439" t="str">
        <f>MID('Input data'!$B$14,2,1)</f>
        <v>0</v>
      </c>
      <c r="AI12" s="439" t="str">
        <f>MID('Input data'!$B$14,3,1)</f>
        <v>1</v>
      </c>
      <c r="AJ12" s="439" t="str">
        <f>MID('Input data'!$B$14,4,1)</f>
        <v>9</v>
      </c>
      <c r="AK12" s="468"/>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399"/>
      <c r="L13" s="474" t="str">
        <f>IF('Input data'!D8="x","x", "")</f>
        <v/>
      </c>
      <c r="M13" s="470" t="s">
        <v>1426</v>
      </c>
      <c r="N13" s="472"/>
      <c r="O13" s="472"/>
      <c r="P13" s="472"/>
      <c r="Q13" s="472"/>
      <c r="R13" s="475" t="s">
        <v>18</v>
      </c>
      <c r="S13" s="470" t="s">
        <v>2234</v>
      </c>
      <c r="T13" s="465"/>
      <c r="U13" s="465"/>
      <c r="V13" s="471"/>
      <c r="W13" s="2457" t="s">
        <v>1428</v>
      </c>
      <c r="X13" s="2458"/>
      <c r="Y13" s="2458"/>
      <c r="Z13" s="2458"/>
      <c r="AA13" s="2458"/>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478" t="str">
        <f>IF('Input data'!D9="x","x"," ")</f>
        <v xml:space="preserve"> </v>
      </c>
      <c r="M14" s="470" t="s">
        <v>2571</v>
      </c>
      <c r="N14" s="472"/>
      <c r="O14" s="472"/>
      <c r="P14" s="472"/>
      <c r="Q14" s="472"/>
      <c r="R14" s="473" t="s">
        <v>1429</v>
      </c>
      <c r="S14" s="472"/>
      <c r="T14" s="465"/>
      <c r="U14" s="465"/>
      <c r="V14" s="471"/>
      <c r="W14" s="2459"/>
      <c r="X14" s="2460"/>
      <c r="Y14" s="2460"/>
      <c r="Z14" s="2460"/>
      <c r="AA14" s="2460"/>
      <c r="AB14" s="470" t="s">
        <v>1421</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7</v>
      </c>
      <c r="AK14" s="398"/>
    </row>
    <row r="15" spans="1:37" s="462" customFormat="1" ht="19.5" customHeight="1" thickBot="1">
      <c r="A15" s="469" t="str">
        <f>LEFT('Input data'!$F$7,1)</f>
        <v>2</v>
      </c>
      <c r="B15" s="394" t="str">
        <f>MID('Input data'!$F$7,2,1)</f>
        <v>7</v>
      </c>
      <c r="C15" s="467" t="s">
        <v>1063</v>
      </c>
      <c r="D15" s="394" t="str">
        <f>MID('Input data'!$F$7,3,1)</f>
        <v>3</v>
      </c>
      <c r="E15" s="394" t="str">
        <f>MID('Input data'!$F$7,4,1)</f>
        <v>1</v>
      </c>
      <c r="F15" s="846" t="s">
        <v>1063</v>
      </c>
      <c r="G15" s="394" t="str">
        <f>MID('Input data'!$F$7,5,1)</f>
        <v>0</v>
      </c>
      <c r="H15" s="394"/>
      <c r="I15" s="394"/>
      <c r="J15" s="393"/>
      <c r="K15" s="394"/>
      <c r="L15" s="1036" t="str">
        <f>IF('Input data'!D10="x","x", "")</f>
        <v/>
      </c>
      <c r="M15" s="466"/>
      <c r="N15" s="1037"/>
      <c r="O15" s="1037"/>
      <c r="P15" s="394"/>
      <c r="Q15" s="394"/>
      <c r="R15" s="394"/>
      <c r="S15" s="394"/>
      <c r="T15" s="467"/>
      <c r="U15" s="467"/>
      <c r="V15" s="468"/>
      <c r="W15" s="2461"/>
      <c r="X15" s="2462"/>
      <c r="Y15" s="2462"/>
      <c r="Z15" s="2462"/>
      <c r="AA15" s="2462"/>
      <c r="AB15" s="466" t="s">
        <v>1425</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8</v>
      </c>
      <c r="AK15" s="393"/>
    </row>
    <row r="16" spans="1:37" s="462" customFormat="1" ht="3.75" customHeight="1" thickBo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37" s="462" customFormat="1" ht="17.149999999999999" customHeight="1">
      <c r="A17" s="464" t="s">
        <v>2579</v>
      </c>
      <c r="B17" s="463"/>
      <c r="C17" s="463"/>
      <c r="D17" s="463"/>
      <c r="E17" s="463"/>
      <c r="F17" s="463"/>
      <c r="G17" s="463"/>
      <c r="H17" s="407"/>
      <c r="I17" s="407"/>
      <c r="J17" s="407"/>
      <c r="K17" s="407"/>
      <c r="L17" s="407"/>
      <c r="M17" s="407"/>
      <c r="N17" s="407"/>
      <c r="O17" s="407"/>
      <c r="P17" s="407"/>
      <c r="Q17" s="407"/>
      <c r="R17" s="407"/>
      <c r="S17" s="407"/>
      <c r="T17" s="463"/>
      <c r="U17" s="463"/>
      <c r="V17" s="463"/>
      <c r="W17" s="407"/>
      <c r="X17" s="407"/>
      <c r="Y17" s="407"/>
      <c r="Z17" s="407"/>
      <c r="AA17" s="407"/>
      <c r="AB17" s="407"/>
      <c r="AC17" s="407"/>
      <c r="AD17" s="407"/>
      <c r="AE17" s="407"/>
      <c r="AF17" s="407"/>
      <c r="AG17" s="407"/>
      <c r="AH17" s="407"/>
      <c r="AI17" s="407"/>
      <c r="AJ17" s="407"/>
      <c r="AK17" s="406"/>
    </row>
    <row r="18" spans="1:37" s="462" customFormat="1" ht="17.149999999999999" customHeight="1">
      <c r="A18" s="1040"/>
      <c r="B18" s="478" t="str">
        <f>IF('Input data'!D12="x","x"," ")</f>
        <v>x</v>
      </c>
      <c r="C18" s="470" t="s">
        <v>2576</v>
      </c>
      <c r="D18" s="472"/>
      <c r="E18" s="465"/>
      <c r="F18" s="465"/>
      <c r="G18" s="465"/>
      <c r="H18" s="399"/>
      <c r="I18" s="399"/>
      <c r="J18" s="399"/>
      <c r="K18" s="465"/>
      <c r="L18" s="465"/>
      <c r="M18" s="465"/>
      <c r="N18" s="478" t="str">
        <f>IF('Input data'!D13="x","x"," ")</f>
        <v>x</v>
      </c>
      <c r="O18" s="470" t="s">
        <v>2572</v>
      </c>
      <c r="P18" s="399"/>
      <c r="Q18" s="399"/>
      <c r="R18" s="399"/>
      <c r="S18" s="399"/>
      <c r="T18" s="399"/>
      <c r="U18" s="399"/>
      <c r="V18" s="399"/>
      <c r="W18" s="465"/>
      <c r="X18" s="465"/>
      <c r="Y18" s="465"/>
      <c r="Z18" s="478" t="str">
        <f>IF('Input data'!D14="x","x"," ")</f>
        <v>x</v>
      </c>
      <c r="AA18" s="470" t="s">
        <v>2573</v>
      </c>
      <c r="AB18" s="470"/>
      <c r="AC18" s="399"/>
      <c r="AD18" s="399"/>
      <c r="AE18" s="399"/>
      <c r="AF18" s="399"/>
      <c r="AG18" s="399"/>
      <c r="AH18" s="399"/>
      <c r="AI18" s="399"/>
      <c r="AJ18" s="399"/>
      <c r="AK18" s="398"/>
    </row>
    <row r="19" spans="1:37" s="462" customFormat="1" ht="17.149999999999999" customHeight="1" thickBot="1">
      <c r="A19" s="1041"/>
      <c r="B19" s="467"/>
      <c r="C19" s="1042" t="s">
        <v>2574</v>
      </c>
      <c r="D19" s="467"/>
      <c r="E19" s="467"/>
      <c r="F19" s="467"/>
      <c r="G19" s="467"/>
      <c r="H19" s="394"/>
      <c r="I19" s="394"/>
      <c r="J19" s="394"/>
      <c r="K19" s="467"/>
      <c r="L19" s="467"/>
      <c r="M19" s="467"/>
      <c r="N19" s="394"/>
      <c r="O19" s="1042" t="s">
        <v>2574</v>
      </c>
      <c r="P19" s="394"/>
      <c r="Q19" s="394"/>
      <c r="R19" s="394"/>
      <c r="S19" s="394"/>
      <c r="T19" s="394"/>
      <c r="U19" s="394"/>
      <c r="V19" s="394"/>
      <c r="W19" s="467"/>
      <c r="X19" s="467"/>
      <c r="Y19" s="467"/>
      <c r="Z19" s="394"/>
      <c r="AA19" s="1042" t="s">
        <v>2575</v>
      </c>
      <c r="AB19" s="1042"/>
      <c r="AC19" s="394"/>
      <c r="AD19" s="394"/>
      <c r="AE19" s="394"/>
      <c r="AF19" s="394"/>
      <c r="AG19" s="394"/>
      <c r="AH19" s="394"/>
      <c r="AI19" s="394"/>
      <c r="AJ19" s="394"/>
      <c r="AK19" s="393"/>
    </row>
    <row r="20" spans="1:37" s="462" customFormat="1" ht="3.75" customHeight="1" thickBot="1">
      <c r="H20" s="392"/>
      <c r="I20" s="392"/>
      <c r="J20" s="392"/>
      <c r="K20" s="392"/>
      <c r="L20" s="392"/>
      <c r="M20" s="392"/>
      <c r="N20" s="392"/>
      <c r="O20" s="392"/>
      <c r="P20" s="392"/>
      <c r="Q20" s="392"/>
      <c r="R20" s="392"/>
      <c r="S20" s="392"/>
      <c r="W20" s="392"/>
      <c r="X20" s="392"/>
      <c r="Y20" s="392"/>
      <c r="Z20" s="392"/>
      <c r="AA20" s="392"/>
      <c r="AB20" s="392"/>
      <c r="AC20" s="392"/>
      <c r="AD20" s="392"/>
      <c r="AE20" s="392"/>
      <c r="AF20" s="392"/>
      <c r="AG20" s="392"/>
      <c r="AH20" s="392"/>
      <c r="AI20" s="392"/>
      <c r="AJ20" s="392"/>
      <c r="AK20" s="392"/>
    </row>
    <row r="21" spans="1:37" s="462" customFormat="1" ht="15.5">
      <c r="A21" s="464" t="s">
        <v>1430</v>
      </c>
      <c r="B21" s="463"/>
      <c r="C21" s="463"/>
      <c r="D21" s="463"/>
      <c r="E21" s="463"/>
      <c r="F21" s="463"/>
      <c r="G21" s="463"/>
      <c r="H21" s="407"/>
      <c r="I21" s="407"/>
      <c r="J21" s="407"/>
      <c r="K21" s="407"/>
      <c r="L21" s="407"/>
      <c r="M21" s="407"/>
      <c r="N21" s="407"/>
      <c r="O21" s="407"/>
      <c r="P21" s="407"/>
      <c r="Q21" s="407"/>
      <c r="R21" s="407"/>
      <c r="S21" s="407"/>
      <c r="T21" s="463"/>
      <c r="U21" s="463"/>
      <c r="V21" s="463"/>
      <c r="W21" s="407"/>
      <c r="X21" s="407"/>
      <c r="Y21" s="407"/>
      <c r="Z21" s="407"/>
      <c r="AA21" s="407"/>
      <c r="AB21" s="407"/>
      <c r="AC21" s="407"/>
      <c r="AD21" s="407"/>
      <c r="AE21" s="407"/>
      <c r="AF21" s="407"/>
      <c r="AG21" s="407"/>
      <c r="AH21" s="407"/>
      <c r="AI21" s="407"/>
      <c r="AJ21" s="407"/>
      <c r="AK21" s="406"/>
    </row>
    <row r="22" spans="1:37" s="462" customFormat="1" ht="19.5" customHeight="1">
      <c r="A22" s="449" t="str">
        <f>+LEFT('Input data'!$F$3,1)</f>
        <v>F</v>
      </c>
      <c r="B22" s="441" t="str">
        <f>+MID('Input data'!$F$3,2,1)</f>
        <v>o</v>
      </c>
      <c r="C22" s="441" t="str">
        <f>+MID('Input data'!$F$3,3,1)</f>
        <v>s</v>
      </c>
      <c r="D22" s="441" t="str">
        <f>+MID('Input data'!$F$3,4,1)</f>
        <v>s</v>
      </c>
      <c r="E22" s="441" t="str">
        <f>+MID('Input data'!$F$3,5,1)</f>
        <v xml:space="preserve"> </v>
      </c>
      <c r="F22" s="441" t="str">
        <f>+MID('Input data'!$F$3,6,1)</f>
        <v>F</v>
      </c>
      <c r="G22" s="441" t="str">
        <f>+MID('Input data'!$F$3,7,1)</f>
        <v>i</v>
      </c>
      <c r="H22" s="441" t="str">
        <f>+MID('Input data'!$F$3,8,1)</f>
        <v>b</v>
      </c>
      <c r="I22" s="441" t="str">
        <f>+MID('Input data'!$F$3,9,1)</f>
        <v>r</v>
      </c>
      <c r="J22" s="441" t="str">
        <f>+MID('Input data'!$F$3,10,1)</f>
        <v>e</v>
      </c>
      <c r="K22" s="441" t="str">
        <f>+MID('Input data'!$F$3,11,1)</f>
        <v xml:space="preserve"> </v>
      </c>
      <c r="L22" s="441" t="str">
        <f>+MID('Input data'!$F$3,12,1)</f>
        <v>O</v>
      </c>
      <c r="M22" s="441" t="str">
        <f>+MID('Input data'!$F$3,13,1)</f>
        <v>p</v>
      </c>
      <c r="N22" s="441" t="str">
        <f>+MID('Input data'!$F$3,14,1)</f>
        <v>t</v>
      </c>
      <c r="O22" s="441" t="str">
        <f>+MID('Input data'!$F$3,15,1)</f>
        <v>i</v>
      </c>
      <c r="P22" s="441" t="str">
        <f>+MID('Input data'!$F$3,16,1)</f>
        <v>c</v>
      </c>
      <c r="Q22" s="441" t="str">
        <f>+MID('Input data'!$F$3,17,1)</f>
        <v>s</v>
      </c>
      <c r="R22" s="441" t="str">
        <f>+MID('Input data'!$F$3,18,1)</f>
        <v>,</v>
      </c>
      <c r="S22" s="441" t="str">
        <f>+MID('Input data'!$F$3,19,1)</f>
        <v xml:space="preserve"> </v>
      </c>
      <c r="T22" s="441" t="str">
        <f>+MID('Input data'!$F$3,20,1)</f>
        <v>s</v>
      </c>
      <c r="U22" s="441" t="str">
        <f>+MID('Input data'!$F$3,21,1)</f>
        <v>.</v>
      </c>
      <c r="V22" s="441" t="str">
        <f>+MID('Input data'!$F$3,22,1)</f>
        <v>r</v>
      </c>
      <c r="W22" s="441" t="str">
        <f>+MID('Input data'!$F$3,23,1)</f>
        <v>.</v>
      </c>
      <c r="X22" s="441" t="str">
        <f>+MID('Input data'!$F$3,24,1)</f>
        <v>o</v>
      </c>
      <c r="Y22" s="441" t="str">
        <f>+MID('Input data'!$F$3,25,1)</f>
        <v>.</v>
      </c>
      <c r="Z22" s="441" t="str">
        <f>+MID('Input data'!$F$3,26,1)</f>
        <v xml:space="preserve"> </v>
      </c>
      <c r="AA22" s="441" t="str">
        <f>+MID('Input data'!$F$3,27,1)</f>
        <v xml:space="preserve">
</v>
      </c>
      <c r="AB22" s="441" t="str">
        <f>+MID('Input data'!$F$3,28,1)</f>
        <v/>
      </c>
      <c r="AC22" s="441" t="str">
        <f>+MID('Input data'!$F$3,29,1)</f>
        <v/>
      </c>
      <c r="AD22" s="441" t="str">
        <f>+MID('Input data'!$F$3,30,1)</f>
        <v/>
      </c>
      <c r="AE22" s="441" t="str">
        <f>+MID('Input data'!$F$3,31,1)</f>
        <v/>
      </c>
      <c r="AF22" s="441" t="str">
        <f>+MID('Input data'!$F$3,32,1)</f>
        <v/>
      </c>
      <c r="AG22" s="441" t="str">
        <f>+MID('Input data'!$F$3,33,1)</f>
        <v/>
      </c>
      <c r="AH22" s="441" t="str">
        <f>+MID('Input data'!$F$3,34,1)</f>
        <v/>
      </c>
      <c r="AI22" s="441" t="str">
        <f>+MID('Input data'!$F$3,35,1)</f>
        <v/>
      </c>
      <c r="AJ22" s="441" t="str">
        <f>+MID('Input data'!$F$3,36,1)</f>
        <v/>
      </c>
      <c r="AK22" s="448" t="str">
        <f>+MID('Input data'!$F$3,37,1)</f>
        <v/>
      </c>
    </row>
    <row r="23" spans="1:37" ht="19.5" customHeight="1">
      <c r="A23" s="449" t="str">
        <f>+MID('Input data'!$F$3,38,1)</f>
        <v/>
      </c>
      <c r="B23" s="441" t="str">
        <f>+MID('Input data'!$F$3,39,1)</f>
        <v/>
      </c>
      <c r="C23" s="441" t="str">
        <f>+MID('Input data'!$F$3,40,1)</f>
        <v/>
      </c>
      <c r="D23" s="441" t="str">
        <f>+MID('Input data'!$F$3,41,1)</f>
        <v/>
      </c>
      <c r="E23" s="441" t="str">
        <f>+MID('Input data'!$F$3,42,1)</f>
        <v/>
      </c>
      <c r="F23" s="441" t="str">
        <f>+MID('Input data'!$F$3,43,1)</f>
        <v/>
      </c>
      <c r="G23" s="441" t="str">
        <f>+MID('Input data'!$F$3,44,1)</f>
        <v/>
      </c>
      <c r="H23" s="441" t="str">
        <f>+MID('Input data'!$F$3,45,1)</f>
        <v/>
      </c>
      <c r="I23" s="441" t="str">
        <f>+MID('Input data'!$F$3,46,1)</f>
        <v/>
      </c>
      <c r="J23" s="441" t="str">
        <f>+MID('Input data'!$F$3,47,1)</f>
        <v/>
      </c>
      <c r="K23" s="441" t="str">
        <f>+MID('Input data'!$F$3,48,1)</f>
        <v/>
      </c>
      <c r="L23" s="441" t="str">
        <f>+MID('Input data'!$F$3,49,1)</f>
        <v/>
      </c>
      <c r="M23" s="441" t="str">
        <f>+MID('Input data'!$F$3,50,1)</f>
        <v/>
      </c>
      <c r="N23" s="441" t="str">
        <f>+MID('Input data'!$F$3,51,1)</f>
        <v/>
      </c>
      <c r="O23" s="441" t="str">
        <f>+MID('Input data'!$F$3,52,1)</f>
        <v/>
      </c>
      <c r="P23" s="441" t="str">
        <f>+MID('Input data'!$F$3,53,1)</f>
        <v/>
      </c>
      <c r="Q23" s="441" t="str">
        <f>+MID('Input data'!$F$3,54,1)</f>
        <v/>
      </c>
      <c r="R23" s="441" t="str">
        <f>+MID('Input data'!$F$3,55,1)</f>
        <v/>
      </c>
      <c r="S23" s="441" t="str">
        <f>+MID('Input data'!$F$3,56,1)</f>
        <v/>
      </c>
      <c r="T23" s="441" t="str">
        <f>+MID('Input data'!$F$3,57,1)</f>
        <v/>
      </c>
      <c r="U23" s="441" t="str">
        <f>+MID('Input data'!$F$3,58,1)</f>
        <v/>
      </c>
      <c r="V23" s="441" t="str">
        <f>+MID('Input data'!$F$3,59,1)</f>
        <v/>
      </c>
      <c r="W23" s="441" t="str">
        <f>+MID('Input data'!$F$3,60,1)</f>
        <v/>
      </c>
      <c r="X23" s="441" t="str">
        <f>+MID('Input data'!$F$3,61,1)</f>
        <v/>
      </c>
      <c r="Y23" s="441" t="str">
        <f>+MID('Input data'!$F$3,62,1)</f>
        <v/>
      </c>
      <c r="Z23" s="441" t="str">
        <f>+MID('Input data'!$F$3,63,1)</f>
        <v/>
      </c>
      <c r="AA23" s="441" t="str">
        <f>+MID('Input data'!$F$3,64,1)</f>
        <v/>
      </c>
      <c r="AB23" s="441" t="str">
        <f>+MID('Input data'!$F$3,65,1)</f>
        <v/>
      </c>
      <c r="AC23" s="441" t="str">
        <f>+MID('Input data'!$F$3,66,1)</f>
        <v/>
      </c>
      <c r="AD23" s="441" t="str">
        <f>+MID('Input data'!$F$3,67,1)</f>
        <v/>
      </c>
      <c r="AE23" s="441" t="str">
        <f>+MID('Input data'!$F$3,68,1)</f>
        <v/>
      </c>
      <c r="AF23" s="441" t="str">
        <f>+MID('Input data'!$F$3,69,1)</f>
        <v/>
      </c>
      <c r="AG23" s="441" t="str">
        <f>+MID('Input data'!$F$3,70,1)</f>
        <v/>
      </c>
      <c r="AH23" s="441" t="str">
        <f>+MID('Input data'!$F$3,71,1)</f>
        <v/>
      </c>
      <c r="AI23" s="441" t="str">
        <f>+MID('Input data'!$F$3,72,1)</f>
        <v/>
      </c>
      <c r="AJ23" s="441" t="str">
        <f>+MID('Input data'!$F$3,73,1)</f>
        <v/>
      </c>
      <c r="AK23" s="448" t="str">
        <f>+MID('Input data'!$F$3,74,1)</f>
        <v/>
      </c>
    </row>
    <row r="24" spans="1:37" ht="14.25" customHeight="1">
      <c r="A24" s="461"/>
      <c r="B24" s="460"/>
      <c r="C24" s="460"/>
      <c r="D24" s="460"/>
      <c r="E24" s="460"/>
      <c r="F24" s="460"/>
      <c r="G24" s="460"/>
      <c r="H24" s="460"/>
      <c r="I24" s="460"/>
      <c r="J24" s="460"/>
      <c r="K24" s="460"/>
      <c r="L24" s="460"/>
      <c r="M24" s="460"/>
      <c r="N24" s="460"/>
      <c r="O24" s="460"/>
      <c r="P24" s="460"/>
      <c r="Q24" s="460"/>
      <c r="R24" s="460"/>
      <c r="S24" s="460"/>
      <c r="T24" s="460"/>
      <c r="U24" s="460"/>
      <c r="V24" s="460"/>
      <c r="W24" s="459"/>
      <c r="X24" s="459"/>
      <c r="Y24" s="459"/>
      <c r="Z24" s="459"/>
      <c r="AA24" s="459"/>
      <c r="AB24" s="459"/>
      <c r="AC24" s="459"/>
      <c r="AD24" s="459"/>
      <c r="AE24" s="459"/>
      <c r="AF24" s="459"/>
      <c r="AG24" s="459"/>
      <c r="AH24" s="459"/>
      <c r="AI24" s="459"/>
      <c r="AJ24" s="459"/>
      <c r="AK24" s="458"/>
    </row>
    <row r="25" spans="1:37" ht="19.5" hidden="1" customHeight="1">
      <c r="A25" s="457"/>
      <c r="B25" s="456"/>
      <c r="C25" s="456"/>
      <c r="D25" s="456"/>
      <c r="E25" s="456"/>
      <c r="F25" s="456"/>
      <c r="G25" s="456" t="e">
        <f>+MID('Input data'!#REF!,7,1)</f>
        <v>#REF!</v>
      </c>
      <c r="H25" s="456" t="e">
        <f>+MID('Input data'!#REF!,8,1)</f>
        <v>#REF!</v>
      </c>
      <c r="I25" s="456" t="e">
        <f>+MID('Input data'!#REF!,9,1)</f>
        <v>#REF!</v>
      </c>
      <c r="J25" s="456" t="e">
        <f>+MID('Input data'!#REF!,10,1)</f>
        <v>#REF!</v>
      </c>
      <c r="K25" s="456" t="e">
        <f>+MID('Input data'!#REF!,11,1)</f>
        <v>#REF!</v>
      </c>
      <c r="L25" s="456" t="e">
        <f>+MID('Input data'!#REF!,12,1)</f>
        <v>#REF!</v>
      </c>
      <c r="M25" s="456" t="e">
        <f>+MID('Input data'!#REF!,13,1)</f>
        <v>#REF!</v>
      </c>
      <c r="N25" s="456" t="e">
        <f>+MID('Input data'!#REF!,14,1)</f>
        <v>#REF!</v>
      </c>
      <c r="O25" s="456" t="e">
        <f>+MID('Input data'!#REF!,15,1)</f>
        <v>#REF!</v>
      </c>
      <c r="P25" s="456" t="e">
        <f>+MID('Input data'!#REF!,16,1)</f>
        <v>#REF!</v>
      </c>
      <c r="Q25" s="456" t="e">
        <f>+MID('Input data'!#REF!,17,1)</f>
        <v>#REF!</v>
      </c>
      <c r="R25" s="456" t="e">
        <f>+MID('Input data'!#REF!,18,1)</f>
        <v>#REF!</v>
      </c>
      <c r="S25" s="456" t="e">
        <f>+MID('Input data'!#REF!,19,1)</f>
        <v>#REF!</v>
      </c>
      <c r="T25" s="456" t="e">
        <f>+MID('Input data'!#REF!,20,1)</f>
        <v>#REF!</v>
      </c>
      <c r="U25" s="456" t="e">
        <f>+MID('Input data'!#REF!,21,1)</f>
        <v>#REF!</v>
      </c>
      <c r="V25" s="456" t="e">
        <f>+MID('Input data'!#REF!,22,1)</f>
        <v>#REF!</v>
      </c>
      <c r="W25" s="456" t="e">
        <f>+MID('Input data'!#REF!,23,1)</f>
        <v>#REF!</v>
      </c>
      <c r="X25" s="456" t="e">
        <f>+MID('Input data'!#REF!,24,1)</f>
        <v>#REF!</v>
      </c>
      <c r="Y25" s="456" t="e">
        <f>+MID('Input data'!#REF!,25,1)</f>
        <v>#REF!</v>
      </c>
      <c r="Z25" s="456" t="e">
        <f>+MID('Input data'!#REF!,26,1)</f>
        <v>#REF!</v>
      </c>
      <c r="AA25" s="456" t="e">
        <f>+MID('Input data'!#REF!,27,1)</f>
        <v>#REF!</v>
      </c>
      <c r="AB25" s="456" t="e">
        <f>+MID('Input data'!#REF!,28,1)</f>
        <v>#REF!</v>
      </c>
      <c r="AC25" s="456" t="e">
        <f>+MID('Input data'!#REF!,29,1)</f>
        <v>#REF!</v>
      </c>
      <c r="AD25" s="456" t="e">
        <f>+MID('Input data'!#REF!,30,1)</f>
        <v>#REF!</v>
      </c>
      <c r="AE25" s="456" t="e">
        <f>+MID('Input data'!#REF!,31,1)</f>
        <v>#REF!</v>
      </c>
      <c r="AF25" s="456" t="e">
        <f>+MID('Input data'!#REF!,32,1)</f>
        <v>#REF!</v>
      </c>
      <c r="AG25" s="456" t="e">
        <f>+MID('Input data'!#REF!,33,1)</f>
        <v>#REF!</v>
      </c>
      <c r="AH25" s="456" t="e">
        <f>+MID('Input data'!#REF!,34,1)</f>
        <v>#REF!</v>
      </c>
      <c r="AI25" s="456" t="e">
        <f>+MID('Input data'!#REF!,35,1)</f>
        <v>#REF!</v>
      </c>
      <c r="AJ25" s="456" t="e">
        <f>+MID('Input data'!#REF!,36,1)</f>
        <v>#REF!</v>
      </c>
      <c r="AK25" s="455" t="e">
        <f>+MID('Input data'!#REF!,37,1)</f>
        <v>#REF!</v>
      </c>
    </row>
    <row r="26" spans="1:37" s="450" customFormat="1" ht="12" customHeight="1">
      <c r="A26" s="454" t="s">
        <v>1431</v>
      </c>
      <c r="B26" s="453"/>
      <c r="C26" s="453"/>
      <c r="D26" s="453"/>
      <c r="E26" s="453"/>
      <c r="F26" s="453"/>
      <c r="G26" s="453"/>
      <c r="H26" s="453"/>
      <c r="I26" s="453"/>
      <c r="J26" s="453"/>
      <c r="K26" s="453"/>
      <c r="L26" s="453"/>
      <c r="M26" s="453"/>
      <c r="N26" s="453"/>
      <c r="O26" s="453"/>
      <c r="P26" s="453"/>
      <c r="Q26" s="453"/>
      <c r="R26" s="453"/>
      <c r="S26" s="453"/>
      <c r="T26" s="453"/>
      <c r="U26" s="453"/>
      <c r="V26" s="453"/>
      <c r="W26" s="452"/>
      <c r="X26" s="452"/>
      <c r="Y26" s="452"/>
      <c r="Z26" s="452"/>
      <c r="AA26" s="452"/>
      <c r="AB26" s="452"/>
      <c r="AC26" s="452"/>
      <c r="AD26" s="452"/>
      <c r="AE26" s="452"/>
      <c r="AF26" s="452"/>
      <c r="AG26" s="452"/>
      <c r="AH26" s="452"/>
      <c r="AI26" s="452"/>
      <c r="AJ26" s="452"/>
      <c r="AK26" s="451"/>
    </row>
    <row r="27" spans="1:37" ht="13">
      <c r="A27" s="446" t="s">
        <v>1432</v>
      </c>
      <c r="B27" s="1275"/>
      <c r="C27" s="1275"/>
      <c r="D27" s="1275"/>
      <c r="E27" s="1275"/>
      <c r="F27" s="1275"/>
      <c r="G27" s="1275"/>
      <c r="H27" s="1275"/>
      <c r="I27" s="1275"/>
      <c r="J27" s="1275"/>
      <c r="K27" s="1275"/>
      <c r="L27" s="1275"/>
      <c r="M27" s="1275"/>
      <c r="N27" s="1275"/>
      <c r="O27" s="1275"/>
      <c r="P27" s="1275"/>
      <c r="Q27" s="1275"/>
      <c r="R27" s="1275"/>
      <c r="S27" s="1275"/>
      <c r="T27" s="1275"/>
      <c r="U27" s="1275"/>
      <c r="V27" s="1275"/>
      <c r="W27" s="399"/>
      <c r="X27" s="399"/>
      <c r="Y27" s="399"/>
      <c r="Z27" s="399"/>
      <c r="AA27" s="399"/>
      <c r="AB27" s="1275"/>
      <c r="AC27" s="399"/>
      <c r="AD27" s="402" t="s">
        <v>1433</v>
      </c>
      <c r="AE27" s="399"/>
      <c r="AF27" s="399"/>
      <c r="AG27" s="399"/>
      <c r="AH27" s="399"/>
      <c r="AI27" s="399"/>
      <c r="AJ27" s="399"/>
      <c r="AK27" s="398"/>
    </row>
    <row r="28" spans="1:37" ht="19.5" customHeight="1">
      <c r="A28" s="449" t="str">
        <f>+LEFT('Input data'!$C$28,1)</f>
        <v>O</v>
      </c>
      <c r="B28" s="441" t="str">
        <f>+MID('Input data'!$C$28,2,1)</f>
        <v>d</v>
      </c>
      <c r="C28" s="441" t="str">
        <f>+MID('Input data'!$C$28,3,1)</f>
        <v>b</v>
      </c>
      <c r="D28" s="441" t="str">
        <f>+MID('Input data'!$C$28,4,1)</f>
        <v>o</v>
      </c>
      <c r="E28" s="441" t="str">
        <f>+MID('Input data'!$C$28,5,1)</f>
        <v>r</v>
      </c>
      <c r="F28" s="441" t="str">
        <f>+MID('Input data'!$C$28,6,1)</f>
        <v>á</v>
      </c>
      <c r="G28" s="441" t="str">
        <f>+MID('Input data'!$C$28,7,1)</f>
        <v>r</v>
      </c>
      <c r="H28" s="441" t="str">
        <f>+MID('Input data'!$C$28,8,1)</f>
        <v>s</v>
      </c>
      <c r="I28" s="441" t="str">
        <f>+MID('Input data'!$C$28,9,1)</f>
        <v>k</v>
      </c>
      <c r="J28" s="441" t="str">
        <f>+MID('Input data'!$C$28,10,1)</f>
        <v>a</v>
      </c>
      <c r="K28" s="441" t="str">
        <f>+MID('Input data'!$C$28,11,1)</f>
        <v/>
      </c>
      <c r="L28" s="441" t="str">
        <f>+MID('Input data'!$C$28,12,1)</f>
        <v/>
      </c>
      <c r="M28" s="441" t="str">
        <f>+MID('Input data'!$C$28,13,1)</f>
        <v/>
      </c>
      <c r="N28" s="441" t="str">
        <f>+MID('Input data'!$C$28,14,1)</f>
        <v/>
      </c>
      <c r="O28" s="441" t="str">
        <f>+MID('Input data'!$C$28,15,1)</f>
        <v/>
      </c>
      <c r="P28" s="441" t="str">
        <f>+MID('Input data'!$C$28,16,1)</f>
        <v/>
      </c>
      <c r="Q28" s="441" t="str">
        <f>+MID('Input data'!$C$28,17,1)</f>
        <v/>
      </c>
      <c r="R28" s="441" t="str">
        <f>+MID('Input data'!$C$28,18,1)</f>
        <v/>
      </c>
      <c r="S28" s="441" t="str">
        <f>+MID('Input data'!$C$28,19,1)</f>
        <v/>
      </c>
      <c r="T28" s="441" t="str">
        <f>+MID('Input data'!$C$28,20,1)</f>
        <v/>
      </c>
      <c r="U28" s="441" t="str">
        <f>+MID('Input data'!$C$28,21,1)</f>
        <v/>
      </c>
      <c r="V28" s="441" t="str">
        <f>+MID('Input data'!$C$28,22,1)</f>
        <v/>
      </c>
      <c r="W28" s="441" t="str">
        <f>+MID('Input data'!$C$28,23,1)</f>
        <v/>
      </c>
      <c r="X28" s="441" t="str">
        <f>+MID('Input data'!$C$28,24,1)</f>
        <v/>
      </c>
      <c r="Y28" s="441" t="str">
        <f>+MID('Input data'!$C$28,25,1)</f>
        <v/>
      </c>
      <c r="Z28" s="441" t="str">
        <f>+MID('Input data'!$C$28,26,1)</f>
        <v/>
      </c>
      <c r="AA28" s="441" t="str">
        <f>+MID('Input data'!$C$28,27,1)</f>
        <v/>
      </c>
      <c r="AB28" s="441" t="str">
        <f>+MID('Input data'!$C$28,28,1)</f>
        <v/>
      </c>
      <c r="AC28" s="443"/>
      <c r="AD28" s="441" t="str">
        <f>+LEFT('Input data'!$C$30,1)</f>
        <v>5</v>
      </c>
      <c r="AE28" s="441" t="str">
        <f>+MID('Input data'!$C$30,2,1)</f>
        <v>2</v>
      </c>
      <c r="AF28" s="441" t="str">
        <f>+MID('Input data'!$C$30,3,1)</f>
        <v/>
      </c>
      <c r="AG28" s="441" t="str">
        <f>+MID('Input data'!$C$30,4,1)</f>
        <v/>
      </c>
      <c r="AH28" s="441" t="str">
        <f>+MID('Input data'!$C$30,5,1)</f>
        <v/>
      </c>
      <c r="AI28" s="441" t="str">
        <f>+MID('Input data'!$C$30,6,1)</f>
        <v/>
      </c>
      <c r="AJ28" s="441" t="str">
        <f>+MID('Input data'!$C$30,7,1)</f>
        <v/>
      </c>
      <c r="AK28" s="448" t="str">
        <f>+MID('Input data'!$C$30,8,1)</f>
        <v/>
      </c>
    </row>
    <row r="29" spans="1:37" ht="13">
      <c r="A29" s="446" t="s">
        <v>1434</v>
      </c>
      <c r="B29" s="1275"/>
      <c r="C29" s="1275"/>
      <c r="D29" s="1275"/>
      <c r="E29" s="1275"/>
      <c r="F29" s="1275"/>
      <c r="G29" s="445" t="s">
        <v>1435</v>
      </c>
      <c r="H29" s="445"/>
      <c r="I29" s="445"/>
      <c r="J29" s="445"/>
      <c r="K29" s="445"/>
      <c r="L29" s="445"/>
      <c r="M29" s="445"/>
      <c r="N29" s="445"/>
      <c r="O29" s="445"/>
      <c r="P29" s="445"/>
      <c r="Q29" s="445"/>
      <c r="R29" s="445"/>
      <c r="S29" s="445"/>
      <c r="T29" s="445"/>
      <c r="U29" s="445"/>
      <c r="V29" s="445"/>
      <c r="W29" s="445"/>
      <c r="X29" s="445"/>
      <c r="Y29" s="445"/>
      <c r="Z29" s="445"/>
      <c r="AA29" s="445"/>
      <c r="AB29" s="445"/>
      <c r="AC29" s="445"/>
      <c r="AD29" s="445"/>
      <c r="AE29" s="399"/>
      <c r="AF29" s="399"/>
      <c r="AG29" s="399"/>
      <c r="AH29" s="399"/>
      <c r="AI29" s="399"/>
      <c r="AJ29" s="399"/>
      <c r="AK29" s="398"/>
    </row>
    <row r="30" spans="1:37" s="447" customFormat="1" ht="19.5" customHeight="1">
      <c r="A30" s="1549" t="str">
        <f>+LEFT('Input data'!$C$32,1)</f>
        <v>8</v>
      </c>
      <c r="B30" s="1550" t="str">
        <f>+MID('Input data'!$C$32,2,1)</f>
        <v>3</v>
      </c>
      <c r="C30" s="1550" t="str">
        <f>+MID('Input data'!$C$32,3,1)</f>
        <v>1</v>
      </c>
      <c r="D30" s="1550" t="str">
        <f>+MID('Input data'!$C$32,4,1)</f>
        <v xml:space="preserve"> </v>
      </c>
      <c r="E30" s="1550" t="str">
        <f>+MID('Input data'!$C$32,5,1)</f>
        <v>0</v>
      </c>
      <c r="F30" s="441">
        <v>2</v>
      </c>
      <c r="G30" s="441" t="str">
        <f>+LEFT('Input data'!$C$34,1)</f>
        <v>B</v>
      </c>
      <c r="H30" s="441" t="str">
        <f>+MID('Input data'!$C$34,2,1)</f>
        <v>r</v>
      </c>
      <c r="I30" s="441" t="str">
        <f>+MID('Input data'!$C$34,3,1)</f>
        <v>a</v>
      </c>
      <c r="J30" s="441" t="str">
        <f>+MID('Input data'!$C$34,4,1)</f>
        <v>t</v>
      </c>
      <c r="K30" s="441" t="str">
        <f>+MID('Input data'!$C$34,5,1)</f>
        <v>i</v>
      </c>
      <c r="L30" s="441" t="str">
        <f>+MID('Input data'!$C$34,6,1)</f>
        <v>s</v>
      </c>
      <c r="M30" s="441" t="str">
        <f>+MID('Input data'!$C$34,7,1)</f>
        <v>l</v>
      </c>
      <c r="N30" s="441" t="str">
        <f>+MID('Input data'!$C$34,8,1)</f>
        <v>a</v>
      </c>
      <c r="O30" s="441" t="str">
        <f>+MID('Input data'!$C$34,9,1)</f>
        <v>v</v>
      </c>
      <c r="P30" s="441" t="str">
        <f>+MID('Input data'!$C$34,10,1)</f>
        <v>a</v>
      </c>
      <c r="Q30" s="441" t="str">
        <f>+MID('Input data'!$C$34,11,1)</f>
        <v xml:space="preserve"> </v>
      </c>
      <c r="R30" s="441" t="str">
        <f>+MID('Input data'!$C$34,12,1)</f>
        <v/>
      </c>
      <c r="S30" s="441" t="str">
        <f>+MID('Input data'!$C$34,13,1)</f>
        <v/>
      </c>
      <c r="T30" s="441" t="str">
        <f>+MID('Input data'!$C$34,14,1)</f>
        <v/>
      </c>
      <c r="U30" s="441" t="str">
        <f>+MID('Input data'!$C$34,15,1)</f>
        <v/>
      </c>
      <c r="V30" s="441" t="str">
        <f>+MID('Input data'!$C$34,16,1)</f>
        <v/>
      </c>
      <c r="W30" s="441" t="str">
        <f>+MID('Input data'!$C$34,17,1)</f>
        <v/>
      </c>
      <c r="X30" s="441" t="str">
        <f>+MID('Input data'!$C$34,18,1)</f>
        <v/>
      </c>
      <c r="Y30" s="441" t="str">
        <f>+MID('Input data'!$C$34,19,1)</f>
        <v/>
      </c>
      <c r="Z30" s="441" t="str">
        <f>+MID('Input data'!$C$34,20,1)</f>
        <v/>
      </c>
      <c r="AA30" s="441" t="str">
        <f>+MID('Input data'!$C$34,21,1)</f>
        <v/>
      </c>
      <c r="AB30" s="441" t="str">
        <f>+MID('Input data'!$C$34,22,1)</f>
        <v/>
      </c>
      <c r="AC30" s="441" t="str">
        <f>+MID('Input data'!$C$34,23,1)</f>
        <v/>
      </c>
      <c r="AD30" s="441" t="str">
        <f>+MID('Input data'!$C$34,24,1)</f>
        <v/>
      </c>
      <c r="AE30" s="441" t="str">
        <f>+MID('Input data'!$C$34,25,1)</f>
        <v/>
      </c>
      <c r="AF30" s="441" t="str">
        <f>+MID('Input data'!$C$34,26,1)</f>
        <v/>
      </c>
      <c r="AG30" s="441" t="str">
        <f>+MID('Input data'!$C$34,27,1)</f>
        <v/>
      </c>
      <c r="AH30" s="441" t="str">
        <f>+MID('Input data'!$C$34,28,1)</f>
        <v/>
      </c>
      <c r="AI30" s="441" t="str">
        <f>+MID('Input data'!$C$34,29,1)</f>
        <v/>
      </c>
      <c r="AJ30" s="441" t="str">
        <f>+MID('Input data'!$C$34,30,1)</f>
        <v/>
      </c>
      <c r="AK30" s="448" t="str">
        <f>+MID('Input data'!$C$34,31,1)</f>
        <v/>
      </c>
    </row>
    <row r="31" spans="1:37" s="447" customFormat="1" ht="13" customHeight="1">
      <c r="A31" s="446" t="s">
        <v>2577</v>
      </c>
      <c r="B31" s="441"/>
      <c r="C31" s="441"/>
      <c r="D31" s="441"/>
      <c r="E31" s="441"/>
      <c r="F31" s="441"/>
      <c r="G31" s="441"/>
      <c r="H31" s="441"/>
      <c r="I31" s="441"/>
      <c r="J31" s="441"/>
      <c r="K31" s="441"/>
      <c r="L31" s="441"/>
      <c r="M31" s="441"/>
      <c r="N31" s="441"/>
      <c r="O31" s="441"/>
      <c r="P31" s="441"/>
      <c r="Q31" s="441"/>
      <c r="R31" s="441"/>
      <c r="S31" s="441"/>
      <c r="T31" s="441"/>
      <c r="U31" s="441"/>
      <c r="V31" s="441"/>
      <c r="W31" s="441"/>
      <c r="X31" s="441"/>
      <c r="Y31" s="441"/>
      <c r="Z31" s="441"/>
      <c r="AA31" s="441"/>
      <c r="AB31" s="441"/>
      <c r="AC31" s="441"/>
      <c r="AD31" s="441"/>
      <c r="AE31" s="441"/>
      <c r="AF31" s="441"/>
      <c r="AG31" s="441"/>
      <c r="AH31" s="441"/>
      <c r="AI31" s="441"/>
      <c r="AJ31" s="441"/>
      <c r="AK31" s="448"/>
    </row>
    <row r="32" spans="1:37" s="447" customFormat="1" ht="19.5" customHeight="1">
      <c r="A32" s="449" t="s">
        <v>2768</v>
      </c>
      <c r="B32" s="441" t="s">
        <v>2769</v>
      </c>
      <c r="C32" s="441" t="s">
        <v>2770</v>
      </c>
      <c r="D32" s="441" t="s">
        <v>2771</v>
      </c>
      <c r="E32" s="441" t="s">
        <v>2772</v>
      </c>
      <c r="F32" s="441" t="s">
        <v>2769</v>
      </c>
      <c r="G32" s="441" t="s">
        <v>520</v>
      </c>
      <c r="H32" s="441" t="s">
        <v>2771</v>
      </c>
      <c r="I32" s="441" t="s">
        <v>1093</v>
      </c>
      <c r="J32" s="441" t="s">
        <v>2782</v>
      </c>
      <c r="K32" s="441" t="s">
        <v>2773</v>
      </c>
      <c r="L32" s="441" t="s">
        <v>2774</v>
      </c>
      <c r="M32" s="441" t="s">
        <v>2772</v>
      </c>
      <c r="N32" s="441" t="s">
        <v>2771</v>
      </c>
      <c r="O32" s="441"/>
      <c r="P32" s="441" t="str">
        <f>+MID('Input data'!$F$22,13,1)</f>
        <v>B</v>
      </c>
      <c r="Q32" s="441" t="str">
        <f>+MID('Input data'!$F$22,14,1)</f>
        <v>r</v>
      </c>
      <c r="R32" s="441" t="str">
        <f>+MID('Input data'!$F$22,15,1)</f>
        <v>a</v>
      </c>
      <c r="S32" s="441" t="str">
        <f>+MID('Input data'!$F$22,16,1)</f>
        <v>t</v>
      </c>
      <c r="T32" s="441" t="str">
        <f>+MID('Input data'!$F$22,17,1)</f>
        <v>i</v>
      </c>
      <c r="U32" s="441" t="str">
        <f>+MID('Input data'!$F$22,18,1)</f>
        <v>s</v>
      </c>
      <c r="V32" s="441" t="str">
        <f>+MID('Input data'!$F$22,19,1)</f>
        <v>l</v>
      </c>
      <c r="W32" s="441" t="str">
        <f>+MID('Input data'!$F$22,20,1)</f>
        <v>a</v>
      </c>
      <c r="X32" s="441" t="str">
        <f>+MID('Input data'!$F$22,21,1)</f>
        <v>v</v>
      </c>
      <c r="Y32" s="441" t="str">
        <f>+MID('Input data'!$F$22,22,1)</f>
        <v>a</v>
      </c>
      <c r="Z32" s="441" t="str">
        <f>+MID('Input data'!$F$22,23,1)</f>
        <v xml:space="preserve"> </v>
      </c>
      <c r="AA32" s="441" t="str">
        <f>+MID('Input data'!$F$22,24,1)</f>
        <v>I</v>
      </c>
      <c r="AB32" s="441" t="s">
        <v>2778</v>
      </c>
      <c r="AD32" s="441" t="s">
        <v>2775</v>
      </c>
      <c r="AE32" s="441" t="s">
        <v>2776</v>
      </c>
      <c r="AF32" s="441" t="s">
        <v>520</v>
      </c>
      <c r="AG32" s="441" t="s">
        <v>2771</v>
      </c>
      <c r="AH32" s="441" t="s">
        <v>2769</v>
      </c>
      <c r="AI32" s="441" t="s">
        <v>2773</v>
      </c>
      <c r="AJ32" s="441" t="s">
        <v>2777</v>
      </c>
      <c r="AK32" s="448"/>
    </row>
    <row r="33" spans="1:37" s="447" customFormat="1" ht="19.5" customHeight="1">
      <c r="A33" s="449" t="s">
        <v>2775</v>
      </c>
      <c r="B33" s="441" t="s">
        <v>2772</v>
      </c>
      <c r="C33" s="441" t="s">
        <v>2773</v>
      </c>
      <c r="D33" s="441" t="s">
        <v>2778</v>
      </c>
      <c r="E33" s="441" t="s">
        <v>1093</v>
      </c>
      <c r="F33" s="441" t="s">
        <v>2779</v>
      </c>
      <c r="G33" s="441" t="s">
        <v>2769</v>
      </c>
      <c r="H33" s="441" t="s">
        <v>2780</v>
      </c>
      <c r="I33" s="441" t="s">
        <v>2776</v>
      </c>
      <c r="J33" s="441"/>
      <c r="K33" s="441" t="s">
        <v>2781</v>
      </c>
      <c r="L33" s="441" t="s">
        <v>2772</v>
      </c>
      <c r="M33" s="441" t="s">
        <v>1063</v>
      </c>
      <c r="N33" s="441" t="str">
        <f>+MID('Input data'!$F$22,49,1)</f>
        <v>6</v>
      </c>
      <c r="O33" s="441" t="str">
        <f>+MID('Input data'!$F$22,50,1)</f>
        <v>3</v>
      </c>
      <c r="P33" s="441" t="str">
        <f>+MID('Input data'!$F$22,51,1)</f>
        <v>7</v>
      </c>
      <c r="Q33" s="441" t="str">
        <f>+MID('Input data'!$F$22,52,1)</f>
        <v>4</v>
      </c>
      <c r="R33" s="441" t="str">
        <f>+MID('Input data'!$F$22,53,1)</f>
        <v>/</v>
      </c>
      <c r="S33" s="441" t="str">
        <f>+MID('Input data'!$F$22,54,1)</f>
        <v>B</v>
      </c>
      <c r="T33" s="441" t="str">
        <f>+MID('Input data'!$F$22,57,1)</f>
        <v/>
      </c>
      <c r="U33" s="441" t="str">
        <f>+MID('Input data'!$F$22,58,1)</f>
        <v/>
      </c>
      <c r="V33" s="441" t="str">
        <f>+MID('Input data'!$F$22,59,1)</f>
        <v/>
      </c>
      <c r="W33" s="441" t="str">
        <f>+MID('Input data'!$F$22,60,1)</f>
        <v/>
      </c>
      <c r="X33" s="441" t="str">
        <f>+MID('Input data'!$F$22,61,1)</f>
        <v/>
      </c>
      <c r="Y33" s="441" t="str">
        <f>+MID('Input data'!$F$22,62,1)</f>
        <v/>
      </c>
      <c r="Z33" s="441" t="str">
        <f>+MID('Input data'!$F$22,63,1)</f>
        <v/>
      </c>
      <c r="AA33" s="441" t="str">
        <f>+MID('Input data'!$F$22,64,1)</f>
        <v/>
      </c>
      <c r="AB33" s="441" t="str">
        <f>+MID('Input data'!$F$22,65,1)</f>
        <v/>
      </c>
      <c r="AC33" s="441" t="str">
        <f>+MID('Input data'!$F$22,66,1)</f>
        <v/>
      </c>
      <c r="AD33" s="441" t="str">
        <f>+MID('Input data'!$F$22,67,1)</f>
        <v/>
      </c>
      <c r="AE33" s="441" t="str">
        <f>+MID('Input data'!$F$22,68,1)</f>
        <v/>
      </c>
      <c r="AF33" s="441" t="str">
        <f>+MID('Input data'!$F$22,69,1)</f>
        <v/>
      </c>
      <c r="AG33" s="441" t="str">
        <f>+MID('Input data'!$F$22,70,1)</f>
        <v/>
      </c>
      <c r="AH33" s="441" t="str">
        <f>+MID('Input data'!$F$22,71,1)</f>
        <v/>
      </c>
      <c r="AI33" s="441" t="str">
        <f>+MID('Input data'!$F$22,72,1)</f>
        <v/>
      </c>
      <c r="AJ33" s="441" t="str">
        <f>+MID('Input data'!$F$22,73,1)</f>
        <v/>
      </c>
      <c r="AK33" s="448" t="str">
        <f>+MID('Input data'!$F$22,74,1)</f>
        <v/>
      </c>
    </row>
    <row r="34" spans="1:37" ht="13">
      <c r="A34" s="446" t="s">
        <v>1436</v>
      </c>
      <c r="B34" s="1275"/>
      <c r="C34" s="1275"/>
      <c r="D34" s="1275"/>
      <c r="E34" s="1275"/>
      <c r="F34" s="1275"/>
      <c r="G34" s="445"/>
      <c r="H34" s="445"/>
      <c r="I34" s="445"/>
      <c r="J34" s="445"/>
      <c r="K34" s="445"/>
      <c r="L34" s="445"/>
      <c r="M34" s="445"/>
      <c r="N34" s="1275"/>
      <c r="O34" s="445" t="s">
        <v>1437</v>
      </c>
      <c r="P34" s="445"/>
      <c r="Q34" s="445"/>
      <c r="R34" s="445"/>
      <c r="S34" s="445"/>
      <c r="T34" s="445"/>
      <c r="U34" s="445"/>
      <c r="V34" s="445"/>
      <c r="W34" s="445"/>
      <c r="X34" s="445"/>
      <c r="Y34" s="445"/>
      <c r="Z34" s="445"/>
      <c r="AA34" s="445"/>
      <c r="AB34" s="445"/>
      <c r="AC34" s="445"/>
      <c r="AD34" s="445"/>
      <c r="AE34" s="399"/>
      <c r="AF34" s="399"/>
      <c r="AG34" s="399"/>
      <c r="AH34" s="399"/>
      <c r="AI34" s="399"/>
      <c r="AJ34" s="399"/>
      <c r="AK34" s="398"/>
    </row>
    <row r="35" spans="1:37" ht="19.5" customHeight="1">
      <c r="A35" s="444">
        <v>0</v>
      </c>
      <c r="B35" s="441" t="str">
        <f>+LEFT('Input data'!$C$36,1)</f>
        <v>2</v>
      </c>
      <c r="C35" s="441" t="str">
        <f>+MID('Input data'!$C$36,2,1)</f>
        <v/>
      </c>
      <c r="D35" s="441" t="str">
        <f>+MID('Input data'!$C$36,3,1)</f>
        <v/>
      </c>
      <c r="E35" s="441" t="s">
        <v>1092</v>
      </c>
      <c r="F35" s="441" t="str">
        <f>+LEFT('Input data'!$C$38,1)</f>
        <v>4</v>
      </c>
      <c r="G35" s="441" t="str">
        <f>+MID('Input data'!$C$38,2,1)</f>
        <v>8</v>
      </c>
      <c r="H35" s="441" t="str">
        <f>+MID('Input data'!$C$38,3,1)</f>
        <v>2</v>
      </c>
      <c r="I35" s="441" t="str">
        <f>+MID('Input data'!$C$38,4,1)</f>
        <v>0</v>
      </c>
      <c r="J35" s="441" t="str">
        <f>+MID('Input data'!$C$38,5,1)</f>
        <v>5</v>
      </c>
      <c r="K35" s="441" t="str">
        <f>+MID('Input data'!$C$38,6,1)</f>
        <v>2</v>
      </c>
      <c r="L35" s="441" t="str">
        <f>+MID('Input data'!$C$38,7,1)</f>
        <v>0</v>
      </c>
      <c r="M35" s="441" t="str">
        <f>+MID('Input data'!$C$38,8,1)</f>
        <v>0</v>
      </c>
      <c r="N35" s="443"/>
      <c r="O35" s="442"/>
      <c r="P35" s="441"/>
      <c r="Q35" s="441" t="str">
        <f>+MID('Input data'!$C$36,2,1)</f>
        <v/>
      </c>
      <c r="R35" s="441" t="str">
        <f>+MID('Input data'!$C$36,3,1)</f>
        <v/>
      </c>
      <c r="S35" s="441" t="s">
        <v>1092</v>
      </c>
      <c r="T35" s="441" t="str">
        <f>+LEFT('Input data'!$C$40,1)</f>
        <v/>
      </c>
      <c r="U35" s="441" t="str">
        <f>+MID('Input data'!$C$40,2,1)</f>
        <v/>
      </c>
      <c r="V35" s="441" t="str">
        <f>+MID('Input data'!$C$40,3,1)</f>
        <v/>
      </c>
      <c r="W35" s="441" t="str">
        <f>+MID('Input data'!$C$40,4,1)</f>
        <v/>
      </c>
      <c r="X35" s="441" t="str">
        <f>+MID('Input data'!$C$40,5,1)</f>
        <v/>
      </c>
      <c r="Y35" s="441" t="str">
        <f>+MID('Input data'!$C$40,6,1)</f>
        <v/>
      </c>
      <c r="Z35" s="441" t="str">
        <f>+MID('Input data'!$C$40,7,1)</f>
        <v/>
      </c>
      <c r="AA35" s="441" t="str">
        <f>+MID('Input data'!$C$40,8,1)</f>
        <v/>
      </c>
      <c r="AB35" s="441"/>
      <c r="AC35" s="441"/>
      <c r="AD35" s="441"/>
      <c r="AE35" s="399"/>
      <c r="AF35" s="399"/>
      <c r="AG35" s="399" t="s">
        <v>1093</v>
      </c>
      <c r="AH35" s="399"/>
      <c r="AI35" s="399"/>
      <c r="AJ35" s="399"/>
      <c r="AK35" s="398"/>
    </row>
    <row r="36" spans="1:37" s="391" customFormat="1" ht="13">
      <c r="A36" s="403" t="s">
        <v>1438</v>
      </c>
      <c r="B36" s="402"/>
      <c r="C36" s="402"/>
      <c r="D36" s="402"/>
      <c r="E36" s="402"/>
      <c r="F36" s="402"/>
      <c r="G36" s="402"/>
      <c r="H36" s="402"/>
      <c r="I36" s="402"/>
      <c r="J36" s="402"/>
      <c r="K36" s="402"/>
      <c r="L36" s="402"/>
      <c r="M36" s="402"/>
      <c r="N36" s="402"/>
      <c r="O36" s="402"/>
      <c r="P36" s="402"/>
      <c r="Q36" s="402"/>
      <c r="R36" s="402"/>
      <c r="S36" s="402"/>
      <c r="T36" s="402"/>
      <c r="U36" s="402"/>
      <c r="V36" s="402"/>
      <c r="W36" s="399"/>
      <c r="X36" s="399"/>
      <c r="Y36" s="399"/>
      <c r="Z36" s="399"/>
      <c r="AA36" s="399"/>
      <c r="AB36" s="399"/>
      <c r="AC36" s="399"/>
      <c r="AD36" s="399"/>
      <c r="AE36" s="399"/>
      <c r="AF36" s="399"/>
      <c r="AG36" s="399"/>
      <c r="AH36" s="399"/>
      <c r="AI36" s="399"/>
      <c r="AJ36" s="399"/>
      <c r="AK36" s="398"/>
    </row>
    <row r="37" spans="1:37" ht="19.5" customHeight="1" thickBot="1">
      <c r="A37" s="440" t="str">
        <f>+LEFT('Input data'!$B$42,1)</f>
        <v>o</v>
      </c>
      <c r="B37" s="439" t="str">
        <f>+MID('Input data'!$B$42,2,1)</f>
        <v>f</v>
      </c>
      <c r="C37" s="439" t="str">
        <f>+MID('Input data'!$B$42,3,1)</f>
        <v>f</v>
      </c>
      <c r="D37" s="439" t="str">
        <f>+MID('Input data'!$B$42,4,1)</f>
        <v>i</v>
      </c>
      <c r="E37" s="439" t="str">
        <f>+MID('Input data'!$B$42,5,1)</f>
        <v>c</v>
      </c>
      <c r="F37" s="439" t="str">
        <f>+MID('Input data'!$B$42,6,1)</f>
        <v>e</v>
      </c>
      <c r="G37" s="439" t="str">
        <f>+MID('Input data'!$B$42,7,1)</f>
        <v>.</v>
      </c>
      <c r="H37" s="439" t="str">
        <f>+MID('Input data'!$B$42,8,1)</f>
        <v>s</v>
      </c>
      <c r="I37" s="439" t="str">
        <f>+MID('Input data'!$B$42,9,1)</f>
        <v>k</v>
      </c>
      <c r="J37" s="439" t="str">
        <f>+MID('Input data'!$B$42,10,1)</f>
        <v>@</v>
      </c>
      <c r="K37" s="439" t="str">
        <f>+MID('Input data'!$B$42,11,1)</f>
        <v>f</v>
      </c>
      <c r="L37" s="439" t="str">
        <f>+MID('Input data'!$B$42,12,1)</f>
        <v>o</v>
      </c>
      <c r="M37" s="439" t="str">
        <f>+MID('Input data'!$B$42,13,1)</f>
        <v>s</v>
      </c>
      <c r="N37" s="439" t="str">
        <f>+MID('Input data'!$B$42,14,1)</f>
        <v>s</v>
      </c>
      <c r="O37" s="439" t="str">
        <f>+MID('Input data'!$B$42,15,1)</f>
        <v>f</v>
      </c>
      <c r="P37" s="439" t="str">
        <f>+MID('Input data'!$B$42,16,1)</f>
        <v>i</v>
      </c>
      <c r="Q37" s="439" t="str">
        <f>+MID('Input data'!$B$42,17,1)</f>
        <v>b</v>
      </c>
      <c r="R37" s="439" t="str">
        <f>+MID('Input data'!$B$42,18,1)</f>
        <v>r</v>
      </c>
      <c r="S37" s="439" t="str">
        <f>+MID('Input data'!$B$42,19,1)</f>
        <v>e</v>
      </c>
      <c r="T37" s="439" t="str">
        <f>+MID('Input data'!$B$42,20,1)</f>
        <v>o</v>
      </c>
      <c r="U37" s="439" t="str">
        <f>+MID('Input data'!$B$42,21,1)</f>
        <v>p</v>
      </c>
      <c r="V37" s="439" t="str">
        <f>+MID('Input data'!$B$42,22,1)</f>
        <v>t</v>
      </c>
      <c r="W37" s="439" t="str">
        <f>+MID('Input data'!$B$42,23,1)</f>
        <v>i</v>
      </c>
      <c r="X37" s="439" t="str">
        <f>+MID('Input data'!$B$42,24,1)</f>
        <v>c</v>
      </c>
      <c r="Y37" s="439" t="str">
        <f>+MID('Input data'!$B$42,25,1)</f>
        <v>s</v>
      </c>
      <c r="Z37" s="439" t="str">
        <f>+MID('Input data'!$B$42,26,1)</f>
        <v>.</v>
      </c>
      <c r="AA37" s="439" t="str">
        <f>+MID('Input data'!$B$42,27,1)</f>
        <v>c</v>
      </c>
      <c r="AB37" s="439" t="str">
        <f>+MID('Input data'!$B$42,28,1)</f>
        <v>o</v>
      </c>
      <c r="AC37" s="439" t="str">
        <f>+MID('Input data'!$B$42,29,1)</f>
        <v>m</v>
      </c>
      <c r="AD37" s="439" t="str">
        <f>+MID('Input data'!$B$42,30,1)</f>
        <v/>
      </c>
      <c r="AE37" s="439" t="str">
        <f>+MID('Input data'!$B$42,31,1)</f>
        <v/>
      </c>
      <c r="AF37" s="439" t="str">
        <f>+MID('Input data'!$B$42,32,1)</f>
        <v/>
      </c>
      <c r="AG37" s="439" t="str">
        <f>+MID('Input data'!$B$42,33,1)</f>
        <v/>
      </c>
      <c r="AH37" s="439" t="str">
        <f>+MID('Input data'!$B$42,34,1)</f>
        <v/>
      </c>
      <c r="AI37" s="439" t="str">
        <f>+MID('Input data'!$B$42,35,1)</f>
        <v/>
      </c>
      <c r="AJ37" s="439" t="str">
        <f>+MID('Input data'!$B$42,36,1)</f>
        <v/>
      </c>
      <c r="AK37" s="438" t="str">
        <f>+MID('Input data'!$B$42,37,1)</f>
        <v/>
      </c>
    </row>
    <row r="38" spans="1:37" s="391" customFormat="1" ht="3.75" customHeight="1" thickBot="1">
      <c r="W38" s="392"/>
      <c r="X38" s="392"/>
      <c r="Y38" s="392"/>
      <c r="Z38" s="392"/>
      <c r="AA38" s="392"/>
      <c r="AB38" s="392"/>
      <c r="AC38" s="392"/>
      <c r="AD38" s="392"/>
      <c r="AE38" s="392"/>
      <c r="AF38" s="392"/>
      <c r="AG38" s="392"/>
      <c r="AH38" s="392"/>
      <c r="AI38" s="392"/>
      <c r="AJ38" s="392"/>
      <c r="AK38" s="392"/>
    </row>
    <row r="39" spans="1:37" s="434" customFormat="1" ht="13" customHeight="1">
      <c r="A39" s="437" t="s">
        <v>1311</v>
      </c>
      <c r="B39" s="436"/>
      <c r="C39" s="436"/>
      <c r="D39" s="436"/>
      <c r="E39" s="436"/>
      <c r="F39" s="436"/>
      <c r="G39" s="436"/>
      <c r="H39" s="436"/>
      <c r="I39" s="436"/>
      <c r="J39" s="436"/>
      <c r="K39" s="830"/>
      <c r="L39" s="1294" t="s">
        <v>1309</v>
      </c>
      <c r="M39" s="436"/>
      <c r="N39" s="436"/>
      <c r="O39" s="436"/>
      <c r="P39" s="436"/>
      <c r="Q39" s="436"/>
      <c r="R39" s="436"/>
      <c r="S39" s="436"/>
      <c r="T39" s="436"/>
      <c r="U39" s="436"/>
      <c r="V39" s="435"/>
      <c r="W39" s="1639" t="s">
        <v>2578</v>
      </c>
      <c r="X39" s="1639"/>
      <c r="Y39" s="1639"/>
      <c r="Z39" s="1639"/>
      <c r="AA39" s="1639"/>
      <c r="AB39" s="1639"/>
      <c r="AC39" s="1639"/>
      <c r="AD39" s="1639"/>
      <c r="AE39" s="1639"/>
      <c r="AF39" s="1639"/>
      <c r="AG39" s="1639"/>
      <c r="AH39" s="1639"/>
      <c r="AI39" s="1639"/>
      <c r="AJ39" s="1639"/>
      <c r="AK39" s="1640"/>
    </row>
    <row r="40" spans="1:37" s="391" customFormat="1" ht="31.5" customHeight="1">
      <c r="A40" s="420" t="str">
        <f>MID(TEXT('Input data'!$F$34,"dd.mm.yyyy"),1,1)</f>
        <v>1</v>
      </c>
      <c r="B40" s="419" t="str">
        <f>MID(TEXT('Input data'!$F$34,"dd.mm.yyyy"),2,1)</f>
        <v>5</v>
      </c>
      <c r="C40" s="418" t="s">
        <v>1063</v>
      </c>
      <c r="D40" s="419" t="str">
        <f>MID(TEXT('Input data'!$F$34,"dd.mm.yyyy"),4,1)</f>
        <v>0</v>
      </c>
      <c r="E40" s="419" t="str">
        <f>MID(TEXT('Input data'!$F$34,"dd.mm.yyyy"),5,1)</f>
        <v>5</v>
      </c>
      <c r="F40" s="418" t="s">
        <v>1063</v>
      </c>
      <c r="G40" s="417" t="str">
        <f>MID(TEXT('Input data'!$F$34,"dd.mm.yyyy"),7,1)</f>
        <v>2</v>
      </c>
      <c r="H40" s="417" t="str">
        <f>MID(TEXT('Input data'!$F$34,"dd.mm.yyyy"),8,1)</f>
        <v>0</v>
      </c>
      <c r="I40" s="417" t="str">
        <f>MID(TEXT('Input data'!$F$34,"dd.mm.yyyy"),9,1)</f>
        <v>1</v>
      </c>
      <c r="J40" s="417" t="str">
        <f>MID(TEXT('Input data'!$F$34,"dd.mm.yyyy"),10,1)</f>
        <v>9</v>
      </c>
      <c r="K40" s="433"/>
      <c r="L40" s="419" t="str">
        <f>IF('Input data'!$F$36="","",LEFT(TEXT('Input data'!$F$36,"dd.mm.yyyy"),1))</f>
        <v/>
      </c>
      <c r="M40" s="419" t="str">
        <f>IF('Input data'!$F$36="","",MID(TEXT('Input data'!$F$36,"dd.mm.yyyy"),2,1))</f>
        <v/>
      </c>
      <c r="N40" s="418" t="s">
        <v>1063</v>
      </c>
      <c r="O40" s="419" t="str">
        <f>IF('Input data'!$F$36="","",MID(TEXT('Input data'!$F$36,"dd.mm.yyyy"),4,1))</f>
        <v/>
      </c>
      <c r="P40" s="419" t="str">
        <f>IF('Input data'!$F$36="","",MID(TEXT('Input data'!$F$36,"dd.mm.yyyy"),5,1))</f>
        <v/>
      </c>
      <c r="Q40" s="418" t="s">
        <v>1063</v>
      </c>
      <c r="R40" s="417" t="str">
        <f>IF('Input data'!$F$36="","",MID(TEXT('Input data'!$F$36,"dd.mm.yyyy"),7,1))</f>
        <v/>
      </c>
      <c r="S40" s="417" t="str">
        <f>IF('Input data'!$F$36="","",MID(TEXT('Input data'!$F$36,"dd.mm.yyyy"),8,1))</f>
        <v/>
      </c>
      <c r="T40" s="417" t="str">
        <f>IF('Input data'!$F$36="","",MID(TEXT('Input data'!$F$36,"dd.mm.yyyy"),9,1))</f>
        <v/>
      </c>
      <c r="U40" s="417" t="str">
        <f>IF('Input data'!$F$36="","",MID(TEXT('Input data'!$F$36,"dd.mm.yyyy"),10,1))</f>
        <v/>
      </c>
      <c r="V40" s="433"/>
      <c r="W40" s="1641"/>
      <c r="X40" s="1641"/>
      <c r="Y40" s="1641"/>
      <c r="Z40" s="1641"/>
      <c r="AA40" s="1641"/>
      <c r="AB40" s="1641"/>
      <c r="AC40" s="1641"/>
      <c r="AD40" s="1641"/>
      <c r="AE40" s="1641"/>
      <c r="AF40" s="1641"/>
      <c r="AG40" s="1641"/>
      <c r="AH40" s="1641"/>
      <c r="AI40" s="1641"/>
      <c r="AJ40" s="1641"/>
      <c r="AK40" s="1642"/>
    </row>
    <row r="41" spans="1:37" s="391" customFormat="1" ht="13.5" customHeight="1">
      <c r="A41" s="403"/>
      <c r="B41" s="402"/>
      <c r="C41" s="402"/>
      <c r="D41" s="402"/>
      <c r="E41" s="402"/>
      <c r="F41" s="402"/>
      <c r="G41" s="428"/>
      <c r="H41" s="428"/>
      <c r="I41" s="428"/>
      <c r="J41" s="428"/>
      <c r="K41" s="427"/>
      <c r="L41" s="402"/>
      <c r="M41" s="402"/>
      <c r="N41" s="402"/>
      <c r="O41" s="402"/>
      <c r="P41" s="402"/>
      <c r="Q41" s="402"/>
      <c r="R41" s="428"/>
      <c r="S41" s="428"/>
      <c r="T41" s="428"/>
      <c r="U41" s="428"/>
      <c r="V41" s="427"/>
      <c r="W41" s="1643"/>
      <c r="X41" s="1644"/>
      <c r="Y41" s="1644"/>
      <c r="Z41" s="1644"/>
      <c r="AA41" s="1644"/>
      <c r="AB41" s="1644"/>
      <c r="AC41" s="1644"/>
      <c r="AD41" s="1644"/>
      <c r="AE41" s="1644"/>
      <c r="AF41" s="1644"/>
      <c r="AG41" s="1644"/>
      <c r="AH41" s="1644"/>
      <c r="AI41" s="1644"/>
      <c r="AJ41" s="1644"/>
      <c r="AK41" s="1645"/>
    </row>
    <row r="42" spans="1:37" s="391" customFormat="1" ht="15.75" customHeight="1" thickBot="1">
      <c r="A42" s="396"/>
      <c r="B42" s="395"/>
      <c r="C42" s="395"/>
      <c r="D42" s="395"/>
      <c r="E42" s="395"/>
      <c r="F42" s="395"/>
      <c r="G42" s="1052"/>
      <c r="H42" s="1052"/>
      <c r="I42" s="1052"/>
      <c r="J42" s="1052"/>
      <c r="K42" s="1053"/>
      <c r="L42" s="1054"/>
      <c r="M42" s="1054"/>
      <c r="N42" s="1054"/>
      <c r="O42" s="1054"/>
      <c r="P42" s="1054"/>
      <c r="Q42" s="1054"/>
      <c r="R42" s="1054"/>
      <c r="S42" s="395"/>
      <c r="T42" s="1055"/>
      <c r="U42" s="1055"/>
      <c r="V42" s="1056"/>
      <c r="W42" s="1646"/>
      <c r="X42" s="1647"/>
      <c r="Y42" s="1647"/>
      <c r="Z42" s="1647"/>
      <c r="AA42" s="1647"/>
      <c r="AB42" s="1647"/>
      <c r="AC42" s="1647"/>
      <c r="AD42" s="1647"/>
      <c r="AE42" s="1647"/>
      <c r="AF42" s="1647"/>
      <c r="AG42" s="1647"/>
      <c r="AH42" s="1647"/>
      <c r="AI42" s="1647"/>
      <c r="AJ42" s="1647"/>
      <c r="AK42" s="1648"/>
    </row>
    <row r="43" spans="1:37" s="397" customFormat="1" ht="5.25" customHeight="1" thickBot="1">
      <c r="A43" s="400"/>
      <c r="B43" s="400"/>
      <c r="C43" s="400"/>
      <c r="D43" s="400"/>
      <c r="E43" s="400"/>
      <c r="F43" s="400"/>
      <c r="G43" s="400"/>
      <c r="H43" s="400"/>
      <c r="I43" s="400"/>
      <c r="J43" s="400"/>
      <c r="K43" s="400"/>
      <c r="L43" s="1038"/>
      <c r="M43" s="1038"/>
      <c r="N43" s="1038"/>
      <c r="O43" s="1038"/>
      <c r="P43" s="1038"/>
      <c r="Q43" s="1038"/>
      <c r="R43" s="1038"/>
      <c r="S43" s="1038"/>
      <c r="T43" s="1038"/>
      <c r="U43" s="1038"/>
      <c r="V43" s="1038"/>
      <c r="W43" s="1038"/>
      <c r="X43" s="1038"/>
      <c r="Y43" s="1038"/>
      <c r="Z43" s="1038"/>
      <c r="AA43" s="1038"/>
      <c r="AB43" s="1038"/>
      <c r="AC43" s="1039"/>
      <c r="AD43" s="1039"/>
      <c r="AE43" s="1039"/>
      <c r="AF43" s="1039"/>
      <c r="AG43" s="1039"/>
      <c r="AH43" s="1039"/>
      <c r="AI43" s="1039"/>
      <c r="AJ43" s="1039"/>
      <c r="AK43" s="1039"/>
    </row>
    <row r="44" spans="1:37" s="397" customFormat="1" ht="13">
      <c r="B44" s="409" t="s">
        <v>1442</v>
      </c>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392"/>
    </row>
    <row r="45" spans="1:37" s="397" customFormat="1" ht="13">
      <c r="B45" s="401"/>
      <c r="C45" s="400"/>
      <c r="D45" s="400"/>
      <c r="E45" s="400"/>
      <c r="F45" s="400"/>
      <c r="G45" s="400"/>
      <c r="H45" s="400"/>
      <c r="I45" s="400"/>
      <c r="J45" s="400"/>
      <c r="K45" s="400"/>
      <c r="L45" s="400"/>
      <c r="M45" s="400"/>
      <c r="N45" s="400"/>
      <c r="O45" s="400"/>
      <c r="P45" s="400"/>
      <c r="Q45" s="400"/>
      <c r="R45" s="400"/>
      <c r="S45" s="400"/>
      <c r="T45" s="400"/>
      <c r="U45" s="400"/>
      <c r="V45" s="400"/>
      <c r="W45" s="399"/>
      <c r="X45" s="399"/>
      <c r="Y45" s="399"/>
      <c r="Z45" s="399"/>
      <c r="AA45" s="399"/>
      <c r="AB45" s="399"/>
      <c r="AC45" s="399"/>
      <c r="AD45" s="399"/>
      <c r="AE45" s="399"/>
      <c r="AF45" s="399"/>
      <c r="AG45" s="399"/>
      <c r="AH45" s="399"/>
      <c r="AI45" s="399"/>
      <c r="AJ45" s="398"/>
      <c r="AK45" s="392"/>
    </row>
    <row r="46" spans="1:37" ht="13" customHeight="1">
      <c r="B46" s="405"/>
      <c r="C46" s="1275"/>
      <c r="D46" s="1275"/>
      <c r="E46" s="1275"/>
      <c r="F46" s="1275"/>
      <c r="G46" s="1275"/>
      <c r="H46" s="1275"/>
      <c r="I46" s="1275"/>
      <c r="J46" s="1275"/>
      <c r="K46" s="1275"/>
      <c r="L46" s="1275"/>
      <c r="M46" s="1275"/>
      <c r="N46" s="1275"/>
      <c r="O46" s="1275"/>
      <c r="P46" s="1275"/>
      <c r="Q46" s="1275"/>
      <c r="R46" s="1275"/>
      <c r="S46" s="1275"/>
      <c r="T46" s="1275"/>
      <c r="U46" s="1275"/>
      <c r="V46" s="1275"/>
      <c r="W46" s="399"/>
      <c r="X46" s="399"/>
      <c r="Y46" s="399"/>
      <c r="Z46" s="399"/>
      <c r="AA46" s="399"/>
      <c r="AB46" s="399"/>
      <c r="AC46" s="399"/>
      <c r="AD46" s="399"/>
      <c r="AE46" s="399"/>
      <c r="AF46" s="399"/>
      <c r="AG46" s="399"/>
      <c r="AH46" s="399"/>
      <c r="AI46" s="399"/>
      <c r="AJ46" s="398"/>
      <c r="AK46" s="392"/>
    </row>
    <row r="47" spans="1:37" s="391" customFormat="1" ht="13">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7" s="391" customFormat="1" ht="13">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ht="13">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ht="13">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7" customFormat="1" ht="13.5" thickBot="1">
      <c r="B53" s="412"/>
      <c r="C53" s="411"/>
      <c r="D53" s="411"/>
      <c r="E53" s="411"/>
      <c r="F53" s="411"/>
      <c r="G53" s="395" t="s">
        <v>1443</v>
      </c>
      <c r="H53" s="411"/>
      <c r="I53" s="411"/>
      <c r="J53" s="411"/>
      <c r="K53" s="411"/>
      <c r="L53" s="411"/>
      <c r="M53" s="411"/>
      <c r="N53" s="411"/>
      <c r="O53" s="411"/>
      <c r="P53" s="411"/>
      <c r="Q53" s="411"/>
      <c r="R53" s="411"/>
      <c r="S53" s="411"/>
      <c r="T53" s="411"/>
      <c r="U53" s="395" t="s">
        <v>1444</v>
      </c>
      <c r="V53" s="411"/>
      <c r="W53" s="394"/>
      <c r="X53" s="394"/>
      <c r="Y53" s="394"/>
      <c r="Z53" s="394"/>
      <c r="AA53" s="394"/>
      <c r="AB53" s="394"/>
      <c r="AC53" s="394"/>
      <c r="AD53" s="394"/>
      <c r="AE53" s="394"/>
      <c r="AF53" s="394"/>
      <c r="AG53" s="394"/>
      <c r="AH53" s="394"/>
      <c r="AI53" s="394"/>
      <c r="AJ53" s="393"/>
      <c r="AK53" s="392"/>
    </row>
    <row r="54" spans="2:37" s="391" customFormat="1" ht="4.5" customHeight="1">
      <c r="B54" s="402"/>
      <c r="C54" s="402"/>
      <c r="D54" s="402"/>
      <c r="E54" s="402"/>
      <c r="F54" s="402"/>
      <c r="G54" s="402"/>
      <c r="H54" s="402"/>
      <c r="I54" s="402"/>
      <c r="J54" s="402"/>
      <c r="K54" s="402"/>
      <c r="L54" s="402"/>
      <c r="M54" s="402"/>
      <c r="N54" s="402"/>
      <c r="O54" s="402"/>
      <c r="P54" s="402"/>
      <c r="Q54" s="402"/>
      <c r="R54" s="402"/>
      <c r="S54" s="402"/>
      <c r="T54" s="402"/>
      <c r="U54" s="402"/>
      <c r="V54" s="402"/>
      <c r="W54" s="399"/>
      <c r="X54" s="399"/>
      <c r="Y54" s="399"/>
      <c r="Z54" s="399"/>
      <c r="AA54" s="399"/>
      <c r="AB54" s="399"/>
      <c r="AC54" s="399"/>
      <c r="AD54" s="399"/>
      <c r="AE54" s="399"/>
      <c r="AF54" s="399"/>
      <c r="AG54" s="399"/>
      <c r="AH54" s="399"/>
      <c r="AI54" s="399"/>
      <c r="AJ54" s="399"/>
      <c r="AK54" s="392"/>
    </row>
  </sheetData>
  <mergeCells count="3">
    <mergeCell ref="W39:AK40"/>
    <mergeCell ref="W41:AK42"/>
    <mergeCell ref="W13:AA15"/>
  </mergeCells>
  <pageMargins left="0.39370078740157483" right="0.39370078740157483" top="0.35433070866141736" bottom="0.35433070866141736" header="0.23622047244094491" footer="0.23622047244094491"/>
  <pageSetup paperSize="9" scale="98" orientation="portrait" r:id="rId1"/>
  <headerFooter alignWithMargins="0">
    <oddFooter>&amp;LMF SR No. 18009/2014&amp;CTHIS IS A TRANSLATION OF THE ORIGINAL SLOVAK DOCUMENT.&amp;RPage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5"/>
  <sheetViews>
    <sheetView showGridLines="0" zoomScaleNormal="100" workbookViewId="0">
      <selection activeCell="A16" sqref="A16"/>
    </sheetView>
  </sheetViews>
  <sheetFormatPr defaultRowHeight="14.5"/>
  <cols>
    <col min="1" max="2" width="43.26953125" customWidth="1"/>
    <col min="3" max="3" width="19.1796875" customWidth="1"/>
  </cols>
  <sheetData>
    <row r="1" spans="1:2" ht="15" thickBot="1">
      <c r="A1" s="1" t="s">
        <v>35</v>
      </c>
    </row>
    <row r="2" spans="1:2" ht="21" customHeight="1" thickTop="1" thickBot="1">
      <c r="A2" s="585" t="s">
        <v>20</v>
      </c>
      <c r="B2" s="586" t="s">
        <v>36</v>
      </c>
    </row>
    <row r="3" spans="1:2" ht="23.25" customHeight="1" thickTop="1" thickBot="1">
      <c r="A3" s="12" t="s">
        <v>37</v>
      </c>
      <c r="B3" s="13"/>
    </row>
    <row r="4" spans="1:2" ht="23.25" customHeight="1" thickBot="1">
      <c r="A4" s="16" t="s">
        <v>38</v>
      </c>
      <c r="B4" s="17"/>
    </row>
    <row r="5" spans="1:2" ht="15" thickTop="1"/>
  </sheetData>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796875" defaultRowHeight="12.5"/>
  <cols>
    <col min="1" max="37" width="2.54296875" style="390" customWidth="1"/>
    <col min="38" max="38" width="0.1796875" style="390" customWidth="1"/>
    <col min="39" max="39" width="2" style="390" customWidth="1"/>
    <col min="40" max="40" width="0.453125" style="390" customWidth="1"/>
    <col min="41" max="41" width="2.54296875" style="390" customWidth="1"/>
    <col min="42" max="42" width="9.1796875" style="390"/>
    <col min="43" max="45" width="2.54296875" style="390" customWidth="1"/>
    <col min="46" max="46" width="7.7265625" style="390" customWidth="1"/>
    <col min="47" max="61" width="2.54296875" style="390" customWidth="1"/>
    <col min="62" max="16384" width="9.1796875" style="390"/>
  </cols>
  <sheetData>
    <row r="1" spans="1:37" s="500" customFormat="1" ht="10.5" customHeight="1" thickBot="1">
      <c r="B1" s="817"/>
      <c r="C1" s="817" t="s">
        <v>1061</v>
      </c>
      <c r="N1" s="2441" t="s">
        <v>1411</v>
      </c>
      <c r="O1" s="2441"/>
      <c r="P1" s="2441"/>
      <c r="Q1" s="2441"/>
      <c r="R1" s="2441"/>
      <c r="S1" s="2441"/>
      <c r="T1" s="2441"/>
      <c r="U1" s="2441"/>
      <c r="V1" s="2441"/>
      <c r="W1" s="2441"/>
      <c r="X1" s="2463"/>
    </row>
    <row r="2" spans="1:37" s="397" customFormat="1" ht="21" customHeight="1" thickBot="1">
      <c r="B2" s="819"/>
      <c r="C2" s="820" t="s">
        <v>1412</v>
      </c>
      <c r="D2" s="820"/>
      <c r="E2" s="820"/>
      <c r="F2" s="820"/>
      <c r="G2" s="820"/>
      <c r="H2" s="820"/>
      <c r="I2" s="820"/>
      <c r="J2" s="821"/>
      <c r="K2" s="820"/>
      <c r="L2" s="820"/>
      <c r="M2" s="822"/>
      <c r="N2" s="2441"/>
      <c r="O2" s="2441"/>
      <c r="P2" s="2441"/>
      <c r="Q2" s="2441" t="s">
        <v>1411</v>
      </c>
      <c r="R2" s="2441"/>
      <c r="S2" s="2441"/>
      <c r="T2" s="2441"/>
      <c r="U2" s="2441"/>
      <c r="V2" s="2441"/>
      <c r="W2" s="2441"/>
      <c r="X2" s="2463"/>
    </row>
    <row r="3" spans="1:37" ht="13.5" customHeight="1" thickBot="1">
      <c r="N3" s="2464"/>
      <c r="O3" s="2464"/>
      <c r="P3" s="2464"/>
      <c r="Q3" s="2464"/>
      <c r="R3" s="2464"/>
      <c r="S3" s="2464"/>
      <c r="T3" s="2464"/>
      <c r="U3" s="2464"/>
      <c r="V3" s="2464"/>
      <c r="W3" s="2464"/>
      <c r="X3" s="2465"/>
    </row>
    <row r="4" spans="1:37" ht="28.5" customHeight="1" thickBot="1">
      <c r="J4" s="2466" t="s">
        <v>1413</v>
      </c>
      <c r="K4" s="2467"/>
      <c r="L4" s="494" t="str">
        <f>+MID('Input data'!$B$11,1,1)</f>
        <v>3</v>
      </c>
      <c r="M4" s="494" t="str">
        <f>+MID('Input data'!$B$11,2,1)</f>
        <v>1</v>
      </c>
      <c r="N4" s="494" t="s">
        <v>1063</v>
      </c>
      <c r="O4" s="494" t="str">
        <f>LEFT('Input data'!B13,1)</f>
        <v>0</v>
      </c>
      <c r="P4" s="494" t="str">
        <f>RIGHT('Input data'!B13,1)</f>
        <v>3</v>
      </c>
      <c r="Q4" s="494" t="s">
        <v>1063</v>
      </c>
      <c r="R4" s="494" t="str">
        <f>+LEFT('Input data'!$B$14,1)</f>
        <v>2</v>
      </c>
      <c r="S4" s="494" t="str">
        <f>+MID('Input data'!$B$14,2,1)</f>
        <v>0</v>
      </c>
      <c r="T4" s="494" t="str">
        <f>+MID('Input data'!$B$14,3,1)</f>
        <v>1</v>
      </c>
      <c r="U4" s="494" t="str">
        <f>+MID('Input data'!$B$14,4,1)</f>
        <v>9</v>
      </c>
      <c r="V4" s="824"/>
      <c r="W4" s="492" t="s">
        <v>1414</v>
      </c>
      <c r="X4" s="492"/>
      <c r="Y4" s="492"/>
      <c r="Z4" s="492"/>
      <c r="AA4" s="491"/>
    </row>
    <row r="5" spans="1:37" ht="7.5" customHeight="1" thickBot="1"/>
    <row r="6" spans="1:37" s="487" customFormat="1" ht="14.25" customHeight="1">
      <c r="A6" s="490" t="s">
        <v>2219</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1524</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1415</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c r="AF9" s="465"/>
      <c r="AG9" s="465"/>
    </row>
    <row r="10" spans="1:37" s="462" customFormat="1" ht="14.25" customHeight="1">
      <c r="A10" s="464" t="s">
        <v>1416</v>
      </c>
      <c r="B10" s="463"/>
      <c r="C10" s="463"/>
      <c r="D10" s="463"/>
      <c r="E10" s="463"/>
      <c r="F10" s="463"/>
      <c r="G10" s="463"/>
      <c r="H10" s="463"/>
      <c r="I10" s="407"/>
      <c r="J10" s="406"/>
      <c r="K10" s="480" t="s">
        <v>1417</v>
      </c>
      <c r="L10" s="463"/>
      <c r="M10" s="481"/>
      <c r="N10" s="481"/>
      <c r="O10" s="481"/>
      <c r="P10" s="463"/>
      <c r="Q10" s="480" t="s">
        <v>1417</v>
      </c>
      <c r="R10" s="463"/>
      <c r="S10" s="407"/>
      <c r="T10" s="463"/>
      <c r="U10" s="463"/>
      <c r="V10" s="479"/>
      <c r="W10" s="463"/>
      <c r="X10" s="463"/>
      <c r="Y10" s="463"/>
      <c r="Z10" s="463"/>
      <c r="AA10" s="463"/>
      <c r="AB10" s="463"/>
      <c r="AC10" s="463"/>
      <c r="AD10" s="480" t="s">
        <v>1418</v>
      </c>
      <c r="AE10" s="480"/>
      <c r="AF10" s="480"/>
      <c r="AG10" s="480" t="s">
        <v>1419</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65"/>
      <c r="M11" s="465"/>
      <c r="N11" s="465"/>
      <c r="O11" s="465"/>
      <c r="P11" s="465"/>
      <c r="Q11" s="465"/>
      <c r="R11" s="465"/>
      <c r="S11" s="465"/>
      <c r="T11" s="465"/>
      <c r="U11" s="465"/>
      <c r="V11" s="471"/>
      <c r="W11" s="470" t="s">
        <v>1420</v>
      </c>
      <c r="X11" s="465"/>
      <c r="Y11" s="465"/>
      <c r="Z11" s="465"/>
      <c r="AA11" s="465"/>
      <c r="AB11" s="470" t="s">
        <v>1421</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8</v>
      </c>
      <c r="AK11" s="471"/>
    </row>
    <row r="12" spans="1:37" s="462" customFormat="1" ht="19.5" customHeight="1">
      <c r="A12" s="403" t="s">
        <v>1422</v>
      </c>
      <c r="B12" s="465"/>
      <c r="C12" s="465"/>
      <c r="D12" s="465"/>
      <c r="E12" s="465"/>
      <c r="F12" s="465"/>
      <c r="G12" s="465"/>
      <c r="H12" s="399"/>
      <c r="I12" s="399"/>
      <c r="J12" s="398"/>
      <c r="K12" s="399"/>
      <c r="L12" s="478" t="str">
        <f>IF('Input data'!D7="x","x"," ")</f>
        <v>x</v>
      </c>
      <c r="M12" s="470" t="s">
        <v>1423</v>
      </c>
      <c r="N12" s="472"/>
      <c r="O12" s="472"/>
      <c r="P12" s="472"/>
      <c r="Q12" s="472"/>
      <c r="R12" s="478" t="str">
        <f>IF('Input data'!D17="x","x"," ")</f>
        <v>x</v>
      </c>
      <c r="S12" s="470" t="s">
        <v>1424</v>
      </c>
      <c r="T12" s="465"/>
      <c r="U12" s="465"/>
      <c r="V12" s="471"/>
      <c r="W12" s="825"/>
      <c r="X12" s="826"/>
      <c r="Y12" s="826"/>
      <c r="Z12" s="826"/>
      <c r="AA12" s="826"/>
      <c r="AB12" s="827" t="s">
        <v>1425</v>
      </c>
      <c r="AC12" s="826"/>
      <c r="AD12" s="828" t="str">
        <f>MID('Input data'!$B$13,1,1)</f>
        <v>0</v>
      </c>
      <c r="AE12" s="828" t="str">
        <f>MID('Input data'!$B$13,2,1)</f>
        <v>3</v>
      </c>
      <c r="AF12" s="828"/>
      <c r="AG12" s="828" t="str">
        <f>MID('Input data'!$B$14,1,1)</f>
        <v>2</v>
      </c>
      <c r="AH12" s="828" t="str">
        <f>MID('Input data'!$B$14,2,1)</f>
        <v>0</v>
      </c>
      <c r="AI12" s="828" t="str">
        <f>MID('Input data'!$B$14,3,1)</f>
        <v>1</v>
      </c>
      <c r="AJ12" s="828" t="str">
        <f>MID('Input data'!$B$14,4,1)</f>
        <v>9</v>
      </c>
      <c r="AK12" s="829"/>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399"/>
      <c r="L13" s="474" t="str">
        <f>IF('Input data'!D8="x","x", "")</f>
        <v/>
      </c>
      <c r="M13" s="470" t="s">
        <v>1426</v>
      </c>
      <c r="N13" s="472"/>
      <c r="O13" s="472"/>
      <c r="P13" s="472"/>
      <c r="Q13" s="472"/>
      <c r="R13" s="475" t="str">
        <f>IF('Input data'!D18="x","x"," ")</f>
        <v xml:space="preserve"> </v>
      </c>
      <c r="S13" s="470" t="s">
        <v>1427</v>
      </c>
      <c r="T13" s="465"/>
      <c r="U13" s="465"/>
      <c r="V13" s="471"/>
      <c r="W13" s="2457" t="s">
        <v>1428</v>
      </c>
      <c r="X13" s="2458"/>
      <c r="Y13" s="2458"/>
      <c r="Z13" s="2458"/>
      <c r="AA13" s="2458"/>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399"/>
      <c r="M14" s="470"/>
      <c r="N14" s="472"/>
      <c r="O14" s="472"/>
      <c r="P14" s="472"/>
      <c r="Q14" s="472"/>
      <c r="R14" s="473" t="s">
        <v>1429</v>
      </c>
      <c r="S14" s="472"/>
      <c r="T14" s="465"/>
      <c r="U14" s="465"/>
      <c r="V14" s="471"/>
      <c r="W14" s="2459"/>
      <c r="X14" s="2460"/>
      <c r="Y14" s="2460"/>
      <c r="Z14" s="2460"/>
      <c r="AA14" s="2460"/>
      <c r="AB14" s="470" t="s">
        <v>1421</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7</v>
      </c>
      <c r="AK14" s="398"/>
    </row>
    <row r="15" spans="1:37" s="462" customFormat="1" ht="19.5" customHeight="1" thickBot="1">
      <c r="A15" s="469" t="str">
        <f>'SK Cover sheet'!A15</f>
        <v>2</v>
      </c>
      <c r="B15" s="394" t="str">
        <f>'SK Cover sheet'!B15</f>
        <v>7</v>
      </c>
      <c r="C15" s="467" t="s">
        <v>1063</v>
      </c>
      <c r="D15" s="394" t="str">
        <f>'SK Cover sheet'!D15</f>
        <v>3</v>
      </c>
      <c r="E15" s="394" t="str">
        <f>'SK Cover sheet'!E15</f>
        <v>1</v>
      </c>
      <c r="F15" s="467" t="s">
        <v>1063</v>
      </c>
      <c r="G15" s="394" t="str">
        <f>'SK Cover sheet'!G15</f>
        <v>0</v>
      </c>
      <c r="H15" s="394"/>
      <c r="I15" s="394"/>
      <c r="J15" s="393"/>
      <c r="K15" s="394"/>
      <c r="L15" s="394"/>
      <c r="M15" s="394"/>
      <c r="N15" s="394"/>
      <c r="O15" s="394"/>
      <c r="P15" s="394"/>
      <c r="Q15" s="394"/>
      <c r="R15" s="394"/>
      <c r="S15" s="394"/>
      <c r="T15" s="467"/>
      <c r="U15" s="467"/>
      <c r="V15" s="468"/>
      <c r="W15" s="2461"/>
      <c r="X15" s="2462"/>
      <c r="Y15" s="2462"/>
      <c r="Z15" s="2462"/>
      <c r="AA15" s="2462"/>
      <c r="AB15" s="466" t="s">
        <v>1425</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8</v>
      </c>
      <c r="AK15" s="393"/>
    </row>
    <row r="16" spans="1:37" s="462" customFormat="1" ht="4.5" customHeight="1">
      <c r="A16" s="465"/>
      <c r="B16" s="465"/>
      <c r="C16" s="465"/>
      <c r="D16" s="465"/>
      <c r="E16" s="465"/>
      <c r="F16" s="465"/>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50"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50" s="462" customFormat="1" ht="15.5">
      <c r="A18" s="464" t="s">
        <v>1430</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50" s="392" customFormat="1" ht="19.5" customHeight="1">
      <c r="A19" s="449" t="str">
        <f>+LEFT('Input data'!$F$3,1)</f>
        <v>F</v>
      </c>
      <c r="B19" s="441" t="str">
        <f>+MID('Input data'!$F$3,2,1)</f>
        <v>o</v>
      </c>
      <c r="C19" s="441" t="str">
        <f>+MID('Input data'!$F$3,3,1)</f>
        <v>s</v>
      </c>
      <c r="D19" s="441" t="str">
        <f>+MID('Input data'!$F$3,4,1)</f>
        <v>s</v>
      </c>
      <c r="E19" s="441" t="str">
        <f>+MID('Input data'!$F$3,5,1)</f>
        <v xml:space="preserve"> </v>
      </c>
      <c r="F19" s="441" t="str">
        <f>+MID('Input data'!$F$3,6,1)</f>
        <v>F</v>
      </c>
      <c r="G19" s="441" t="str">
        <f>+MID('Input data'!$F$3,7,1)</f>
        <v>i</v>
      </c>
      <c r="H19" s="441" t="str">
        <f>+MID('Input data'!$F$3,8,1)</f>
        <v>b</v>
      </c>
      <c r="I19" s="441" t="str">
        <f>+MID('Input data'!$F$3,9,1)</f>
        <v>r</v>
      </c>
      <c r="J19" s="441" t="str">
        <f>+MID('Input data'!$F$3,10,1)</f>
        <v>e</v>
      </c>
      <c r="K19" s="441" t="str">
        <f>+MID('Input data'!$F$3,11,1)</f>
        <v xml:space="preserve"> </v>
      </c>
      <c r="L19" s="441" t="str">
        <f>+MID('Input data'!$F$3,12,1)</f>
        <v>O</v>
      </c>
      <c r="M19" s="441" t="str">
        <f>+MID('Input data'!$F$3,13,1)</f>
        <v>p</v>
      </c>
      <c r="N19" s="441" t="str">
        <f>+MID('Input data'!$F$3,14,1)</f>
        <v>t</v>
      </c>
      <c r="O19" s="441" t="str">
        <f>+MID('Input data'!$F$3,15,1)</f>
        <v>i</v>
      </c>
      <c r="P19" s="441" t="str">
        <f>+MID('Input data'!$F$3,16,1)</f>
        <v>c</v>
      </c>
      <c r="Q19" s="441" t="str">
        <f>+MID('Input data'!$F$3,17,1)</f>
        <v>s</v>
      </c>
      <c r="R19" s="441" t="str">
        <f>+MID('Input data'!$F$3,18,1)</f>
        <v>,</v>
      </c>
      <c r="S19" s="441" t="str">
        <f>+MID('Input data'!$F$3,19,1)</f>
        <v xml:space="preserve"> </v>
      </c>
      <c r="T19" s="441" t="str">
        <f>+MID('Input data'!$F$3,20,1)</f>
        <v>s</v>
      </c>
      <c r="U19" s="441" t="str">
        <f>+MID('Input data'!$F$3,21,1)</f>
        <v>.</v>
      </c>
      <c r="V19" s="441" t="str">
        <f>+MID('Input data'!$F$3,22,1)</f>
        <v>r</v>
      </c>
      <c r="W19" s="441" t="str">
        <f>+MID('Input data'!$F$3,23,1)</f>
        <v>.</v>
      </c>
      <c r="X19" s="441" t="str">
        <f>+MID('Input data'!$F$3,24,1)</f>
        <v>o</v>
      </c>
      <c r="Y19" s="441" t="str">
        <f>+MID('Input data'!$F$3,25,1)</f>
        <v>.</v>
      </c>
      <c r="Z19" s="441" t="str">
        <f>+MID('Input data'!$F$3,26,1)</f>
        <v xml:space="preserve"> </v>
      </c>
      <c r="AA19" s="441" t="str">
        <f>+MID('Input data'!$F$3,27,1)</f>
        <v xml:space="preserve">
</v>
      </c>
      <c r="AB19" s="441" t="str">
        <f>+MID('Input data'!$F$3,28,1)</f>
        <v/>
      </c>
      <c r="AC19" s="441" t="str">
        <f>+MID('Input data'!$F$3,29,1)</f>
        <v/>
      </c>
      <c r="AD19" s="441" t="str">
        <f>+MID('Input data'!$F$3,30,1)</f>
        <v/>
      </c>
      <c r="AE19" s="441" t="str">
        <f>+MID('Input data'!$F$3,31,1)</f>
        <v/>
      </c>
      <c r="AF19" s="441" t="str">
        <f>+MID('Input data'!$F$3,32,1)</f>
        <v/>
      </c>
      <c r="AG19" s="441" t="str">
        <f>+MID('Input data'!$F$3,33,1)</f>
        <v/>
      </c>
      <c r="AH19" s="441" t="str">
        <f>+MID('Input data'!$F$3,34,1)</f>
        <v/>
      </c>
      <c r="AI19" s="441" t="str">
        <f>+MID('Input data'!$F$3,35,1)</f>
        <v/>
      </c>
      <c r="AJ19" s="441" t="str">
        <f>+MID('Input data'!$F$3,36,1)</f>
        <v/>
      </c>
      <c r="AK19" s="448" t="str">
        <f>+MID('Input data'!$F$3,37,1)</f>
        <v/>
      </c>
      <c r="AL19" s="462"/>
      <c r="AM19" s="462"/>
      <c r="AN19" s="462"/>
    </row>
    <row r="20" spans="1:50" s="531" customFormat="1" ht="19.5" customHeight="1">
      <c r="A20" s="449" t="str">
        <f>+MID('Input data'!$F$3,38,1)</f>
        <v/>
      </c>
      <c r="B20" s="441" t="str">
        <f>+MID('Input data'!$F$3,39,1)</f>
        <v/>
      </c>
      <c r="C20" s="441" t="str">
        <f>+MID('Input data'!$F$3,40,1)</f>
        <v/>
      </c>
      <c r="D20" s="441" t="str">
        <f>+MID('Input data'!$F$3,41,1)</f>
        <v/>
      </c>
      <c r="E20" s="441" t="str">
        <f>+MID('Input data'!$F$3,42,1)</f>
        <v/>
      </c>
      <c r="F20" s="441" t="str">
        <f>+MID('Input data'!$F$3,43,1)</f>
        <v/>
      </c>
      <c r="G20" s="441" t="str">
        <f>+MID('Input data'!$F$3,44,1)</f>
        <v/>
      </c>
      <c r="H20" s="441" t="str">
        <f>+MID('Input data'!$F$3,45,1)</f>
        <v/>
      </c>
      <c r="I20" s="441" t="str">
        <f>+MID('Input data'!$F$3,46,1)</f>
        <v/>
      </c>
      <c r="J20" s="441" t="str">
        <f>+MID('Input data'!$F$3,47,1)</f>
        <v/>
      </c>
      <c r="K20" s="441" t="str">
        <f>+MID('Input data'!$F$3,48,1)</f>
        <v/>
      </c>
      <c r="L20" s="441" t="str">
        <f>+MID('Input data'!$F$3,49,1)</f>
        <v/>
      </c>
      <c r="M20" s="441" t="str">
        <f>+MID('Input data'!$F$3,50,1)</f>
        <v/>
      </c>
      <c r="N20" s="441" t="str">
        <f>+MID('Input data'!$F$3,51,1)</f>
        <v/>
      </c>
      <c r="O20" s="441" t="str">
        <f>+MID('Input data'!$F$3,52,1)</f>
        <v/>
      </c>
      <c r="P20" s="441" t="str">
        <f>+MID('Input data'!$F$3,53,1)</f>
        <v/>
      </c>
      <c r="Q20" s="441" t="str">
        <f>+MID('Input data'!$F$3,54,1)</f>
        <v/>
      </c>
      <c r="R20" s="441" t="str">
        <f>+MID('Input data'!$F$3,55,1)</f>
        <v/>
      </c>
      <c r="S20" s="441" t="str">
        <f>+MID('Input data'!$F$3,56,1)</f>
        <v/>
      </c>
      <c r="T20" s="441" t="str">
        <f>+MID('Input data'!$F$3,57,1)</f>
        <v/>
      </c>
      <c r="U20" s="441" t="str">
        <f>+MID('Input data'!$F$3,58,1)</f>
        <v/>
      </c>
      <c r="V20" s="441" t="str">
        <f>+MID('Input data'!$F$3,59,1)</f>
        <v/>
      </c>
      <c r="W20" s="441" t="str">
        <f>+MID('Input data'!$F$3,60,1)</f>
        <v/>
      </c>
      <c r="X20" s="441" t="str">
        <f>+MID('Input data'!$F$3,61,1)</f>
        <v/>
      </c>
      <c r="Y20" s="441" t="str">
        <f>+MID('Input data'!$F$3,62,1)</f>
        <v/>
      </c>
      <c r="Z20" s="441" t="str">
        <f>+MID('Input data'!$F$3,63,1)</f>
        <v/>
      </c>
      <c r="AA20" s="441" t="str">
        <f>+MID('Input data'!$F$3,64,1)</f>
        <v/>
      </c>
      <c r="AB20" s="441" t="str">
        <f>+MID('Input data'!$F$3,65,1)</f>
        <v/>
      </c>
      <c r="AC20" s="441" t="str">
        <f>+MID('Input data'!$F$3,66,1)</f>
        <v/>
      </c>
      <c r="AD20" s="441" t="str">
        <f>+MID('Input data'!$F$3,67,1)</f>
        <v/>
      </c>
      <c r="AE20" s="441" t="str">
        <f>+MID('Input data'!$F$3,68,1)</f>
        <v/>
      </c>
      <c r="AF20" s="441" t="str">
        <f>+MID('Input data'!$F$3,69,1)</f>
        <v/>
      </c>
      <c r="AG20" s="441" t="str">
        <f>+MID('Input data'!$F$3,70,1)</f>
        <v/>
      </c>
      <c r="AH20" s="441" t="str">
        <f>+MID('Input data'!$F$3,71,1)</f>
        <v/>
      </c>
      <c r="AI20" s="441" t="str">
        <f>+MID('Input data'!$F$3,72,1)</f>
        <v/>
      </c>
      <c r="AJ20" s="441" t="str">
        <f>+MID('Input data'!$F$3,73,1)</f>
        <v/>
      </c>
      <c r="AK20" s="448" t="str">
        <f>+MID('Input data'!$F$3,74,1)</f>
        <v/>
      </c>
      <c r="AL20" s="390"/>
      <c r="AM20" s="390"/>
      <c r="AN20" s="390"/>
    </row>
    <row r="21" spans="1:50" s="450" customFormat="1" ht="14.25" customHeight="1">
      <c r="A21" s="454" t="s">
        <v>1431</v>
      </c>
      <c r="B21" s="453"/>
      <c r="C21" s="453"/>
      <c r="D21" s="453"/>
      <c r="E21" s="453"/>
      <c r="F21" s="453"/>
      <c r="G21" s="453"/>
      <c r="H21" s="453"/>
      <c r="I21" s="453"/>
      <c r="J21" s="453"/>
      <c r="K21" s="453"/>
      <c r="L21" s="453"/>
      <c r="M21" s="453"/>
      <c r="N21" s="453"/>
      <c r="O21" s="453"/>
      <c r="P21" s="453"/>
      <c r="Q21" s="453"/>
      <c r="R21" s="453"/>
      <c r="S21" s="453"/>
      <c r="T21" s="453"/>
      <c r="U21" s="453"/>
      <c r="V21" s="453"/>
      <c r="W21" s="452"/>
      <c r="X21" s="452"/>
      <c r="Y21" s="452"/>
      <c r="Z21" s="452"/>
      <c r="AA21" s="452"/>
      <c r="AB21" s="452"/>
      <c r="AC21" s="452"/>
      <c r="AD21" s="452"/>
      <c r="AE21" s="452"/>
      <c r="AF21" s="452"/>
      <c r="AG21" s="452"/>
      <c r="AH21" s="452"/>
      <c r="AI21" s="452"/>
      <c r="AJ21" s="452"/>
      <c r="AK21" s="451"/>
    </row>
    <row r="22" spans="1:50" ht="13">
      <c r="A22" s="446" t="s">
        <v>1432</v>
      </c>
      <c r="B22" s="404"/>
      <c r="C22" s="404"/>
      <c r="D22" s="404"/>
      <c r="E22" s="404"/>
      <c r="F22" s="404"/>
      <c r="G22" s="404"/>
      <c r="H22" s="404"/>
      <c r="I22" s="404"/>
      <c r="J22" s="404"/>
      <c r="K22" s="404"/>
      <c r="L22" s="404"/>
      <c r="M22" s="404"/>
      <c r="N22" s="404"/>
      <c r="O22" s="404"/>
      <c r="P22" s="404"/>
      <c r="Q22" s="404"/>
      <c r="R22" s="404"/>
      <c r="S22" s="404"/>
      <c r="T22" s="404"/>
      <c r="U22" s="404"/>
      <c r="V22" s="404"/>
      <c r="W22" s="399"/>
      <c r="X22" s="399"/>
      <c r="Y22" s="399"/>
      <c r="Z22" s="399"/>
      <c r="AA22" s="399"/>
      <c r="AB22" s="404"/>
      <c r="AC22" s="399"/>
      <c r="AD22" s="402" t="s">
        <v>1433</v>
      </c>
      <c r="AE22" s="399"/>
      <c r="AF22" s="399"/>
      <c r="AG22" s="399"/>
      <c r="AH22" s="399"/>
      <c r="AI22" s="399"/>
      <c r="AJ22" s="399"/>
      <c r="AK22" s="398"/>
    </row>
    <row r="23" spans="1:50" s="530" customFormat="1" ht="19.5" customHeight="1">
      <c r="A23" s="449" t="str">
        <f>+LEFT('Input data'!$C$28,1)</f>
        <v>O</v>
      </c>
      <c r="B23" s="441" t="str">
        <f>+MID('Input data'!$C$28,2,1)</f>
        <v>d</v>
      </c>
      <c r="C23" s="441" t="str">
        <f>+MID('Input data'!$C$28,3,1)</f>
        <v>b</v>
      </c>
      <c r="D23" s="441" t="str">
        <f>+MID('Input data'!$C$28,4,1)</f>
        <v>o</v>
      </c>
      <c r="E23" s="441" t="str">
        <f>+MID('Input data'!$C$28,5,1)</f>
        <v>r</v>
      </c>
      <c r="F23" s="441" t="str">
        <f>+MID('Input data'!$C$28,6,1)</f>
        <v>á</v>
      </c>
      <c r="G23" s="441" t="str">
        <f>+MID('Input data'!$C$28,7,1)</f>
        <v>r</v>
      </c>
      <c r="H23" s="441" t="str">
        <f>+MID('Input data'!$C$28,8,1)</f>
        <v>s</v>
      </c>
      <c r="I23" s="441" t="str">
        <f>+MID('Input data'!$C$28,9,1)</f>
        <v>k</v>
      </c>
      <c r="J23" s="441" t="str">
        <f>+MID('Input data'!$C$28,10,1)</f>
        <v>a</v>
      </c>
      <c r="K23" s="441" t="str">
        <f>+MID('Input data'!$C$28,11,1)</f>
        <v/>
      </c>
      <c r="L23" s="441" t="str">
        <f>+MID('Input data'!$C$28,12,1)</f>
        <v/>
      </c>
      <c r="M23" s="441" t="str">
        <f>+MID('Input data'!$C$28,13,1)</f>
        <v/>
      </c>
      <c r="N23" s="441" t="str">
        <f>+MID('Input data'!$C$28,14,1)</f>
        <v/>
      </c>
      <c r="O23" s="441" t="str">
        <f>+MID('Input data'!$C$28,15,1)</f>
        <v/>
      </c>
      <c r="P23" s="441" t="str">
        <f>+MID('Input data'!$C$28,16,1)</f>
        <v/>
      </c>
      <c r="Q23" s="441" t="str">
        <f>+MID('Input data'!$C$28,17,1)</f>
        <v/>
      </c>
      <c r="R23" s="441" t="str">
        <f>+MID('Input data'!$C$28,18,1)</f>
        <v/>
      </c>
      <c r="S23" s="441" t="str">
        <f>+MID('Input data'!$C$28,19,1)</f>
        <v/>
      </c>
      <c r="T23" s="441" t="str">
        <f>+MID('Input data'!$C$28,20,1)</f>
        <v/>
      </c>
      <c r="U23" s="441" t="str">
        <f>+MID('Input data'!$C$28,21,1)</f>
        <v/>
      </c>
      <c r="V23" s="441" t="str">
        <f>+MID('Input data'!$C$28,22,1)</f>
        <v/>
      </c>
      <c r="W23" s="441" t="str">
        <f>+MID('Input data'!$C$28,23,1)</f>
        <v/>
      </c>
      <c r="X23" s="441" t="str">
        <f>+MID('Input data'!$C$28,24,1)</f>
        <v/>
      </c>
      <c r="Y23" s="441" t="str">
        <f>+MID('Input data'!$C$28,25,1)</f>
        <v/>
      </c>
      <c r="Z23" s="441" t="str">
        <f>+MID('Input data'!$C$28,26,1)</f>
        <v/>
      </c>
      <c r="AA23" s="441" t="str">
        <f>+MID('Input data'!$C$28,27,1)</f>
        <v/>
      </c>
      <c r="AB23" s="441" t="str">
        <f>+MID('Input data'!$C$28,28,1)</f>
        <v/>
      </c>
      <c r="AC23" s="443"/>
      <c r="AD23" s="441" t="str">
        <f>+LEFT('Input data'!$C$30,1)</f>
        <v>5</v>
      </c>
      <c r="AE23" s="441" t="str">
        <f>+MID('Input data'!$C$30,2,1)</f>
        <v>2</v>
      </c>
      <c r="AF23" s="441" t="str">
        <f>+MID('Input data'!$C$30,3,1)</f>
        <v/>
      </c>
      <c r="AG23" s="441" t="str">
        <f>+MID('Input data'!$C$30,4,1)</f>
        <v/>
      </c>
      <c r="AH23" s="441" t="str">
        <f>+MID('Input data'!$C$30,5,1)</f>
        <v/>
      </c>
      <c r="AI23" s="441" t="str">
        <f>+MID('Input data'!$C$30,6,1)</f>
        <v/>
      </c>
      <c r="AJ23" s="441" t="str">
        <f>+MID('Input data'!$C$30,7,1)</f>
        <v/>
      </c>
      <c r="AK23" s="448" t="str">
        <f>+MID('Input data'!$C$30,8,1)</f>
        <v/>
      </c>
    </row>
    <row r="24" spans="1:50" ht="13">
      <c r="A24" s="446" t="s">
        <v>1434</v>
      </c>
      <c r="B24" s="404"/>
      <c r="C24" s="404"/>
      <c r="D24" s="404"/>
      <c r="E24" s="404"/>
      <c r="F24" s="404"/>
      <c r="G24" s="445" t="s">
        <v>1435</v>
      </c>
      <c r="H24" s="445"/>
      <c r="I24" s="445"/>
      <c r="J24" s="445"/>
      <c r="K24" s="445"/>
      <c r="L24" s="445"/>
      <c r="M24" s="445"/>
      <c r="N24" s="445"/>
      <c r="O24" s="445"/>
      <c r="P24" s="445"/>
      <c r="Q24" s="445"/>
      <c r="R24" s="445"/>
      <c r="S24" s="445"/>
      <c r="T24" s="445"/>
      <c r="U24" s="445"/>
      <c r="V24" s="445"/>
      <c r="W24" s="445"/>
      <c r="X24" s="445"/>
      <c r="Y24" s="445"/>
      <c r="Z24" s="445"/>
      <c r="AA24" s="445"/>
      <c r="AB24" s="445"/>
      <c r="AC24" s="445"/>
      <c r="AD24" s="445"/>
      <c r="AE24" s="399"/>
      <c r="AF24" s="399"/>
      <c r="AG24" s="399"/>
      <c r="AH24" s="399"/>
      <c r="AI24" s="399"/>
      <c r="AJ24" s="399"/>
      <c r="AK24" s="398"/>
    </row>
    <row r="25" spans="1:50" s="530" customFormat="1" ht="19.5" customHeight="1">
      <c r="A25" s="449" t="str">
        <f>+LEFT('Input data'!$C$32,1)</f>
        <v>8</v>
      </c>
      <c r="B25" s="441" t="str">
        <f>+MID('Input data'!$C$32,2,1)</f>
        <v>3</v>
      </c>
      <c r="C25" s="441" t="str">
        <f>+MID('Input data'!$C$32,3,1)</f>
        <v>1</v>
      </c>
      <c r="D25" s="441" t="str">
        <f>+MID('Input data'!$C$32,4,1)</f>
        <v xml:space="preserve"> </v>
      </c>
      <c r="E25" s="441" t="str">
        <f>+MID('Input data'!$C$32,5,1)</f>
        <v>0</v>
      </c>
      <c r="F25" s="441"/>
      <c r="G25" s="441" t="str">
        <f>+LEFT('Input data'!$C$34,1)</f>
        <v>B</v>
      </c>
      <c r="H25" s="441" t="str">
        <f>+MID('Input data'!$C$34,2,1)</f>
        <v>r</v>
      </c>
      <c r="I25" s="441" t="str">
        <f>+MID('Input data'!$C$34,3,1)</f>
        <v>a</v>
      </c>
      <c r="J25" s="441" t="str">
        <f>+MID('Input data'!$C$34,4,1)</f>
        <v>t</v>
      </c>
      <c r="K25" s="441" t="str">
        <f>+MID('Input data'!$C$34,5,1)</f>
        <v>i</v>
      </c>
      <c r="L25" s="441" t="str">
        <f>+MID('Input data'!$C$34,6,1)</f>
        <v>s</v>
      </c>
      <c r="M25" s="441" t="str">
        <f>+MID('Input data'!$C$34,7,1)</f>
        <v>l</v>
      </c>
      <c r="N25" s="441" t="str">
        <f>+MID('Input data'!$C$34,8,1)</f>
        <v>a</v>
      </c>
      <c r="O25" s="441" t="str">
        <f>+MID('Input data'!$C$34,9,1)</f>
        <v>v</v>
      </c>
      <c r="P25" s="441" t="str">
        <f>+MID('Input data'!$C$34,10,1)</f>
        <v>a</v>
      </c>
      <c r="Q25" s="441" t="str">
        <f>+MID('Input data'!$C$34,11,1)</f>
        <v xml:space="preserve"> </v>
      </c>
      <c r="R25" s="441" t="str">
        <f>+MID('Input data'!$C$34,12,1)</f>
        <v/>
      </c>
      <c r="S25" s="441" t="str">
        <f>+MID('Input data'!$C$34,13,1)</f>
        <v/>
      </c>
      <c r="T25" s="441" t="str">
        <f>+MID('Input data'!$C$34,14,1)</f>
        <v/>
      </c>
      <c r="U25" s="441" t="str">
        <f>+MID('Input data'!$C$34,15,1)</f>
        <v/>
      </c>
      <c r="V25" s="441" t="str">
        <f>+MID('Input data'!$C$34,16,1)</f>
        <v/>
      </c>
      <c r="W25" s="441" t="str">
        <f>+MID('Input data'!$C$34,17,1)</f>
        <v/>
      </c>
      <c r="X25" s="441" t="str">
        <f>+MID('Input data'!$C$34,18,1)</f>
        <v/>
      </c>
      <c r="Y25" s="441" t="str">
        <f>+MID('Input data'!$C$34,19,1)</f>
        <v/>
      </c>
      <c r="Z25" s="441" t="str">
        <f>+MID('Input data'!$C$34,20,1)</f>
        <v/>
      </c>
      <c r="AA25" s="441" t="str">
        <f>+MID('Input data'!$C$34,21,1)</f>
        <v/>
      </c>
      <c r="AB25" s="441" t="str">
        <f>+MID('Input data'!$C$34,22,1)</f>
        <v/>
      </c>
      <c r="AC25" s="441" t="str">
        <f>+MID('Input data'!$C$34,23,1)</f>
        <v/>
      </c>
      <c r="AD25" s="441" t="str">
        <f>+MID('Input data'!$C$34,24,1)</f>
        <v/>
      </c>
      <c r="AE25" s="441" t="str">
        <f>+MID('Input data'!$C$34,25,1)</f>
        <v/>
      </c>
      <c r="AF25" s="441" t="str">
        <f>+MID('Input data'!$C$34,26,1)</f>
        <v/>
      </c>
      <c r="AG25" s="441" t="str">
        <f>+MID('Input data'!$C$34,27,1)</f>
        <v/>
      </c>
      <c r="AH25" s="441" t="str">
        <f>+MID('Input data'!$C$34,28,1)</f>
        <v/>
      </c>
      <c r="AI25" s="441" t="str">
        <f>+MID('Input data'!$C$34,29,1)</f>
        <v/>
      </c>
      <c r="AJ25" s="441" t="str">
        <f>+MID('Input data'!$C$34,30,1)</f>
        <v/>
      </c>
      <c r="AK25" s="448" t="str">
        <f>+MID('Input data'!$C$34,31,1)</f>
        <v/>
      </c>
    </row>
    <row r="26" spans="1:50" ht="13">
      <c r="A26" s="446" t="s">
        <v>1436</v>
      </c>
      <c r="B26" s="404"/>
      <c r="C26" s="404"/>
      <c r="D26" s="404"/>
      <c r="E26" s="404"/>
      <c r="F26" s="404"/>
      <c r="G26" s="445"/>
      <c r="H26" s="445"/>
      <c r="I26" s="445"/>
      <c r="J26" s="445"/>
      <c r="K26" s="445"/>
      <c r="L26" s="445"/>
      <c r="M26" s="445"/>
      <c r="N26" s="404"/>
      <c r="O26" s="445" t="s">
        <v>1437</v>
      </c>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50" s="530" customFormat="1" ht="19.5" customHeight="1">
      <c r="A27" s="444">
        <v>0</v>
      </c>
      <c r="B27" s="441" t="str">
        <f>+LEFT('Input data'!$C$36,1)</f>
        <v>2</v>
      </c>
      <c r="C27" s="441" t="str">
        <f>+MID('Input data'!$C$36,2,1)</f>
        <v/>
      </c>
      <c r="D27" s="441" t="str">
        <f>+MID('Input data'!$C$36,3,1)</f>
        <v/>
      </c>
      <c r="E27" s="441" t="s">
        <v>1092</v>
      </c>
      <c r="F27" s="441" t="str">
        <f>+LEFT('Input data'!$C$38,1)</f>
        <v>4</v>
      </c>
      <c r="G27" s="441" t="str">
        <f>+MID('Input data'!$C$38,2,1)</f>
        <v>8</v>
      </c>
      <c r="H27" s="441" t="str">
        <f>+MID('Input data'!$C$38,3,1)</f>
        <v>2</v>
      </c>
      <c r="I27" s="441" t="str">
        <f>+MID('Input data'!$C$38,4,1)</f>
        <v>0</v>
      </c>
      <c r="J27" s="441" t="str">
        <f>+MID('Input data'!$C$38,5,1)</f>
        <v>5</v>
      </c>
      <c r="K27" s="441" t="str">
        <f>+MID('Input data'!$C$38,6,1)</f>
        <v>2</v>
      </c>
      <c r="L27" s="441" t="str">
        <f>+MID('Input data'!$C$38,7,1)</f>
        <v>0</v>
      </c>
      <c r="M27" s="441" t="str">
        <f>+MID('Input data'!$C$38,8,1)</f>
        <v>0</v>
      </c>
      <c r="N27" s="443"/>
      <c r="O27" s="442">
        <v>0</v>
      </c>
      <c r="P27" s="441" t="str">
        <f>+LEFT('Input data'!$C$36,1)</f>
        <v>2</v>
      </c>
      <c r="Q27" s="441" t="str">
        <f>+MID('Input data'!$C$36,2,1)</f>
        <v/>
      </c>
      <c r="R27" s="441" t="str">
        <f>+MID('Input data'!$C$36,3,1)</f>
        <v/>
      </c>
      <c r="S27" s="441" t="s">
        <v>1092</v>
      </c>
      <c r="T27" s="441" t="str">
        <f>+LEFT('Input data'!$C$40,1)</f>
        <v/>
      </c>
      <c r="U27" s="441" t="str">
        <f>+MID('Input data'!$C$40,2,1)</f>
        <v/>
      </c>
      <c r="V27" s="441" t="str">
        <f>+MID('Input data'!$C$40,3,1)</f>
        <v/>
      </c>
      <c r="W27" s="441" t="str">
        <f>+MID('Input data'!$C$40,4,1)</f>
        <v/>
      </c>
      <c r="X27" s="441" t="str">
        <f>+MID('Input data'!$C$40,5,1)</f>
        <v/>
      </c>
      <c r="Y27" s="441" t="str">
        <f>+MID('Input data'!$C$40,6,1)</f>
        <v/>
      </c>
      <c r="Z27" s="441" t="str">
        <f>+MID('Input data'!$C$40,7,1)</f>
        <v/>
      </c>
      <c r="AA27" s="441" t="str">
        <f>+MID('Input data'!$C$40,8,1)</f>
        <v/>
      </c>
      <c r="AB27" s="441"/>
      <c r="AC27" s="441"/>
      <c r="AD27" s="441"/>
      <c r="AE27" s="399"/>
      <c r="AF27" s="399"/>
      <c r="AG27" s="399"/>
      <c r="AH27" s="399"/>
      <c r="AI27" s="399"/>
      <c r="AJ27" s="399"/>
      <c r="AK27" s="398"/>
    </row>
    <row r="28" spans="1:50" s="391" customFormat="1" ht="13">
      <c r="A28" s="403" t="s">
        <v>1438</v>
      </c>
      <c r="B28" s="402"/>
      <c r="C28" s="402"/>
      <c r="D28" s="402"/>
      <c r="E28" s="402"/>
      <c r="F28" s="402"/>
      <c r="G28" s="402"/>
      <c r="H28" s="402"/>
      <c r="I28" s="402"/>
      <c r="J28" s="402"/>
      <c r="K28" s="402"/>
      <c r="L28" s="402"/>
      <c r="M28" s="402"/>
      <c r="N28" s="402"/>
      <c r="O28" s="402"/>
      <c r="P28" s="402"/>
      <c r="Q28" s="402"/>
      <c r="R28" s="402"/>
      <c r="S28" s="402"/>
      <c r="T28" s="402"/>
      <c r="U28" s="402"/>
      <c r="V28" s="402"/>
      <c r="W28" s="399"/>
      <c r="X28" s="399"/>
      <c r="Y28" s="399"/>
      <c r="Z28" s="399"/>
      <c r="AA28" s="399"/>
      <c r="AB28" s="399"/>
      <c r="AC28" s="399"/>
      <c r="AD28" s="399"/>
      <c r="AE28" s="399"/>
      <c r="AF28" s="399"/>
      <c r="AG28" s="399"/>
      <c r="AH28" s="399"/>
      <c r="AI28" s="399"/>
      <c r="AJ28" s="399"/>
      <c r="AK28" s="398"/>
    </row>
    <row r="29" spans="1:50" s="530" customFormat="1" ht="19.5" customHeight="1" thickBot="1">
      <c r="A29" s="440" t="str">
        <f>+LEFT('Input data'!$B$42,1)</f>
        <v>o</v>
      </c>
      <c r="B29" s="439" t="str">
        <f>+MID('Input data'!$B$42,2,1)</f>
        <v>f</v>
      </c>
      <c r="C29" s="439" t="str">
        <f>+MID('Input data'!$B$42,3,1)</f>
        <v>f</v>
      </c>
      <c r="D29" s="439" t="str">
        <f>+MID('Input data'!$B$42,4,1)</f>
        <v>i</v>
      </c>
      <c r="E29" s="439" t="str">
        <f>+MID('Input data'!$B$42,5,1)</f>
        <v>c</v>
      </c>
      <c r="F29" s="439" t="str">
        <f>+MID('Input data'!$B$42,6,1)</f>
        <v>e</v>
      </c>
      <c r="G29" s="439" t="str">
        <f>+MID('Input data'!$B$42,7,1)</f>
        <v>.</v>
      </c>
      <c r="H29" s="439" t="str">
        <f>+MID('Input data'!$B$42,8,1)</f>
        <v>s</v>
      </c>
      <c r="I29" s="439" t="str">
        <f>+MID('Input data'!$B$42,9,1)</f>
        <v>k</v>
      </c>
      <c r="J29" s="439" t="str">
        <f>+MID('Input data'!$B$42,10,1)</f>
        <v>@</v>
      </c>
      <c r="K29" s="439" t="str">
        <f>+MID('Input data'!$B$42,11,1)</f>
        <v>f</v>
      </c>
      <c r="L29" s="439" t="str">
        <f>+MID('Input data'!$B$42,12,1)</f>
        <v>o</v>
      </c>
      <c r="M29" s="439" t="str">
        <f>+MID('Input data'!$B$42,13,1)</f>
        <v>s</v>
      </c>
      <c r="N29" s="439" t="str">
        <f>+MID('Input data'!$B$42,14,1)</f>
        <v>s</v>
      </c>
      <c r="O29" s="439" t="str">
        <f>+MID('Input data'!$B$42,15,1)</f>
        <v>f</v>
      </c>
      <c r="P29" s="439" t="str">
        <f>+MID('Input data'!$B$42,16,1)</f>
        <v>i</v>
      </c>
      <c r="Q29" s="439" t="str">
        <f>+MID('Input data'!$B$42,17,1)</f>
        <v>b</v>
      </c>
      <c r="R29" s="439" t="str">
        <f>+MID('Input data'!$B$42,18,1)</f>
        <v>r</v>
      </c>
      <c r="S29" s="439" t="str">
        <f>+MID('Input data'!$B$42,19,1)</f>
        <v>e</v>
      </c>
      <c r="T29" s="439" t="str">
        <f>+MID('Input data'!$B$42,20,1)</f>
        <v>o</v>
      </c>
      <c r="U29" s="439" t="str">
        <f>+MID('Input data'!$B$42,21,1)</f>
        <v>p</v>
      </c>
      <c r="V29" s="439" t="str">
        <f>+MID('Input data'!$B$42,22,1)</f>
        <v>t</v>
      </c>
      <c r="W29" s="439" t="str">
        <f>+MID('Input data'!$B$42,23,1)</f>
        <v>i</v>
      </c>
      <c r="X29" s="439" t="str">
        <f>+MID('Input data'!$B$42,24,1)</f>
        <v>c</v>
      </c>
      <c r="Y29" s="439" t="str">
        <f>+MID('Input data'!$B$42,25,1)</f>
        <v>s</v>
      </c>
      <c r="Z29" s="439" t="str">
        <f>+MID('Input data'!$B$42,26,1)</f>
        <v>.</v>
      </c>
      <c r="AA29" s="439" t="str">
        <f>+MID('Input data'!$B$42,27,1)</f>
        <v>c</v>
      </c>
      <c r="AB29" s="439" t="str">
        <f>+MID('Input data'!$B$42,28,1)</f>
        <v>o</v>
      </c>
      <c r="AC29" s="439" t="str">
        <f>+MID('Input data'!$B$42,29,1)</f>
        <v>m</v>
      </c>
      <c r="AD29" s="439" t="str">
        <f>+MID('Input data'!$B$42,30,1)</f>
        <v/>
      </c>
      <c r="AE29" s="439" t="str">
        <f>+MID('Input data'!$B$42,31,1)</f>
        <v/>
      </c>
      <c r="AF29" s="439" t="str">
        <f>+MID('Input data'!$B$42,32,1)</f>
        <v/>
      </c>
      <c r="AG29" s="439" t="str">
        <f>+MID('Input data'!$B$42,33,1)</f>
        <v/>
      </c>
      <c r="AH29" s="439" t="str">
        <f>+MID('Input data'!$B$42,34,1)</f>
        <v/>
      </c>
      <c r="AI29" s="439" t="str">
        <f>+MID('Input data'!$B$42,35,1)</f>
        <v/>
      </c>
      <c r="AJ29" s="439" t="str">
        <f>+MID('Input data'!$B$42,36,1)</f>
        <v/>
      </c>
      <c r="AK29" s="438" t="str">
        <f>+MID('Input data'!$B$42,37,1)</f>
        <v/>
      </c>
    </row>
    <row r="30" spans="1:50" s="391" customFormat="1" ht="4.5" customHeight="1" thickBot="1">
      <c r="W30" s="392"/>
      <c r="X30" s="392"/>
      <c r="Y30" s="392"/>
      <c r="Z30" s="392"/>
      <c r="AA30" s="392"/>
      <c r="AB30" s="392"/>
      <c r="AC30" s="392"/>
      <c r="AD30" s="392"/>
      <c r="AE30" s="392"/>
      <c r="AF30" s="392"/>
      <c r="AG30" s="392"/>
      <c r="AH30" s="392"/>
      <c r="AI30" s="392"/>
      <c r="AJ30" s="392"/>
      <c r="AK30" s="392"/>
    </row>
    <row r="31" spans="1:50" s="434" customFormat="1" ht="13" customHeight="1">
      <c r="A31" s="437" t="s">
        <v>1311</v>
      </c>
      <c r="B31" s="436"/>
      <c r="C31" s="436"/>
      <c r="D31" s="436"/>
      <c r="E31" s="436"/>
      <c r="F31" s="436"/>
      <c r="G31" s="436"/>
      <c r="H31" s="436"/>
      <c r="I31" s="436"/>
      <c r="J31" s="436"/>
      <c r="K31" s="830"/>
      <c r="L31" s="830"/>
      <c r="M31" s="2443" t="s">
        <v>1439</v>
      </c>
      <c r="N31" s="2444"/>
      <c r="O31" s="2444"/>
      <c r="P31" s="2444"/>
      <c r="Q31" s="2444"/>
      <c r="R31" s="2444"/>
      <c r="S31" s="2444"/>
      <c r="T31" s="2444"/>
      <c r="U31" s="2445"/>
      <c r="V31" s="2443" t="s">
        <v>1440</v>
      </c>
      <c r="W31" s="2444"/>
      <c r="X31" s="2444"/>
      <c r="Y31" s="2444"/>
      <c r="Z31" s="2444"/>
      <c r="AA31" s="2444"/>
      <c r="AB31" s="2444"/>
      <c r="AC31" s="2445"/>
      <c r="AD31" s="2443" t="s">
        <v>1441</v>
      </c>
      <c r="AE31" s="2444"/>
      <c r="AF31" s="2444"/>
      <c r="AG31" s="2444"/>
      <c r="AH31" s="2444"/>
      <c r="AI31" s="2444"/>
      <c r="AJ31" s="2444"/>
      <c r="AK31" s="2444"/>
      <c r="AL31" s="2449"/>
    </row>
    <row r="32" spans="1:50" s="391" customFormat="1" ht="19.5" customHeight="1">
      <c r="A32" s="420" t="str">
        <f>LEFT(TEXT('Input data'!F34,"dd.m.yyyy"),1)</f>
        <v>1</v>
      </c>
      <c r="B32" s="419" t="str">
        <f>MID(TEXT('Input data'!$F$34,"dd.mm.yyyy"),2,1)</f>
        <v>5</v>
      </c>
      <c r="C32" s="418" t="s">
        <v>1063</v>
      </c>
      <c r="D32" s="419" t="str">
        <f>MID(TEXT('Input data'!$F$34,"dd.mm.yyyy"),4,1)</f>
        <v>0</v>
      </c>
      <c r="E32" s="419" t="str">
        <f>MID(TEXT('Input data'!$F$34,"dd.mm.yyyy"),5,1)</f>
        <v>5</v>
      </c>
      <c r="F32" s="418" t="s">
        <v>1063</v>
      </c>
      <c r="G32" s="419" t="str">
        <f>MID(TEXT('Input data'!$F$34,"dd.mm.yyyy"),7,1)</f>
        <v>2</v>
      </c>
      <c r="H32" s="419" t="str">
        <f>MID(TEXT('Input data'!$F$34,"dd.mm.yyyy"),8,1)</f>
        <v>0</v>
      </c>
      <c r="I32" s="419" t="str">
        <f>MID(TEXT('Input data'!$F$34,"dd.mm.yyyy"),9,1)</f>
        <v>1</v>
      </c>
      <c r="J32" s="419" t="str">
        <f>MID(TEXT('Input data'!$F$34,"dd.mm.yyyy"),10,1)</f>
        <v>9</v>
      </c>
      <c r="K32" s="831"/>
      <c r="L32" s="426"/>
      <c r="M32" s="2446"/>
      <c r="N32" s="2447"/>
      <c r="O32" s="2447"/>
      <c r="P32" s="2447"/>
      <c r="Q32" s="2447"/>
      <c r="R32" s="2447"/>
      <c r="S32" s="2447"/>
      <c r="T32" s="2447"/>
      <c r="U32" s="2448"/>
      <c r="V32" s="2446"/>
      <c r="W32" s="2447"/>
      <c r="X32" s="2447"/>
      <c r="Y32" s="2447"/>
      <c r="Z32" s="2447"/>
      <c r="AA32" s="2447"/>
      <c r="AB32" s="2447"/>
      <c r="AC32" s="2448"/>
      <c r="AD32" s="2446"/>
      <c r="AE32" s="2447"/>
      <c r="AF32" s="2447"/>
      <c r="AG32" s="2447"/>
      <c r="AH32" s="2447"/>
      <c r="AI32" s="2447"/>
      <c r="AJ32" s="2447"/>
      <c r="AK32" s="2447"/>
      <c r="AL32" s="2450"/>
      <c r="AP32" s="529"/>
      <c r="AX32" s="391" t="s">
        <v>1093</v>
      </c>
    </row>
    <row r="33" spans="1:38" s="391" customFormat="1" ht="13" customHeight="1">
      <c r="A33" s="432"/>
      <c r="B33" s="431"/>
      <c r="C33" s="431"/>
      <c r="D33" s="431"/>
      <c r="E33" s="431"/>
      <c r="F33" s="431"/>
      <c r="G33" s="431"/>
      <c r="H33" s="431"/>
      <c r="I33" s="431"/>
      <c r="J33" s="431"/>
      <c r="K33" s="832"/>
      <c r="L33" s="832"/>
      <c r="M33" s="2446"/>
      <c r="N33" s="2447"/>
      <c r="O33" s="2447"/>
      <c r="P33" s="2447"/>
      <c r="Q33" s="2447"/>
      <c r="R33" s="2447"/>
      <c r="S33" s="2447"/>
      <c r="T33" s="2447"/>
      <c r="U33" s="2448"/>
      <c r="V33" s="2446"/>
      <c r="W33" s="2447"/>
      <c r="X33" s="2447"/>
      <c r="Y33" s="2447"/>
      <c r="Z33" s="2447"/>
      <c r="AA33" s="2447"/>
      <c r="AB33" s="2447"/>
      <c r="AC33" s="2448"/>
      <c r="AD33" s="2446"/>
      <c r="AE33" s="2447"/>
      <c r="AF33" s="2447"/>
      <c r="AG33" s="2447"/>
      <c r="AH33" s="2447"/>
      <c r="AI33" s="2447"/>
      <c r="AJ33" s="2447"/>
      <c r="AK33" s="2447"/>
      <c r="AL33" s="2450"/>
    </row>
    <row r="34" spans="1:38" s="391" customFormat="1" ht="13">
      <c r="A34" s="403" t="s">
        <v>1309</v>
      </c>
      <c r="B34" s="402"/>
      <c r="C34" s="402"/>
      <c r="D34" s="402"/>
      <c r="E34" s="402"/>
      <c r="F34" s="402"/>
      <c r="G34" s="402"/>
      <c r="H34" s="402"/>
      <c r="I34" s="402"/>
      <c r="J34" s="402"/>
      <c r="K34" s="426"/>
      <c r="L34" s="833"/>
      <c r="M34" s="426"/>
      <c r="N34" s="426"/>
      <c r="O34" s="426"/>
      <c r="P34" s="426"/>
      <c r="Q34" s="426"/>
      <c r="R34" s="426"/>
      <c r="S34" s="426"/>
      <c r="T34" s="402"/>
      <c r="U34" s="424"/>
      <c r="V34" s="425"/>
      <c r="W34" s="425"/>
      <c r="X34" s="425"/>
      <c r="Y34" s="425"/>
      <c r="Z34" s="425"/>
      <c r="AA34" s="399"/>
      <c r="AB34" s="425"/>
      <c r="AC34" s="424"/>
      <c r="AD34" s="423"/>
      <c r="AE34" s="422"/>
      <c r="AF34" s="422"/>
      <c r="AG34" s="422"/>
      <c r="AH34" s="422"/>
      <c r="AI34" s="422"/>
      <c r="AJ34" s="422"/>
      <c r="AK34" s="422"/>
      <c r="AL34" s="421"/>
    </row>
    <row r="35" spans="1:38" s="391" customFormat="1" ht="19.5" customHeight="1">
      <c r="A35" s="420" t="str">
        <f>IF('Input data'!$F$36="","",LEFT(TEXT('Input data'!$F$36,"dd.mm.yyyy"),1))</f>
        <v/>
      </c>
      <c r="B35" s="419" t="str">
        <f>IF('Input data'!$F$36="","",MID(TEXT('Input data'!$F$36,"dd.mm.yyyy"),2,1))</f>
        <v/>
      </c>
      <c r="C35" s="418" t="s">
        <v>1063</v>
      </c>
      <c r="D35" s="419" t="str">
        <f>IF('Input data'!$F$36="","",MID(TEXT('Input data'!$F$36,"dd.mm.yyyy"),4,1))</f>
        <v/>
      </c>
      <c r="E35" s="419" t="str">
        <f>IF('Input data'!$F$36="","",MID(TEXT('Input data'!$F$36,"dd.mm.yyyy"),5,1))</f>
        <v/>
      </c>
      <c r="F35" s="418" t="s">
        <v>1063</v>
      </c>
      <c r="G35" s="417" t="str">
        <f>IF('Input data'!$F$36="","",MID(TEXT('Input data'!$F$36,"dd.mm.yyyy"),7,1))</f>
        <v/>
      </c>
      <c r="H35" s="417" t="str">
        <f>IF('Input data'!$F$36="","",MID(TEXT('Input data'!$F$36,"dd.mm.yyyy"),8,1))</f>
        <v/>
      </c>
      <c r="I35" s="417" t="str">
        <f>IF('Input data'!$F$36="","",MID(TEXT('Input data'!$F$36,"dd.mm.yyyy"),9,1))</f>
        <v/>
      </c>
      <c r="J35" s="417" t="str">
        <f>IF('Input data'!$F$36="","",MID(TEXT('Input data'!$F$36,"dd.mm.yyyy"),10,1))</f>
        <v/>
      </c>
      <c r="K35" s="834"/>
      <c r="L35" s="528"/>
      <c r="M35" s="402"/>
      <c r="N35" s="402"/>
      <c r="O35" s="402"/>
      <c r="P35" s="402"/>
      <c r="Q35" s="402"/>
      <c r="R35" s="402"/>
      <c r="S35" s="402"/>
      <c r="T35" s="402"/>
      <c r="U35" s="528"/>
      <c r="V35" s="402"/>
      <c r="W35" s="399"/>
      <c r="X35" s="399"/>
      <c r="Y35" s="399"/>
      <c r="Z35" s="399"/>
      <c r="AA35" s="399"/>
      <c r="AB35" s="399"/>
      <c r="AC35" s="527"/>
      <c r="AD35" s="399"/>
      <c r="AE35" s="399"/>
      <c r="AF35" s="399"/>
      <c r="AG35" s="399"/>
      <c r="AH35" s="399"/>
      <c r="AI35" s="399"/>
      <c r="AJ35" s="399"/>
      <c r="AK35" s="399"/>
      <c r="AL35" s="398"/>
    </row>
    <row r="36" spans="1:38" s="397" customFormat="1" ht="12" thickBot="1">
      <c r="A36" s="412"/>
      <c r="B36" s="411"/>
      <c r="C36" s="411"/>
      <c r="D36" s="411"/>
      <c r="E36" s="411"/>
      <c r="F36" s="411"/>
      <c r="G36" s="411"/>
      <c r="H36" s="411"/>
      <c r="I36" s="411"/>
      <c r="J36" s="411"/>
      <c r="K36" s="411"/>
      <c r="L36" s="410"/>
      <c r="M36" s="2348">
        <f>'Input data'!F40</f>
        <v>0</v>
      </c>
      <c r="N36" s="2349"/>
      <c r="O36" s="2349"/>
      <c r="P36" s="2349"/>
      <c r="Q36" s="2349"/>
      <c r="R36" s="2349"/>
      <c r="S36" s="2349"/>
      <c r="T36" s="2349"/>
      <c r="U36" s="2350"/>
      <c r="V36" s="2348" t="e">
        <f>'Input data'!#REF!</f>
        <v>#REF!</v>
      </c>
      <c r="W36" s="2349"/>
      <c r="X36" s="2349"/>
      <c r="Y36" s="2349"/>
      <c r="Z36" s="2349"/>
      <c r="AA36" s="2349"/>
      <c r="AB36" s="2349"/>
      <c r="AC36" s="2350"/>
      <c r="AD36" s="2351" t="e">
        <f>'Input data'!#REF!</f>
        <v>#REF!</v>
      </c>
      <c r="AE36" s="2349"/>
      <c r="AF36" s="2349"/>
      <c r="AG36" s="2349"/>
      <c r="AH36" s="2349"/>
      <c r="AI36" s="2349"/>
      <c r="AJ36" s="2349"/>
      <c r="AK36" s="2349"/>
      <c r="AL36" s="2352"/>
    </row>
    <row r="37" spans="1:38" s="397" customFormat="1" ht="13">
      <c r="W37" s="392"/>
      <c r="X37" s="392"/>
      <c r="Y37" s="392"/>
      <c r="Z37" s="392"/>
      <c r="AA37" s="392"/>
      <c r="AB37" s="392"/>
      <c r="AC37" s="392"/>
      <c r="AD37" s="392"/>
      <c r="AE37" s="392"/>
      <c r="AF37" s="392"/>
      <c r="AG37" s="392"/>
      <c r="AH37" s="392"/>
      <c r="AI37" s="392"/>
      <c r="AJ37" s="392"/>
      <c r="AK37" s="392"/>
    </row>
    <row r="38" spans="1:38" s="397" customFormat="1" ht="13">
      <c r="W38" s="392"/>
      <c r="X38" s="392"/>
      <c r="Y38" s="392"/>
      <c r="Z38" s="392"/>
      <c r="AA38" s="392"/>
      <c r="AB38" s="392"/>
      <c r="AC38" s="392"/>
      <c r="AD38" s="392"/>
      <c r="AE38" s="392"/>
      <c r="AF38" s="392"/>
      <c r="AG38" s="392"/>
      <c r="AH38" s="392"/>
      <c r="AI38" s="392"/>
      <c r="AJ38" s="392"/>
      <c r="AK38" s="392"/>
    </row>
    <row r="39" spans="1:38" s="397" customFormat="1" ht="13">
      <c r="W39" s="392"/>
      <c r="X39" s="392"/>
      <c r="Y39" s="392"/>
      <c r="Z39" s="392"/>
      <c r="AA39" s="392"/>
      <c r="AB39" s="392"/>
      <c r="AC39" s="392"/>
      <c r="AD39" s="392"/>
      <c r="AE39" s="392"/>
      <c r="AF39" s="392"/>
      <c r="AG39" s="392"/>
      <c r="AH39" s="392"/>
      <c r="AI39" s="392"/>
      <c r="AJ39" s="392"/>
      <c r="AK39" s="392"/>
    </row>
    <row r="40" spans="1:38" ht="13.5" thickBot="1">
      <c r="W40" s="392"/>
      <c r="X40" s="392"/>
      <c r="Y40" s="392"/>
      <c r="Z40" s="392"/>
      <c r="AA40" s="392"/>
      <c r="AB40" s="392"/>
      <c r="AC40" s="392"/>
      <c r="AD40" s="392"/>
      <c r="AE40" s="392"/>
      <c r="AF40" s="392"/>
      <c r="AG40" s="392"/>
      <c r="AH40" s="392"/>
      <c r="AI40" s="392"/>
      <c r="AJ40" s="392"/>
      <c r="AK40" s="392"/>
    </row>
    <row r="41" spans="1:38" s="397" customFormat="1" ht="13">
      <c r="B41" s="409" t="s">
        <v>1442</v>
      </c>
      <c r="C41" s="408"/>
      <c r="D41" s="408"/>
      <c r="E41" s="408"/>
      <c r="F41" s="408"/>
      <c r="G41" s="408"/>
      <c r="H41" s="408"/>
      <c r="I41" s="408"/>
      <c r="J41" s="408"/>
      <c r="K41" s="408"/>
      <c r="L41" s="408"/>
      <c r="M41" s="408"/>
      <c r="N41" s="408"/>
      <c r="O41" s="408"/>
      <c r="P41" s="408"/>
      <c r="Q41" s="408"/>
      <c r="R41" s="408"/>
      <c r="S41" s="408"/>
      <c r="T41" s="408"/>
      <c r="U41" s="408"/>
      <c r="V41" s="408"/>
      <c r="W41" s="407"/>
      <c r="X41" s="407"/>
      <c r="Y41" s="407"/>
      <c r="Z41" s="407"/>
      <c r="AA41" s="407"/>
      <c r="AB41" s="407"/>
      <c r="AC41" s="407"/>
      <c r="AD41" s="407"/>
      <c r="AE41" s="407"/>
      <c r="AF41" s="407"/>
      <c r="AG41" s="407"/>
      <c r="AH41" s="407"/>
      <c r="AI41" s="407"/>
      <c r="AJ41" s="406"/>
      <c r="AK41" s="392"/>
    </row>
    <row r="42" spans="1:38" s="397" customFormat="1" ht="13">
      <c r="B42" s="401"/>
      <c r="C42" s="400"/>
      <c r="D42" s="400"/>
      <c r="E42" s="400"/>
      <c r="F42" s="400"/>
      <c r="G42" s="400"/>
      <c r="H42" s="400"/>
      <c r="I42" s="400"/>
      <c r="J42" s="400"/>
      <c r="K42" s="400"/>
      <c r="L42" s="400"/>
      <c r="M42" s="400"/>
      <c r="N42" s="400"/>
      <c r="O42" s="400"/>
      <c r="P42" s="400"/>
      <c r="Q42" s="400"/>
      <c r="R42" s="400"/>
      <c r="S42" s="400"/>
      <c r="T42" s="400"/>
      <c r="U42" s="400"/>
      <c r="V42" s="400"/>
      <c r="W42" s="399"/>
      <c r="X42" s="399"/>
      <c r="Y42" s="399"/>
      <c r="Z42" s="399"/>
      <c r="AA42" s="399"/>
      <c r="AB42" s="399"/>
      <c r="AC42" s="399"/>
      <c r="AD42" s="399"/>
      <c r="AE42" s="399"/>
      <c r="AF42" s="399"/>
      <c r="AG42" s="399"/>
      <c r="AH42" s="399"/>
      <c r="AI42" s="399"/>
      <c r="AJ42" s="398"/>
      <c r="AK42" s="392"/>
    </row>
    <row r="43" spans="1:38" ht="13">
      <c r="B43" s="405"/>
      <c r="C43" s="404"/>
      <c r="D43" s="404"/>
      <c r="E43" s="404"/>
      <c r="F43" s="404"/>
      <c r="G43" s="404"/>
      <c r="H43" s="404"/>
      <c r="I43" s="404"/>
      <c r="J43" s="404"/>
      <c r="K43" s="404"/>
      <c r="L43" s="404"/>
      <c r="M43" s="404"/>
      <c r="N43" s="404"/>
      <c r="O43" s="404"/>
      <c r="P43" s="404"/>
      <c r="Q43" s="404"/>
      <c r="R43" s="404"/>
      <c r="S43" s="404"/>
      <c r="T43" s="404"/>
      <c r="U43" s="404"/>
      <c r="V43" s="404"/>
      <c r="W43" s="399"/>
      <c r="X43" s="399"/>
      <c r="Y43" s="399"/>
      <c r="Z43" s="399"/>
      <c r="AA43" s="399"/>
      <c r="AB43" s="399"/>
      <c r="AC43" s="399"/>
      <c r="AD43" s="399"/>
      <c r="AE43" s="399"/>
      <c r="AF43" s="399"/>
      <c r="AG43" s="399"/>
      <c r="AH43" s="399"/>
      <c r="AI43" s="399"/>
      <c r="AJ43" s="398"/>
      <c r="AK43" s="392"/>
    </row>
    <row r="44" spans="1:38" s="397" customFormat="1" ht="13">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8" s="391" customFormat="1" ht="13">
      <c r="B45" s="403"/>
      <c r="C45" s="402"/>
      <c r="D45" s="402"/>
      <c r="E45" s="402"/>
      <c r="F45" s="402"/>
      <c r="G45" s="402"/>
      <c r="H45" s="402"/>
      <c r="I45" s="402"/>
      <c r="J45" s="402"/>
      <c r="K45" s="402"/>
      <c r="L45" s="402"/>
      <c r="M45" s="402"/>
      <c r="N45" s="402"/>
      <c r="O45" s="402"/>
      <c r="P45" s="402"/>
      <c r="Q45" s="402"/>
      <c r="R45" s="402"/>
      <c r="S45" s="402"/>
      <c r="T45" s="402"/>
      <c r="U45" s="402"/>
      <c r="V45" s="402"/>
      <c r="W45" s="399"/>
      <c r="X45" s="399"/>
      <c r="Y45" s="399"/>
      <c r="Z45" s="399"/>
      <c r="AA45" s="399"/>
      <c r="AB45" s="399"/>
      <c r="AC45" s="399"/>
      <c r="AD45" s="399"/>
      <c r="AE45" s="399"/>
      <c r="AF45" s="399"/>
      <c r="AG45" s="399"/>
      <c r="AH45" s="399"/>
      <c r="AI45" s="399"/>
      <c r="AJ45" s="398"/>
      <c r="AK45" s="392"/>
    </row>
    <row r="46" spans="1:38" s="391" customFormat="1" ht="13">
      <c r="B46" s="403"/>
      <c r="C46" s="402"/>
      <c r="D46" s="402"/>
      <c r="E46" s="402"/>
      <c r="F46" s="402"/>
      <c r="G46" s="402"/>
      <c r="H46" s="402"/>
      <c r="I46" s="402"/>
      <c r="J46" s="402"/>
      <c r="K46" s="402"/>
      <c r="L46" s="402"/>
      <c r="M46" s="402"/>
      <c r="N46" s="402"/>
      <c r="O46" s="402"/>
      <c r="P46" s="402"/>
      <c r="Q46" s="402"/>
      <c r="R46" s="402"/>
      <c r="S46" s="402"/>
      <c r="T46" s="402"/>
      <c r="U46" s="402"/>
      <c r="V46" s="402"/>
      <c r="W46" s="399"/>
      <c r="X46" s="399"/>
      <c r="Y46" s="399"/>
      <c r="Z46" s="399"/>
      <c r="AA46" s="399"/>
      <c r="AB46" s="399"/>
      <c r="AC46" s="399"/>
      <c r="AD46" s="399"/>
      <c r="AE46" s="399"/>
      <c r="AF46" s="399"/>
      <c r="AG46" s="399"/>
      <c r="AH46" s="399"/>
      <c r="AI46" s="399"/>
      <c r="AJ46" s="398"/>
      <c r="AK46" s="392"/>
    </row>
    <row r="47" spans="1:38" s="397" customFormat="1" ht="13">
      <c r="B47" s="401"/>
      <c r="C47" s="400"/>
      <c r="D47" s="400"/>
      <c r="E47" s="400"/>
      <c r="F47" s="400"/>
      <c r="G47" s="400"/>
      <c r="H47" s="400"/>
      <c r="I47" s="400"/>
      <c r="J47" s="400"/>
      <c r="K47" s="400"/>
      <c r="L47" s="400"/>
      <c r="M47" s="400"/>
      <c r="N47" s="400"/>
      <c r="O47" s="400"/>
      <c r="P47" s="400"/>
      <c r="Q47" s="400"/>
      <c r="R47" s="400"/>
      <c r="S47" s="400"/>
      <c r="T47" s="400"/>
      <c r="U47" s="400"/>
      <c r="V47" s="400"/>
      <c r="W47" s="399"/>
      <c r="X47" s="399"/>
      <c r="Y47" s="399"/>
      <c r="Z47" s="399"/>
      <c r="AA47" s="399"/>
      <c r="AB47" s="399"/>
      <c r="AC47" s="399"/>
      <c r="AD47" s="399"/>
      <c r="AE47" s="399"/>
      <c r="AF47" s="399"/>
      <c r="AG47" s="399"/>
      <c r="AH47" s="399"/>
      <c r="AI47" s="399"/>
      <c r="AJ47" s="398"/>
      <c r="AK47" s="392"/>
    </row>
    <row r="48" spans="1:38" s="397" customFormat="1" ht="13">
      <c r="B48" s="401"/>
      <c r="C48" s="400"/>
      <c r="D48" s="400"/>
      <c r="E48" s="400"/>
      <c r="F48" s="400"/>
      <c r="G48" s="400"/>
      <c r="H48" s="400"/>
      <c r="I48" s="400"/>
      <c r="J48" s="400"/>
      <c r="K48" s="400"/>
      <c r="L48" s="400"/>
      <c r="M48" s="400"/>
      <c r="N48" s="400"/>
      <c r="O48" s="400"/>
      <c r="P48" s="400"/>
      <c r="Q48" s="400"/>
      <c r="R48" s="400"/>
      <c r="S48" s="400"/>
      <c r="T48" s="400"/>
      <c r="U48" s="400"/>
      <c r="V48" s="400"/>
      <c r="W48" s="399"/>
      <c r="X48" s="399"/>
      <c r="Y48" s="399"/>
      <c r="Z48" s="399"/>
      <c r="AA48" s="399"/>
      <c r="AB48" s="399"/>
      <c r="AC48" s="399"/>
      <c r="AD48" s="399"/>
      <c r="AE48" s="399"/>
      <c r="AF48" s="399"/>
      <c r="AG48" s="399"/>
      <c r="AH48" s="399"/>
      <c r="AI48" s="399"/>
      <c r="AJ48" s="398"/>
      <c r="AK48" s="392"/>
    </row>
    <row r="49" spans="2:37"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1" customFormat="1" ht="13.5" thickBot="1">
      <c r="B51" s="396"/>
      <c r="C51" s="395"/>
      <c r="D51" s="395"/>
      <c r="E51" s="395"/>
      <c r="F51" s="395"/>
      <c r="G51" s="395" t="s">
        <v>1443</v>
      </c>
      <c r="H51" s="395"/>
      <c r="I51" s="395"/>
      <c r="J51" s="395"/>
      <c r="K51" s="395"/>
      <c r="L51" s="395"/>
      <c r="M51" s="395"/>
      <c r="N51" s="395"/>
      <c r="O51" s="395"/>
      <c r="P51" s="395"/>
      <c r="Q51" s="395"/>
      <c r="R51" s="395"/>
      <c r="S51" s="395"/>
      <c r="T51" s="395"/>
      <c r="U51" s="395" t="s">
        <v>1444</v>
      </c>
      <c r="V51" s="395"/>
      <c r="W51" s="394"/>
      <c r="X51" s="394"/>
      <c r="Y51" s="394"/>
      <c r="Z51" s="394"/>
      <c r="AA51" s="394"/>
      <c r="AB51" s="394"/>
      <c r="AC51" s="394"/>
      <c r="AD51" s="394"/>
      <c r="AE51" s="394"/>
      <c r="AF51" s="394"/>
      <c r="AG51" s="394"/>
      <c r="AH51" s="394"/>
      <c r="AI51" s="394"/>
      <c r="AJ51" s="393"/>
      <c r="AK51" s="392"/>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Y252"/>
  <sheetViews>
    <sheetView showGridLines="0" view="pageBreakPreview" zoomScaleNormal="100" zoomScaleSheetLayoutView="100" workbookViewId="0">
      <selection activeCell="M23" sqref="M23"/>
    </sheetView>
  </sheetViews>
  <sheetFormatPr defaultColWidth="9.1796875" defaultRowHeight="11"/>
  <cols>
    <col min="1" max="1" width="5.54296875" style="1179" customWidth="1"/>
    <col min="2" max="2" width="16.81640625" style="1179" customWidth="1"/>
    <col min="3" max="3" width="0.81640625" style="1179" customWidth="1"/>
    <col min="4" max="4" width="3.7265625" style="1179" customWidth="1"/>
    <col min="5" max="5" width="3.54296875" style="1179" customWidth="1"/>
    <col min="6" max="6" width="12.453125" style="1179" customWidth="1"/>
    <col min="7" max="7" width="12.1796875" style="1179" customWidth="1"/>
    <col min="8" max="8" width="0.81640625" style="1179" customWidth="1"/>
    <col min="9" max="9" width="14.7265625" style="1179" customWidth="1"/>
    <col min="10" max="10" width="3.54296875" style="1179" customWidth="1"/>
    <col min="11" max="11" width="10.54296875" style="1179" customWidth="1"/>
    <col min="12" max="12" width="14.453125" style="1179" customWidth="1"/>
    <col min="13" max="14" width="9.1796875" style="1179"/>
    <col min="15" max="15" width="16.81640625" style="1179" hidden="1" customWidth="1"/>
    <col min="16" max="16" width="9.1796875" style="1179"/>
    <col min="17" max="24" width="9.1796875" style="1179" hidden="1" customWidth="1"/>
    <col min="25" max="25" width="25" style="1179" hidden="1" customWidth="1"/>
    <col min="26" max="16384" width="9.1796875" style="1179"/>
  </cols>
  <sheetData>
    <row r="1" spans="1:15" ht="15" customHeight="1">
      <c r="A1" s="1178"/>
      <c r="B1" s="502"/>
      <c r="C1" s="445"/>
      <c r="G1" s="1180"/>
      <c r="H1" s="1180"/>
      <c r="I1" s="1180"/>
      <c r="J1" s="1180"/>
      <c r="K1" s="1180"/>
      <c r="O1" s="502"/>
    </row>
    <row r="2" spans="1:15" ht="21.75" customHeight="1">
      <c r="A2" s="1178"/>
      <c r="B2" s="1166" t="s">
        <v>2580</v>
      </c>
      <c r="C2" s="1169"/>
      <c r="D2" s="525" t="s">
        <v>2581</v>
      </c>
      <c r="E2" s="1409"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3"/>
      <c r="G2" s="522"/>
      <c r="H2" s="1205"/>
      <c r="I2" s="1213" t="s">
        <v>2582</v>
      </c>
      <c r="J2" s="1210" t="str">
        <f>"  "&amp;'SK Cover sheet'!A13&amp;"  "&amp;'SK Cover sheet'!B13&amp;"  "&amp;'SK Cover sheet'!C13&amp;"  "&amp;'SK Cover sheet'!D13&amp;"  "&amp;'SK Cover sheet'!E13&amp;"  "&amp;'SK Cover sheet'!F13&amp;"  "&amp;'SK Cover sheet'!G13&amp;"  "&amp;'SK Cover sheet'!H13&amp;" "</f>
        <v xml:space="preserve">  3  1  3  6  5  5  0  7 </v>
      </c>
      <c r="K2" s="1211"/>
      <c r="L2" s="1212"/>
      <c r="O2" s="1166" t="s">
        <v>2580</v>
      </c>
    </row>
    <row r="3" spans="1:15" ht="2.25" customHeight="1" thickBot="1">
      <c r="A3" s="1178"/>
      <c r="C3" s="1180"/>
    </row>
    <row r="4" spans="1:15" s="1181" customFormat="1" ht="11.25" customHeight="1">
      <c r="A4" s="1660" t="s">
        <v>1446</v>
      </c>
      <c r="B4" s="1662" t="s">
        <v>1447</v>
      </c>
      <c r="C4" s="2468"/>
      <c r="D4" s="2470" t="s">
        <v>1448</v>
      </c>
      <c r="E4" s="1667" t="s">
        <v>1449</v>
      </c>
      <c r="F4" s="1668"/>
      <c r="G4" s="1668"/>
      <c r="H4" s="1668"/>
      <c r="I4" s="1668"/>
      <c r="J4" s="1669"/>
      <c r="K4" s="1670" t="s">
        <v>1450</v>
      </c>
      <c r="L4" s="1671"/>
      <c r="O4" s="1662" t="s">
        <v>1447</v>
      </c>
    </row>
    <row r="5" spans="1:15" s="1181" customFormat="1" ht="11.25" customHeight="1">
      <c r="A5" s="1661"/>
      <c r="B5" s="1663"/>
      <c r="C5" s="2469"/>
      <c r="D5" s="2471"/>
      <c r="E5" s="1674">
        <v>1</v>
      </c>
      <c r="F5" s="1663" t="s">
        <v>1451</v>
      </c>
      <c r="G5" s="1649"/>
      <c r="H5" s="1408"/>
      <c r="I5" s="1720" t="s">
        <v>1452</v>
      </c>
      <c r="J5" s="1676"/>
      <c r="K5" s="1672"/>
      <c r="L5" s="1673"/>
      <c r="O5" s="1663"/>
    </row>
    <row r="6" spans="1:15" s="1181" customFormat="1" ht="12" customHeight="1">
      <c r="A6" s="1661"/>
      <c r="B6" s="1663"/>
      <c r="C6" s="2469"/>
      <c r="D6" s="2471"/>
      <c r="E6" s="1674"/>
      <c r="F6" s="1663" t="s">
        <v>1453</v>
      </c>
      <c r="G6" s="1649"/>
      <c r="H6" s="1408"/>
      <c r="I6" s="1675"/>
      <c r="J6" s="1676"/>
      <c r="K6" s="1649" t="s">
        <v>1454</v>
      </c>
      <c r="L6" s="1650"/>
      <c r="O6" s="1663"/>
    </row>
    <row r="7" spans="1:15" s="1183" customFormat="1" ht="28" customHeight="1">
      <c r="A7" s="1651"/>
      <c r="B7" s="1652" t="s">
        <v>2676</v>
      </c>
      <c r="C7" s="1391"/>
      <c r="D7" s="1653" t="s">
        <v>522</v>
      </c>
      <c r="E7" s="1655">
        <f>BS!D10</f>
        <v>5884865</v>
      </c>
      <c r="F7" s="1655"/>
      <c r="G7" s="1656"/>
      <c r="H7" s="1384"/>
      <c r="I7" s="1657">
        <f>E7-E8</f>
        <v>4356932</v>
      </c>
      <c r="J7" s="1657"/>
      <c r="K7" s="1658"/>
      <c r="L7" s="1182"/>
      <c r="O7" s="1652" t="s">
        <v>521</v>
      </c>
    </row>
    <row r="8" spans="1:15" s="1183" customFormat="1" ht="28" customHeight="1">
      <c r="A8" s="1651"/>
      <c r="B8" s="1652"/>
      <c r="C8" s="1392"/>
      <c r="D8" s="1654"/>
      <c r="E8" s="1655">
        <f>BS!E10</f>
        <v>1527933</v>
      </c>
      <c r="F8" s="1655"/>
      <c r="G8" s="1656"/>
      <c r="H8" s="1384"/>
      <c r="I8" s="1384"/>
      <c r="J8" s="1656">
        <f>BS!G10</f>
        <v>4805868</v>
      </c>
      <c r="K8" s="1657"/>
      <c r="L8" s="1659"/>
      <c r="O8" s="1652"/>
    </row>
    <row r="9" spans="1:15" s="1183" customFormat="1" ht="28" customHeight="1">
      <c r="A9" s="1651" t="s">
        <v>523</v>
      </c>
      <c r="B9" s="1696" t="s">
        <v>524</v>
      </c>
      <c r="C9" s="1391"/>
      <c r="D9" s="1653" t="s">
        <v>525</v>
      </c>
      <c r="E9" s="1655">
        <f>BS!D11</f>
        <v>3150896</v>
      </c>
      <c r="F9" s="1655"/>
      <c r="G9" s="1656"/>
      <c r="H9" s="1384"/>
      <c r="I9" s="1657">
        <f>E9-E10</f>
        <v>1654944</v>
      </c>
      <c r="J9" s="1657"/>
      <c r="K9" s="1658"/>
      <c r="L9" s="1182"/>
      <c r="O9" s="1652" t="s">
        <v>524</v>
      </c>
    </row>
    <row r="10" spans="1:15" s="1183" customFormat="1" ht="28" customHeight="1">
      <c r="A10" s="1651"/>
      <c r="B10" s="1697"/>
      <c r="C10" s="1392"/>
      <c r="D10" s="1654"/>
      <c r="E10" s="1655">
        <f>BS!E11</f>
        <v>1495952</v>
      </c>
      <c r="F10" s="1655"/>
      <c r="G10" s="1656"/>
      <c r="H10" s="1384"/>
      <c r="I10" s="1384"/>
      <c r="J10" s="1656">
        <f>BS!G11</f>
        <v>2030208</v>
      </c>
      <c r="K10" s="1657"/>
      <c r="L10" s="1659"/>
      <c r="O10" s="1652"/>
    </row>
    <row r="11" spans="1:15" s="1183" customFormat="1" ht="28" customHeight="1">
      <c r="A11" s="1677" t="s">
        <v>526</v>
      </c>
      <c r="B11" s="1679" t="s">
        <v>2706</v>
      </c>
      <c r="C11" s="1214"/>
      <c r="D11" s="1653" t="s">
        <v>528</v>
      </c>
      <c r="E11" s="1655">
        <f>BS!D12</f>
        <v>2251280</v>
      </c>
      <c r="F11" s="1655"/>
      <c r="G11" s="1656"/>
      <c r="H11" s="1384"/>
      <c r="I11" s="1657">
        <f>E11-E12</f>
        <v>1200388</v>
      </c>
      <c r="J11" s="1657"/>
      <c r="K11" s="1658"/>
      <c r="L11" s="1182"/>
      <c r="O11" s="1679" t="s">
        <v>527</v>
      </c>
    </row>
    <row r="12" spans="1:15" s="1183" customFormat="1" ht="28" customHeight="1">
      <c r="A12" s="1678"/>
      <c r="B12" s="1680"/>
      <c r="C12" s="1215"/>
      <c r="D12" s="1654"/>
      <c r="E12" s="1655">
        <f>BS!E12</f>
        <v>1050892</v>
      </c>
      <c r="F12" s="1655"/>
      <c r="G12" s="1656"/>
      <c r="H12" s="1384"/>
      <c r="I12" s="1384"/>
      <c r="J12" s="1656">
        <f>BS!G12</f>
        <v>1524352</v>
      </c>
      <c r="K12" s="1657"/>
      <c r="L12" s="1659"/>
      <c r="O12" s="1680"/>
    </row>
    <row r="13" spans="1:15" s="1181" customFormat="1" ht="28" customHeight="1">
      <c r="A13" s="1692" t="s">
        <v>529</v>
      </c>
      <c r="B13" s="1683" t="s">
        <v>530</v>
      </c>
      <c r="C13" s="1388"/>
      <c r="D13" s="1685" t="s">
        <v>531</v>
      </c>
      <c r="E13" s="1687">
        <f>BS!D13</f>
        <v>39396</v>
      </c>
      <c r="F13" s="1687"/>
      <c r="G13" s="1688"/>
      <c r="H13" s="1374"/>
      <c r="I13" s="1689">
        <f>E13-E14</f>
        <v>15744</v>
      </c>
      <c r="J13" s="1689"/>
      <c r="K13" s="1690"/>
      <c r="L13" s="1185"/>
      <c r="O13" s="1683" t="s">
        <v>530</v>
      </c>
    </row>
    <row r="14" spans="1:15" s="1181" customFormat="1" ht="28" customHeight="1">
      <c r="A14" s="1693"/>
      <c r="B14" s="1684"/>
      <c r="C14" s="1389"/>
      <c r="D14" s="1686"/>
      <c r="E14" s="1687">
        <f>BS!E13</f>
        <v>23652</v>
      </c>
      <c r="F14" s="1687"/>
      <c r="G14" s="1688"/>
      <c r="H14" s="1374"/>
      <c r="I14" s="1374"/>
      <c r="J14" s="1688">
        <f>BS!G13</f>
        <v>23628</v>
      </c>
      <c r="K14" s="1689"/>
      <c r="L14" s="1691"/>
      <c r="O14" s="1684"/>
    </row>
    <row r="15" spans="1:15" s="1181" customFormat="1" ht="28" customHeight="1">
      <c r="A15" s="1681" t="s">
        <v>532</v>
      </c>
      <c r="B15" s="1683" t="s">
        <v>533</v>
      </c>
      <c r="C15" s="1388"/>
      <c r="D15" s="1685" t="s">
        <v>534</v>
      </c>
      <c r="E15" s="1687">
        <f>BS!D14</f>
        <v>0</v>
      </c>
      <c r="F15" s="1687"/>
      <c r="G15" s="1688"/>
      <c r="H15" s="1374"/>
      <c r="I15" s="1689">
        <f>E15-E16</f>
        <v>0</v>
      </c>
      <c r="J15" s="1689"/>
      <c r="K15" s="1690"/>
      <c r="L15" s="1185"/>
      <c r="O15" s="1683" t="s">
        <v>533</v>
      </c>
    </row>
    <row r="16" spans="1:15" s="1181" customFormat="1" ht="28" customHeight="1">
      <c r="A16" s="1682"/>
      <c r="B16" s="1684"/>
      <c r="C16" s="1389"/>
      <c r="D16" s="1686"/>
      <c r="E16" s="1687">
        <f>BS!E14</f>
        <v>0</v>
      </c>
      <c r="F16" s="1687"/>
      <c r="G16" s="1688"/>
      <c r="H16" s="1374"/>
      <c r="I16" s="1374"/>
      <c r="J16" s="1688">
        <f>BS!G14</f>
        <v>0</v>
      </c>
      <c r="K16" s="1689"/>
      <c r="L16" s="1691"/>
      <c r="O16" s="1684"/>
    </row>
    <row r="17" spans="1:15" s="1181" customFormat="1" ht="28" customHeight="1">
      <c r="A17" s="1681" t="s">
        <v>535</v>
      </c>
      <c r="B17" s="1683" t="s">
        <v>536</v>
      </c>
      <c r="C17" s="1388"/>
      <c r="D17" s="1685" t="s">
        <v>537</v>
      </c>
      <c r="E17" s="1687">
        <f>BS!D15</f>
        <v>0</v>
      </c>
      <c r="F17" s="1687"/>
      <c r="G17" s="1688"/>
      <c r="H17" s="1374"/>
      <c r="I17" s="1689">
        <f>E17-E18</f>
        <v>0</v>
      </c>
      <c r="J17" s="1689"/>
      <c r="K17" s="1690"/>
      <c r="L17" s="1185"/>
      <c r="O17" s="1683" t="s">
        <v>536</v>
      </c>
    </row>
    <row r="18" spans="1:15" s="1181" customFormat="1" ht="28" customHeight="1">
      <c r="A18" s="1682"/>
      <c r="B18" s="1684"/>
      <c r="C18" s="1389"/>
      <c r="D18" s="1686"/>
      <c r="E18" s="1687">
        <f>BS!E15</f>
        <v>0</v>
      </c>
      <c r="F18" s="1687"/>
      <c r="G18" s="1688"/>
      <c r="H18" s="1374"/>
      <c r="I18" s="1374"/>
      <c r="J18" s="1688">
        <f>BS!G15</f>
        <v>0</v>
      </c>
      <c r="K18" s="1689"/>
      <c r="L18" s="1691"/>
      <c r="O18" s="1684"/>
    </row>
    <row r="19" spans="1:15" s="1181" customFormat="1" ht="28" customHeight="1">
      <c r="A19" s="1681" t="s">
        <v>538</v>
      </c>
      <c r="B19" s="1683" t="s">
        <v>539</v>
      </c>
      <c r="C19" s="1388"/>
      <c r="D19" s="1685" t="s">
        <v>540</v>
      </c>
      <c r="E19" s="1687">
        <f>BS!D16</f>
        <v>2211884</v>
      </c>
      <c r="F19" s="1687"/>
      <c r="G19" s="1688"/>
      <c r="H19" s="1374"/>
      <c r="I19" s="1689">
        <f>E19-E20</f>
        <v>1184644</v>
      </c>
      <c r="J19" s="1689"/>
      <c r="K19" s="1690"/>
      <c r="L19" s="1185"/>
      <c r="O19" s="1683" t="s">
        <v>539</v>
      </c>
    </row>
    <row r="20" spans="1:15" s="1181" customFormat="1" ht="28" customHeight="1">
      <c r="A20" s="1682"/>
      <c r="B20" s="1684"/>
      <c r="C20" s="1389"/>
      <c r="D20" s="1686"/>
      <c r="E20" s="1687">
        <f>BS!E16</f>
        <v>1027240</v>
      </c>
      <c r="F20" s="1687"/>
      <c r="G20" s="1688"/>
      <c r="H20" s="1374"/>
      <c r="I20" s="1374"/>
      <c r="J20" s="1688">
        <f>BS!G16</f>
        <v>1500724</v>
      </c>
      <c r="K20" s="1689"/>
      <c r="L20" s="1691"/>
      <c r="O20" s="1684"/>
    </row>
    <row r="21" spans="1:15" s="1181" customFormat="1" ht="28" customHeight="1">
      <c r="A21" s="1681" t="s">
        <v>541</v>
      </c>
      <c r="B21" s="1683" t="s">
        <v>2249</v>
      </c>
      <c r="C21" s="1388"/>
      <c r="D21" s="1685" t="s">
        <v>543</v>
      </c>
      <c r="E21" s="1687">
        <f>BS!D17</f>
        <v>0</v>
      </c>
      <c r="F21" s="1687"/>
      <c r="G21" s="1688"/>
      <c r="H21" s="1374"/>
      <c r="I21" s="1689">
        <f>E21-E22</f>
        <v>0</v>
      </c>
      <c r="J21" s="1689"/>
      <c r="K21" s="1690"/>
      <c r="L21" s="1185"/>
      <c r="O21" s="1683" t="s">
        <v>2249</v>
      </c>
    </row>
    <row r="22" spans="1:15" s="1181" customFormat="1" ht="28" customHeight="1">
      <c r="A22" s="1682"/>
      <c r="B22" s="1684"/>
      <c r="C22" s="1389"/>
      <c r="D22" s="1686"/>
      <c r="E22" s="1687">
        <f>BS!E17</f>
        <v>0</v>
      </c>
      <c r="F22" s="1687"/>
      <c r="G22" s="1688"/>
      <c r="H22" s="1374"/>
      <c r="I22" s="1374"/>
      <c r="J22" s="1688">
        <f>BS!G17</f>
        <v>0</v>
      </c>
      <c r="K22" s="1689"/>
      <c r="L22" s="1691"/>
      <c r="O22" s="1684"/>
    </row>
    <row r="23" spans="1:15" s="1181" customFormat="1" ht="28" customHeight="1">
      <c r="A23" s="1681" t="s">
        <v>544</v>
      </c>
      <c r="B23" s="1683" t="s">
        <v>545</v>
      </c>
      <c r="C23" s="1388"/>
      <c r="D23" s="1685" t="s">
        <v>546</v>
      </c>
      <c r="E23" s="1687">
        <f>BS!D18</f>
        <v>0</v>
      </c>
      <c r="F23" s="1687"/>
      <c r="G23" s="1688"/>
      <c r="H23" s="1374"/>
      <c r="I23" s="1689">
        <f>E23-E24</f>
        <v>0</v>
      </c>
      <c r="J23" s="1689"/>
      <c r="K23" s="1690"/>
      <c r="L23" s="1185"/>
      <c r="O23" s="1683" t="s">
        <v>545</v>
      </c>
    </row>
    <row r="24" spans="1:15" s="1181" customFormat="1" ht="28" customHeight="1">
      <c r="A24" s="1682"/>
      <c r="B24" s="1684"/>
      <c r="C24" s="1389"/>
      <c r="D24" s="1686"/>
      <c r="E24" s="1687">
        <f>BS!E18</f>
        <v>0</v>
      </c>
      <c r="F24" s="1687"/>
      <c r="G24" s="1688"/>
      <c r="H24" s="1374"/>
      <c r="I24" s="1374"/>
      <c r="J24" s="1688">
        <f>BS!G18</f>
        <v>0</v>
      </c>
      <c r="K24" s="1689"/>
      <c r="L24" s="1691"/>
      <c r="O24" s="1684"/>
    </row>
    <row r="25" spans="1:15" s="1181" customFormat="1" ht="28" customHeight="1">
      <c r="A25" s="1681" t="s">
        <v>547</v>
      </c>
      <c r="B25" s="1683" t="s">
        <v>548</v>
      </c>
      <c r="C25" s="1388"/>
      <c r="D25" s="1685" t="s">
        <v>549</v>
      </c>
      <c r="E25" s="1687">
        <f>BS!D19</f>
        <v>0</v>
      </c>
      <c r="F25" s="1687"/>
      <c r="G25" s="1688"/>
      <c r="H25" s="1374"/>
      <c r="I25" s="1689">
        <f>E25-E26</f>
        <v>0</v>
      </c>
      <c r="J25" s="1689"/>
      <c r="K25" s="1690"/>
      <c r="L25" s="1185"/>
      <c r="O25" s="1683" t="s">
        <v>548</v>
      </c>
    </row>
    <row r="26" spans="1:15" s="1181" customFormat="1" ht="28" customHeight="1">
      <c r="A26" s="1682"/>
      <c r="B26" s="1684"/>
      <c r="C26" s="1389"/>
      <c r="D26" s="1686"/>
      <c r="E26" s="1687">
        <f>BS!E19</f>
        <v>0</v>
      </c>
      <c r="F26" s="1687"/>
      <c r="G26" s="1688"/>
      <c r="H26" s="1374"/>
      <c r="I26" s="1374"/>
      <c r="J26" s="1688">
        <f>BS!G19</f>
        <v>0</v>
      </c>
      <c r="K26" s="1689"/>
      <c r="L26" s="1691"/>
      <c r="O26" s="1684"/>
    </row>
    <row r="27" spans="1:15" s="1183" customFormat="1" ht="28" customHeight="1">
      <c r="A27" s="1694" t="s">
        <v>550</v>
      </c>
      <c r="B27" s="1696" t="s">
        <v>2677</v>
      </c>
      <c r="C27" s="1391"/>
      <c r="D27" s="1653" t="s">
        <v>552</v>
      </c>
      <c r="E27" s="1655">
        <f>BS!D20</f>
        <v>899616</v>
      </c>
      <c r="F27" s="1655"/>
      <c r="G27" s="1656"/>
      <c r="H27" s="1384"/>
      <c r="I27" s="1657">
        <f>E27-E28</f>
        <v>454556</v>
      </c>
      <c r="J27" s="1657"/>
      <c r="K27" s="1658"/>
      <c r="L27" s="1182"/>
      <c r="O27" s="1696" t="s">
        <v>551</v>
      </c>
    </row>
    <row r="28" spans="1:15" s="1183" customFormat="1" ht="28" customHeight="1">
      <c r="A28" s="1695"/>
      <c r="B28" s="1697"/>
      <c r="C28" s="1392"/>
      <c r="D28" s="1654"/>
      <c r="E28" s="1655">
        <f>BS!E20</f>
        <v>445060</v>
      </c>
      <c r="F28" s="1655"/>
      <c r="G28" s="1656"/>
      <c r="H28" s="1384"/>
      <c r="I28" s="1384"/>
      <c r="J28" s="1656">
        <f>BS!G20</f>
        <v>505856</v>
      </c>
      <c r="K28" s="1657"/>
      <c r="L28" s="1659"/>
      <c r="O28" s="1697"/>
    </row>
    <row r="29" spans="1:15" s="1181" customFormat="1" ht="28" customHeight="1">
      <c r="A29" s="1692" t="s">
        <v>553</v>
      </c>
      <c r="B29" s="1683" t="s">
        <v>554</v>
      </c>
      <c r="C29" s="1388"/>
      <c r="D29" s="1685" t="s">
        <v>555</v>
      </c>
      <c r="E29" s="1687">
        <f>BS!D21</f>
        <v>0</v>
      </c>
      <c r="F29" s="1687"/>
      <c r="G29" s="1688"/>
      <c r="H29" s="1374"/>
      <c r="I29" s="1689">
        <f>E29-E30</f>
        <v>0</v>
      </c>
      <c r="J29" s="1689"/>
      <c r="K29" s="1690"/>
      <c r="L29" s="1185"/>
      <c r="O29" s="1683" t="s">
        <v>554</v>
      </c>
    </row>
    <row r="30" spans="1:15" s="1181" customFormat="1" ht="28" customHeight="1">
      <c r="A30" s="1693"/>
      <c r="B30" s="1684"/>
      <c r="C30" s="1389"/>
      <c r="D30" s="1686"/>
      <c r="E30" s="1687">
        <f>BS!E21</f>
        <v>0</v>
      </c>
      <c r="F30" s="1687"/>
      <c r="G30" s="1688"/>
      <c r="H30" s="1374"/>
      <c r="I30" s="1374"/>
      <c r="J30" s="1688">
        <f>BS!G21</f>
        <v>0</v>
      </c>
      <c r="K30" s="1689"/>
      <c r="L30" s="1691"/>
      <c r="O30" s="1684"/>
    </row>
    <row r="31" spans="1:15" s="1181" customFormat="1" ht="28" customHeight="1">
      <c r="A31" s="1681" t="s">
        <v>532</v>
      </c>
      <c r="B31" s="1683" t="s">
        <v>556</v>
      </c>
      <c r="C31" s="1388"/>
      <c r="D31" s="1685" t="s">
        <v>557</v>
      </c>
      <c r="E31" s="1687">
        <f>BS!D22</f>
        <v>374726</v>
      </c>
      <c r="F31" s="1687"/>
      <c r="G31" s="1688"/>
      <c r="H31" s="1374"/>
      <c r="I31" s="1689">
        <f>E31-E32</f>
        <v>331639</v>
      </c>
      <c r="J31" s="1689"/>
      <c r="K31" s="1690"/>
      <c r="L31" s="1185"/>
      <c r="O31" s="1683" t="s">
        <v>556</v>
      </c>
    </row>
    <row r="32" spans="1:15" s="1181" customFormat="1" ht="28" customHeight="1">
      <c r="A32" s="1682"/>
      <c r="B32" s="1684"/>
      <c r="C32" s="1389"/>
      <c r="D32" s="1686"/>
      <c r="E32" s="1687">
        <f>BS!E22</f>
        <v>43087</v>
      </c>
      <c r="F32" s="1687"/>
      <c r="G32" s="1688"/>
      <c r="H32" s="1374"/>
      <c r="I32" s="1374"/>
      <c r="J32" s="1688">
        <f>BS!G22</f>
        <v>358240</v>
      </c>
      <c r="K32" s="1689"/>
      <c r="L32" s="1691"/>
      <c r="O32" s="1684"/>
    </row>
    <row r="33" spans="1:15" ht="28" customHeight="1">
      <c r="A33" s="1682" t="s">
        <v>535</v>
      </c>
      <c r="B33" s="1683" t="s">
        <v>558</v>
      </c>
      <c r="C33" s="1388"/>
      <c r="D33" s="1685" t="s">
        <v>559</v>
      </c>
      <c r="E33" s="1687">
        <f>BS!D23</f>
        <v>521446</v>
      </c>
      <c r="F33" s="1687"/>
      <c r="G33" s="1688"/>
      <c r="H33" s="1374"/>
      <c r="I33" s="1689">
        <f>E33-E34</f>
        <v>119473</v>
      </c>
      <c r="J33" s="1689"/>
      <c r="K33" s="1690"/>
      <c r="L33" s="1185"/>
      <c r="O33" s="1683" t="s">
        <v>558</v>
      </c>
    </row>
    <row r="34" spans="1:15" ht="28" customHeight="1" thickBot="1">
      <c r="A34" s="1699"/>
      <c r="B34" s="1700"/>
      <c r="C34" s="1397"/>
      <c r="D34" s="1701"/>
      <c r="E34" s="1702">
        <f>BS!E23</f>
        <v>401973</v>
      </c>
      <c r="F34" s="1702"/>
      <c r="G34" s="1703"/>
      <c r="H34" s="1373"/>
      <c r="I34" s="1373"/>
      <c r="J34" s="1703">
        <f>BS!G23</f>
        <v>147616</v>
      </c>
      <c r="K34" s="1704"/>
      <c r="L34" s="1705"/>
      <c r="O34" s="1684"/>
    </row>
    <row r="35" spans="1:15" ht="11.25" customHeight="1">
      <c r="A35" s="1660" t="s">
        <v>1446</v>
      </c>
      <c r="B35" s="1662" t="s">
        <v>1447</v>
      </c>
      <c r="C35" s="2468"/>
      <c r="D35" s="2470" t="s">
        <v>1448</v>
      </c>
      <c r="E35" s="1667" t="s">
        <v>1449</v>
      </c>
      <c r="F35" s="1668"/>
      <c r="G35" s="1668"/>
      <c r="H35" s="1668"/>
      <c r="I35" s="1668"/>
      <c r="J35" s="1669"/>
      <c r="K35" s="1670" t="s">
        <v>1450</v>
      </c>
      <c r="L35" s="1671"/>
      <c r="O35" s="1662" t="s">
        <v>1447</v>
      </c>
    </row>
    <row r="36" spans="1:15" ht="11.25" customHeight="1">
      <c r="A36" s="1661"/>
      <c r="B36" s="1663"/>
      <c r="C36" s="2469"/>
      <c r="D36" s="2471"/>
      <c r="E36" s="1674">
        <v>1</v>
      </c>
      <c r="F36" s="1663" t="s">
        <v>1451</v>
      </c>
      <c r="G36" s="1649"/>
      <c r="H36" s="1408"/>
      <c r="I36" s="1720" t="s">
        <v>1452</v>
      </c>
      <c r="J36" s="1676"/>
      <c r="K36" s="1672"/>
      <c r="L36" s="1673"/>
      <c r="O36" s="1663"/>
    </row>
    <row r="37" spans="1:15" ht="12" customHeight="1" thickBot="1">
      <c r="A37" s="2481"/>
      <c r="B37" s="2482"/>
      <c r="C37" s="2483"/>
      <c r="D37" s="2484"/>
      <c r="E37" s="1765"/>
      <c r="F37" s="2482" t="s">
        <v>1453</v>
      </c>
      <c r="G37" s="1735"/>
      <c r="H37" s="1398"/>
      <c r="I37" s="2472"/>
      <c r="J37" s="2473"/>
      <c r="K37" s="1735" t="s">
        <v>1454</v>
      </c>
      <c r="L37" s="1736"/>
      <c r="O37" s="2482"/>
    </row>
    <row r="38" spans="1:15" ht="28" customHeight="1">
      <c r="A38" s="2474" t="s">
        <v>538</v>
      </c>
      <c r="B38" s="2475" t="s">
        <v>560</v>
      </c>
      <c r="C38" s="1411"/>
      <c r="D38" s="2476" t="s">
        <v>561</v>
      </c>
      <c r="E38" s="2477">
        <f>BS!D24</f>
        <v>0</v>
      </c>
      <c r="F38" s="2477"/>
      <c r="G38" s="2478"/>
      <c r="H38" s="1412"/>
      <c r="I38" s="2478">
        <f>E38-E39</f>
        <v>0</v>
      </c>
      <c r="J38" s="2479"/>
      <c r="K38" s="2480"/>
      <c r="L38" s="1413"/>
      <c r="O38" s="2475" t="s">
        <v>560</v>
      </c>
    </row>
    <row r="39" spans="1:15" ht="28" customHeight="1">
      <c r="A39" s="1698"/>
      <c r="B39" s="1684"/>
      <c r="C39" s="1389"/>
      <c r="D39" s="1686"/>
      <c r="E39" s="1690">
        <f>BS!E24</f>
        <v>0</v>
      </c>
      <c r="F39" s="1687"/>
      <c r="G39" s="1688"/>
      <c r="H39" s="1374"/>
      <c r="I39" s="1379"/>
      <c r="J39" s="1688">
        <f>BS!G24</f>
        <v>0</v>
      </c>
      <c r="K39" s="1689"/>
      <c r="L39" s="1691"/>
      <c r="O39" s="1684"/>
    </row>
    <row r="40" spans="1:15" ht="28" customHeight="1">
      <c r="A40" s="1682" t="s">
        <v>541</v>
      </c>
      <c r="B40" s="1683" t="s">
        <v>562</v>
      </c>
      <c r="C40" s="1388"/>
      <c r="D40" s="1685" t="s">
        <v>563</v>
      </c>
      <c r="E40" s="1690">
        <f>BS!D25</f>
        <v>0</v>
      </c>
      <c r="F40" s="1687"/>
      <c r="G40" s="1688"/>
      <c r="H40" s="1380"/>
      <c r="I40" s="1688">
        <f>E40-E41</f>
        <v>0</v>
      </c>
      <c r="J40" s="1689"/>
      <c r="K40" s="1690"/>
      <c r="L40" s="1185"/>
      <c r="O40" s="1683" t="s">
        <v>562</v>
      </c>
    </row>
    <row r="41" spans="1:15" ht="28" customHeight="1">
      <c r="A41" s="1698"/>
      <c r="B41" s="1684"/>
      <c r="C41" s="1389"/>
      <c r="D41" s="1686"/>
      <c r="E41" s="1690">
        <f>BS!E25</f>
        <v>0</v>
      </c>
      <c r="F41" s="1687"/>
      <c r="G41" s="1688"/>
      <c r="H41" s="1374"/>
      <c r="I41" s="1379"/>
      <c r="J41" s="1688">
        <f>BS!G25</f>
        <v>0</v>
      </c>
      <c r="K41" s="1689"/>
      <c r="L41" s="1691"/>
      <c r="O41" s="1684"/>
    </row>
    <row r="42" spans="1:15" ht="28" customHeight="1">
      <c r="A42" s="1682" t="s">
        <v>544</v>
      </c>
      <c r="B42" s="1683" t="s">
        <v>2636</v>
      </c>
      <c r="C42" s="1388"/>
      <c r="D42" s="1685" t="s">
        <v>565</v>
      </c>
      <c r="E42" s="1690">
        <f>BS!D26</f>
        <v>0</v>
      </c>
      <c r="F42" s="1687"/>
      <c r="G42" s="1688"/>
      <c r="H42" s="1380"/>
      <c r="I42" s="1688">
        <f>E42-E43</f>
        <v>0</v>
      </c>
      <c r="J42" s="1689"/>
      <c r="K42" s="1690"/>
      <c r="L42" s="1185"/>
      <c r="O42" s="1683" t="s">
        <v>2251</v>
      </c>
    </row>
    <row r="43" spans="1:15" ht="28" customHeight="1">
      <c r="A43" s="1698"/>
      <c r="B43" s="1684"/>
      <c r="C43" s="1389"/>
      <c r="D43" s="1686"/>
      <c r="E43" s="1690">
        <f>BS!E26</f>
        <v>0</v>
      </c>
      <c r="F43" s="1687"/>
      <c r="G43" s="1688"/>
      <c r="H43" s="1374"/>
      <c r="I43" s="1379"/>
      <c r="J43" s="1688">
        <f>BS!G26</f>
        <v>0</v>
      </c>
      <c r="K43" s="1689"/>
      <c r="L43" s="1691"/>
      <c r="O43" s="1684"/>
    </row>
    <row r="44" spans="1:15" ht="28" customHeight="1">
      <c r="A44" s="1682" t="s">
        <v>547</v>
      </c>
      <c r="B44" s="1683" t="s">
        <v>566</v>
      </c>
      <c r="C44" s="1388"/>
      <c r="D44" s="1685" t="s">
        <v>567</v>
      </c>
      <c r="E44" s="1690">
        <f>BS!D27</f>
        <v>3444</v>
      </c>
      <c r="F44" s="1687"/>
      <c r="G44" s="1688"/>
      <c r="H44" s="1380"/>
      <c r="I44" s="1688">
        <f>E44-E45</f>
        <v>3444</v>
      </c>
      <c r="J44" s="1689"/>
      <c r="K44" s="1690"/>
      <c r="L44" s="1185"/>
      <c r="O44" s="1683" t="s">
        <v>566</v>
      </c>
    </row>
    <row r="45" spans="1:15" ht="28" customHeight="1">
      <c r="A45" s="1698"/>
      <c r="B45" s="1684"/>
      <c r="C45" s="1389"/>
      <c r="D45" s="1686"/>
      <c r="E45" s="1690">
        <f>BS!E27</f>
        <v>0</v>
      </c>
      <c r="F45" s="1687"/>
      <c r="G45" s="1688"/>
      <c r="H45" s="1374"/>
      <c r="I45" s="1379"/>
      <c r="J45" s="1688">
        <f>BS!G27</f>
        <v>0</v>
      </c>
      <c r="K45" s="1689"/>
      <c r="L45" s="1691"/>
      <c r="O45" s="1684"/>
    </row>
    <row r="46" spans="1:15" ht="28" customHeight="1">
      <c r="A46" s="1682" t="s">
        <v>568</v>
      </c>
      <c r="B46" s="1683" t="s">
        <v>569</v>
      </c>
      <c r="C46" s="1388"/>
      <c r="D46" s="1685" t="s">
        <v>570</v>
      </c>
      <c r="E46" s="1690">
        <f>BS!D28</f>
        <v>0</v>
      </c>
      <c r="F46" s="1687"/>
      <c r="G46" s="1688"/>
      <c r="H46" s="1380"/>
      <c r="I46" s="1688">
        <f>E46-E47</f>
        <v>0</v>
      </c>
      <c r="J46" s="1689"/>
      <c r="K46" s="1690"/>
      <c r="L46" s="1185"/>
      <c r="O46" s="1683" t="s">
        <v>569</v>
      </c>
    </row>
    <row r="47" spans="1:15" ht="28" customHeight="1">
      <c r="A47" s="1698"/>
      <c r="B47" s="1684"/>
      <c r="C47" s="1389"/>
      <c r="D47" s="1686"/>
      <c r="E47" s="1690">
        <f>BS!E28</f>
        <v>0</v>
      </c>
      <c r="F47" s="1687"/>
      <c r="G47" s="1688"/>
      <c r="H47" s="1374"/>
      <c r="I47" s="1379"/>
      <c r="J47" s="1688">
        <f>BS!G28</f>
        <v>0</v>
      </c>
      <c r="K47" s="1689"/>
      <c r="L47" s="1691"/>
      <c r="O47" s="1684"/>
    </row>
    <row r="48" spans="1:15" ht="28" customHeight="1">
      <c r="A48" s="1682" t="s">
        <v>571</v>
      </c>
      <c r="B48" s="1683" t="s">
        <v>572</v>
      </c>
      <c r="C48" s="1388"/>
      <c r="D48" s="1685" t="s">
        <v>573</v>
      </c>
      <c r="E48" s="1690">
        <f>BS!D29</f>
        <v>0</v>
      </c>
      <c r="F48" s="1687"/>
      <c r="G48" s="1688"/>
      <c r="H48" s="1380"/>
      <c r="I48" s="1688">
        <f>E48-E49</f>
        <v>0</v>
      </c>
      <c r="J48" s="1689"/>
      <c r="K48" s="1690"/>
      <c r="L48" s="1185"/>
      <c r="O48" s="1683" t="s">
        <v>572</v>
      </c>
    </row>
    <row r="49" spans="1:15" ht="28" customHeight="1">
      <c r="A49" s="1698"/>
      <c r="B49" s="1684"/>
      <c r="C49" s="1389"/>
      <c r="D49" s="1686"/>
      <c r="E49" s="1690">
        <f>BS!E29</f>
        <v>0</v>
      </c>
      <c r="F49" s="1687"/>
      <c r="G49" s="1688"/>
      <c r="H49" s="1374"/>
      <c r="I49" s="1379"/>
      <c r="J49" s="1688">
        <f>BS!G29</f>
        <v>0</v>
      </c>
      <c r="K49" s="1689"/>
      <c r="L49" s="1691"/>
      <c r="O49" s="1684"/>
    </row>
    <row r="50" spans="1:15" ht="28" customHeight="1">
      <c r="A50" s="1709" t="s">
        <v>574</v>
      </c>
      <c r="B50" s="1679" t="s">
        <v>2678</v>
      </c>
      <c r="C50" s="1221"/>
      <c r="D50" s="1653" t="s">
        <v>576</v>
      </c>
      <c r="E50" s="1655">
        <f>BS!D30</f>
        <v>0</v>
      </c>
      <c r="F50" s="1655"/>
      <c r="G50" s="1656"/>
      <c r="H50" s="1383"/>
      <c r="I50" s="1656">
        <f>E50-E51</f>
        <v>0</v>
      </c>
      <c r="J50" s="1657"/>
      <c r="K50" s="1658"/>
      <c r="L50" s="1182"/>
      <c r="O50" s="1679" t="s">
        <v>2252</v>
      </c>
    </row>
    <row r="51" spans="1:15" ht="28" customHeight="1">
      <c r="A51" s="1710"/>
      <c r="B51" s="1680"/>
      <c r="C51" s="1215"/>
      <c r="D51" s="1654"/>
      <c r="E51" s="1655">
        <f>BS!E30</f>
        <v>0</v>
      </c>
      <c r="F51" s="1655"/>
      <c r="G51" s="1656"/>
      <c r="H51" s="1384"/>
      <c r="I51" s="1382"/>
      <c r="J51" s="1656">
        <f>BS!G30</f>
        <v>0</v>
      </c>
      <c r="K51" s="1657"/>
      <c r="L51" s="1659"/>
      <c r="O51" s="1680"/>
    </row>
    <row r="52" spans="1:15" s="1187" customFormat="1" ht="28" customHeight="1">
      <c r="A52" s="1682" t="s">
        <v>577</v>
      </c>
      <c r="B52" s="1683" t="s">
        <v>2652</v>
      </c>
      <c r="C52" s="1388"/>
      <c r="D52" s="1685" t="s">
        <v>579</v>
      </c>
      <c r="E52" s="1687">
        <f>BS!D31</f>
        <v>0</v>
      </c>
      <c r="F52" s="1687"/>
      <c r="G52" s="1688"/>
      <c r="H52" s="1380"/>
      <c r="I52" s="1688">
        <f>E52-E53</f>
        <v>0</v>
      </c>
      <c r="J52" s="1689"/>
      <c r="K52" s="1690"/>
      <c r="L52" s="1185"/>
      <c r="O52" s="1683" t="s">
        <v>2652</v>
      </c>
    </row>
    <row r="53" spans="1:15" s="1187" customFormat="1" ht="28" customHeight="1">
      <c r="A53" s="1698"/>
      <c r="B53" s="1684"/>
      <c r="C53" s="1389"/>
      <c r="D53" s="1686"/>
      <c r="E53" s="1687">
        <f>BS!E31</f>
        <v>0</v>
      </c>
      <c r="F53" s="1687"/>
      <c r="G53" s="1688"/>
      <c r="H53" s="1374"/>
      <c r="I53" s="1379"/>
      <c r="J53" s="1688">
        <f>BS!G31</f>
        <v>0</v>
      </c>
      <c r="K53" s="1689"/>
      <c r="L53" s="1691"/>
      <c r="O53" s="1684"/>
    </row>
    <row r="54" spans="1:15" ht="28" customHeight="1">
      <c r="A54" s="1682" t="s">
        <v>532</v>
      </c>
      <c r="B54" s="1683" t="s">
        <v>2653</v>
      </c>
      <c r="C54" s="1388"/>
      <c r="D54" s="1685" t="s">
        <v>581</v>
      </c>
      <c r="E54" s="1687">
        <f>BS!D32</f>
        <v>0</v>
      </c>
      <c r="F54" s="1687"/>
      <c r="G54" s="1688"/>
      <c r="H54" s="1380"/>
      <c r="I54" s="1688">
        <f>E54-E55</f>
        <v>0</v>
      </c>
      <c r="J54" s="1689"/>
      <c r="K54" s="1690"/>
      <c r="L54" s="1185"/>
      <c r="O54" s="1683" t="s">
        <v>2653</v>
      </c>
    </row>
    <row r="55" spans="1:15" ht="28" customHeight="1">
      <c r="A55" s="1698"/>
      <c r="B55" s="1684"/>
      <c r="C55" s="1389"/>
      <c r="D55" s="1686"/>
      <c r="E55" s="1687">
        <f>BS!E32</f>
        <v>0</v>
      </c>
      <c r="F55" s="1687"/>
      <c r="G55" s="1688"/>
      <c r="H55" s="1374"/>
      <c r="I55" s="1379"/>
      <c r="J55" s="1688">
        <f>BS!G32</f>
        <v>0</v>
      </c>
      <c r="K55" s="1689"/>
      <c r="L55" s="1691"/>
      <c r="O55" s="1684"/>
    </row>
    <row r="56" spans="1:15" ht="28" customHeight="1">
      <c r="A56" s="1682" t="s">
        <v>535</v>
      </c>
      <c r="B56" s="1683" t="s">
        <v>2255</v>
      </c>
      <c r="C56" s="1388"/>
      <c r="D56" s="1685" t="s">
        <v>583</v>
      </c>
      <c r="E56" s="1687">
        <f>BS!D33</f>
        <v>0</v>
      </c>
      <c r="F56" s="1687"/>
      <c r="G56" s="1688"/>
      <c r="H56" s="1380"/>
      <c r="I56" s="1688">
        <f>E56-E57</f>
        <v>0</v>
      </c>
      <c r="J56" s="1689"/>
      <c r="K56" s="1690"/>
      <c r="L56" s="1185"/>
      <c r="O56" s="1683" t="s">
        <v>2255</v>
      </c>
    </row>
    <row r="57" spans="1:15" ht="28" customHeight="1">
      <c r="A57" s="1698"/>
      <c r="B57" s="1684"/>
      <c r="C57" s="1389"/>
      <c r="D57" s="1686"/>
      <c r="E57" s="1687">
        <f>BS!E33</f>
        <v>0</v>
      </c>
      <c r="F57" s="1687"/>
      <c r="G57" s="1688"/>
      <c r="H57" s="1374"/>
      <c r="I57" s="1379"/>
      <c r="J57" s="1688">
        <f>BS!G33</f>
        <v>0</v>
      </c>
      <c r="K57" s="1689"/>
      <c r="L57" s="1691"/>
      <c r="O57" s="1684"/>
    </row>
    <row r="58" spans="1:15" ht="28" customHeight="1">
      <c r="A58" s="1682" t="s">
        <v>538</v>
      </c>
      <c r="B58" s="1683" t="s">
        <v>2654</v>
      </c>
      <c r="C58" s="1388"/>
      <c r="D58" s="1685" t="s">
        <v>585</v>
      </c>
      <c r="E58" s="1687">
        <f>BS!D34</f>
        <v>0</v>
      </c>
      <c r="F58" s="1687"/>
      <c r="G58" s="1688"/>
      <c r="H58" s="1380"/>
      <c r="I58" s="1688">
        <f>E58-E59</f>
        <v>0</v>
      </c>
      <c r="J58" s="1689"/>
      <c r="K58" s="1690"/>
      <c r="L58" s="1185"/>
      <c r="O58" s="1683" t="s">
        <v>2654</v>
      </c>
    </row>
    <row r="59" spans="1:15" ht="28" customHeight="1">
      <c r="A59" s="1698"/>
      <c r="B59" s="1684"/>
      <c r="C59" s="1389"/>
      <c r="D59" s="1686"/>
      <c r="E59" s="1687">
        <f>BS!E34</f>
        <v>0</v>
      </c>
      <c r="F59" s="1687"/>
      <c r="G59" s="1688"/>
      <c r="H59" s="1374"/>
      <c r="I59" s="1379"/>
      <c r="J59" s="1688">
        <f>BS!G34</f>
        <v>0</v>
      </c>
      <c r="K59" s="1689"/>
      <c r="L59" s="1691"/>
      <c r="O59" s="1684"/>
    </row>
    <row r="60" spans="1:15" ht="28" customHeight="1">
      <c r="A60" s="1682" t="s">
        <v>541</v>
      </c>
      <c r="B60" s="1683" t="s">
        <v>2655</v>
      </c>
      <c r="C60" s="1388"/>
      <c r="D60" s="1685" t="s">
        <v>587</v>
      </c>
      <c r="E60" s="1687">
        <f>BS!D35</f>
        <v>0</v>
      </c>
      <c r="F60" s="1687"/>
      <c r="G60" s="1688"/>
      <c r="H60" s="1380"/>
      <c r="I60" s="1688">
        <f>E60-E61</f>
        <v>0</v>
      </c>
      <c r="J60" s="1689"/>
      <c r="K60" s="1690"/>
      <c r="L60" s="1185"/>
      <c r="O60" s="1683" t="s">
        <v>2655</v>
      </c>
    </row>
    <row r="61" spans="1:15" ht="28" customHeight="1">
      <c r="A61" s="1698"/>
      <c r="B61" s="1684"/>
      <c r="C61" s="1389"/>
      <c r="D61" s="1686"/>
      <c r="E61" s="1687">
        <f>BS!E35</f>
        <v>0</v>
      </c>
      <c r="F61" s="1687"/>
      <c r="G61" s="1688"/>
      <c r="H61" s="1374"/>
      <c r="I61" s="1379"/>
      <c r="J61" s="1688">
        <f>BS!G35</f>
        <v>0</v>
      </c>
      <c r="K61" s="1689"/>
      <c r="L61" s="1691"/>
      <c r="O61" s="1684"/>
    </row>
    <row r="62" spans="1:15" ht="28" customHeight="1">
      <c r="A62" s="1682" t="s">
        <v>544</v>
      </c>
      <c r="B62" s="1683" t="s">
        <v>2257</v>
      </c>
      <c r="C62" s="1388"/>
      <c r="D62" s="1685" t="s">
        <v>589</v>
      </c>
      <c r="E62" s="1687">
        <f>BS!D36</f>
        <v>0</v>
      </c>
      <c r="F62" s="1687"/>
      <c r="G62" s="1688"/>
      <c r="H62" s="1380"/>
      <c r="I62" s="1688">
        <f>E62-E63</f>
        <v>0</v>
      </c>
      <c r="J62" s="1689"/>
      <c r="K62" s="1690"/>
      <c r="L62" s="1185"/>
      <c r="O62" s="1683" t="s">
        <v>2257</v>
      </c>
    </row>
    <row r="63" spans="1:15" ht="28" customHeight="1">
      <c r="A63" s="1698"/>
      <c r="B63" s="1684"/>
      <c r="C63" s="1389"/>
      <c r="D63" s="1686"/>
      <c r="E63" s="1687">
        <f>BS!E36</f>
        <v>0</v>
      </c>
      <c r="F63" s="1687"/>
      <c r="G63" s="1688"/>
      <c r="H63" s="1374"/>
      <c r="I63" s="1379"/>
      <c r="J63" s="1688">
        <f>BS!G36</f>
        <v>0</v>
      </c>
      <c r="K63" s="1689"/>
      <c r="L63" s="1691"/>
      <c r="O63" s="1684"/>
    </row>
    <row r="64" spans="1:15" ht="28" customHeight="1">
      <c r="A64" s="1698" t="s">
        <v>547</v>
      </c>
      <c r="B64" s="1683" t="s">
        <v>2258</v>
      </c>
      <c r="C64" s="1388"/>
      <c r="D64" s="1685" t="s">
        <v>591</v>
      </c>
      <c r="E64" s="1687">
        <f>BS!D37</f>
        <v>0</v>
      </c>
      <c r="F64" s="1687"/>
      <c r="G64" s="1688"/>
      <c r="H64" s="1380"/>
      <c r="I64" s="1688">
        <f>E64-E65</f>
        <v>0</v>
      </c>
      <c r="J64" s="1689"/>
      <c r="K64" s="1690"/>
      <c r="L64" s="1185"/>
      <c r="O64" s="1683" t="s">
        <v>2258</v>
      </c>
    </row>
    <row r="65" spans="1:15" ht="28" customHeight="1" thickBot="1">
      <c r="A65" s="1699"/>
      <c r="B65" s="1700"/>
      <c r="C65" s="1397"/>
      <c r="D65" s="1701"/>
      <c r="E65" s="1702">
        <f>BS!E37</f>
        <v>0</v>
      </c>
      <c r="F65" s="1702"/>
      <c r="G65" s="1703"/>
      <c r="H65" s="1373"/>
      <c r="I65" s="1381"/>
      <c r="J65" s="1703">
        <f>BS!G37</f>
        <v>0</v>
      </c>
      <c r="K65" s="1704"/>
      <c r="L65" s="1705"/>
      <c r="O65" s="1700"/>
    </row>
    <row r="66" spans="1:15" ht="11.25" customHeight="1">
      <c r="A66" s="1660" t="s">
        <v>1446</v>
      </c>
      <c r="B66" s="1662" t="s">
        <v>1447</v>
      </c>
      <c r="C66" s="2468"/>
      <c r="D66" s="2470" t="s">
        <v>1448</v>
      </c>
      <c r="E66" s="1667" t="s">
        <v>1449</v>
      </c>
      <c r="F66" s="1668"/>
      <c r="G66" s="1668"/>
      <c r="H66" s="1668"/>
      <c r="I66" s="1668"/>
      <c r="J66" s="1669"/>
      <c r="K66" s="1670" t="s">
        <v>1450</v>
      </c>
      <c r="L66" s="1671"/>
      <c r="O66" s="1662" t="s">
        <v>1447</v>
      </c>
    </row>
    <row r="67" spans="1:15" ht="11.25" customHeight="1">
      <c r="A67" s="1661"/>
      <c r="B67" s="1663"/>
      <c r="C67" s="2469"/>
      <c r="D67" s="2471"/>
      <c r="E67" s="1674">
        <v>1</v>
      </c>
      <c r="F67" s="1663" t="s">
        <v>1451</v>
      </c>
      <c r="G67" s="1649"/>
      <c r="H67" s="1408"/>
      <c r="I67" s="1720" t="s">
        <v>1452</v>
      </c>
      <c r="J67" s="1676"/>
      <c r="K67" s="1672"/>
      <c r="L67" s="1673"/>
      <c r="O67" s="1663"/>
    </row>
    <row r="68" spans="1:15" ht="12" customHeight="1">
      <c r="A68" s="1661"/>
      <c r="B68" s="1663"/>
      <c r="C68" s="2469"/>
      <c r="D68" s="2471"/>
      <c r="E68" s="1674"/>
      <c r="F68" s="1663" t="s">
        <v>1453</v>
      </c>
      <c r="G68" s="1649"/>
      <c r="H68" s="1408"/>
      <c r="I68" s="1675"/>
      <c r="J68" s="1676"/>
      <c r="K68" s="1649" t="s">
        <v>1454</v>
      </c>
      <c r="L68" s="1650"/>
      <c r="O68" s="1663"/>
    </row>
    <row r="69" spans="1:15" ht="28" customHeight="1">
      <c r="A69" s="1698" t="s">
        <v>568</v>
      </c>
      <c r="B69" s="1683" t="s">
        <v>2679</v>
      </c>
      <c r="C69" s="1388"/>
      <c r="D69" s="1685" t="s">
        <v>593</v>
      </c>
      <c r="E69" s="1687">
        <f>BS!D38</f>
        <v>0</v>
      </c>
      <c r="F69" s="1687"/>
      <c r="G69" s="1688"/>
      <c r="H69" s="1380"/>
      <c r="I69" s="1688">
        <f>E69-E70</f>
        <v>0</v>
      </c>
      <c r="J69" s="1689"/>
      <c r="K69" s="1690"/>
      <c r="L69" s="1185"/>
      <c r="O69" s="1683" t="s">
        <v>2259</v>
      </c>
    </row>
    <row r="70" spans="1:15" ht="28" customHeight="1">
      <c r="A70" s="1698"/>
      <c r="B70" s="1684"/>
      <c r="C70" s="1389"/>
      <c r="D70" s="1686"/>
      <c r="E70" s="1687">
        <f>BS!E38</f>
        <v>0</v>
      </c>
      <c r="F70" s="1687"/>
      <c r="G70" s="1688"/>
      <c r="H70" s="1374"/>
      <c r="I70" s="1379"/>
      <c r="J70" s="1688">
        <f>BS!G38</f>
        <v>0</v>
      </c>
      <c r="K70" s="1689"/>
      <c r="L70" s="1691"/>
      <c r="O70" s="1684"/>
    </row>
    <row r="71" spans="1:15" ht="28" customHeight="1">
      <c r="A71" s="1698" t="s">
        <v>571</v>
      </c>
      <c r="B71" s="1711" t="s">
        <v>657</v>
      </c>
      <c r="C71" s="1245"/>
      <c r="D71" s="1685" t="s">
        <v>596</v>
      </c>
      <c r="E71" s="1687">
        <f>BS!D39</f>
        <v>0</v>
      </c>
      <c r="F71" s="1687"/>
      <c r="G71" s="1688"/>
      <c r="H71" s="1380"/>
      <c r="I71" s="1688">
        <f>E71-E72</f>
        <v>0</v>
      </c>
      <c r="J71" s="1689"/>
      <c r="K71" s="1690"/>
      <c r="L71" s="1185"/>
      <c r="O71" s="1711" t="s">
        <v>657</v>
      </c>
    </row>
    <row r="72" spans="1:15" ht="28" customHeight="1">
      <c r="A72" s="1698"/>
      <c r="B72" s="1712"/>
      <c r="C72" s="1246"/>
      <c r="D72" s="1686"/>
      <c r="E72" s="1687">
        <f>BS!E39</f>
        <v>0</v>
      </c>
      <c r="F72" s="1687"/>
      <c r="G72" s="1688"/>
      <c r="H72" s="1374"/>
      <c r="I72" s="1379"/>
      <c r="J72" s="1688">
        <f>BS!G39</f>
        <v>0</v>
      </c>
      <c r="K72" s="1689"/>
      <c r="L72" s="1691"/>
      <c r="O72" s="1712"/>
    </row>
    <row r="73" spans="1:15" s="1187" customFormat="1" ht="28" customHeight="1">
      <c r="A73" s="1698" t="s">
        <v>758</v>
      </c>
      <c r="B73" s="1711" t="s">
        <v>590</v>
      </c>
      <c r="C73" s="1245"/>
      <c r="D73" s="1685" t="s">
        <v>599</v>
      </c>
      <c r="E73" s="1687">
        <f>BS!D40</f>
        <v>0</v>
      </c>
      <c r="F73" s="1687"/>
      <c r="G73" s="1688"/>
      <c r="H73" s="1380"/>
      <c r="I73" s="1688">
        <f>E73-E74</f>
        <v>0</v>
      </c>
      <c r="J73" s="1689"/>
      <c r="K73" s="1690"/>
      <c r="L73" s="1185"/>
      <c r="O73" s="1711" t="s">
        <v>590</v>
      </c>
    </row>
    <row r="74" spans="1:15" s="1187" customFormat="1" ht="28" customHeight="1">
      <c r="A74" s="1698"/>
      <c r="B74" s="1712"/>
      <c r="C74" s="1246"/>
      <c r="D74" s="1686"/>
      <c r="E74" s="1687">
        <f>BS!E40</f>
        <v>0</v>
      </c>
      <c r="F74" s="1687"/>
      <c r="G74" s="1688"/>
      <c r="H74" s="1374"/>
      <c r="I74" s="1379"/>
      <c r="J74" s="1688">
        <f>BS!G40</f>
        <v>0</v>
      </c>
      <c r="K74" s="1689"/>
      <c r="L74" s="1691"/>
      <c r="O74" s="1712"/>
    </row>
    <row r="75" spans="1:15" s="1187" customFormat="1" ht="28" customHeight="1">
      <c r="A75" s="1698" t="s">
        <v>761</v>
      </c>
      <c r="B75" s="1683" t="s">
        <v>592</v>
      </c>
      <c r="C75" s="1388"/>
      <c r="D75" s="1685" t="s">
        <v>602</v>
      </c>
      <c r="E75" s="1687">
        <f>BS!D41</f>
        <v>0</v>
      </c>
      <c r="F75" s="1687"/>
      <c r="G75" s="1688"/>
      <c r="H75" s="1380"/>
      <c r="I75" s="1688">
        <f>E75-E76</f>
        <v>0</v>
      </c>
      <c r="J75" s="1689"/>
      <c r="K75" s="1690"/>
      <c r="L75" s="1185"/>
      <c r="O75" s="1683" t="s">
        <v>592</v>
      </c>
    </row>
    <row r="76" spans="1:15" s="1187" customFormat="1" ht="28" customHeight="1">
      <c r="A76" s="1698"/>
      <c r="B76" s="1684"/>
      <c r="C76" s="1389"/>
      <c r="D76" s="1686"/>
      <c r="E76" s="1687">
        <f>BS!E41</f>
        <v>0</v>
      </c>
      <c r="F76" s="1687"/>
      <c r="G76" s="1688"/>
      <c r="H76" s="1374"/>
      <c r="I76" s="1379"/>
      <c r="J76" s="1688">
        <f>BS!G41</f>
        <v>0</v>
      </c>
      <c r="K76" s="1689"/>
      <c r="L76" s="1691"/>
      <c r="O76" s="1684"/>
    </row>
    <row r="77" spans="1:15" ht="28" customHeight="1">
      <c r="A77" s="1710" t="s">
        <v>594</v>
      </c>
      <c r="B77" s="1696" t="s">
        <v>2680</v>
      </c>
      <c r="C77" s="1391"/>
      <c r="D77" s="1653" t="s">
        <v>604</v>
      </c>
      <c r="E77" s="1655">
        <f>BS!D42</f>
        <v>2725791</v>
      </c>
      <c r="F77" s="1655"/>
      <c r="G77" s="1656"/>
      <c r="H77" s="1383"/>
      <c r="I77" s="1656">
        <f>E77-E78</f>
        <v>2693810</v>
      </c>
      <c r="J77" s="1657"/>
      <c r="K77" s="1658"/>
      <c r="L77" s="1182"/>
      <c r="O77" s="1696" t="s">
        <v>2260</v>
      </c>
    </row>
    <row r="78" spans="1:15" ht="28" customHeight="1">
      <c r="A78" s="1710"/>
      <c r="B78" s="1697"/>
      <c r="C78" s="1392"/>
      <c r="D78" s="1654"/>
      <c r="E78" s="1655">
        <f>BS!E42</f>
        <v>31981</v>
      </c>
      <c r="F78" s="1655"/>
      <c r="G78" s="1656"/>
      <c r="H78" s="1384"/>
      <c r="I78" s="1382"/>
      <c r="J78" s="1656">
        <f>BS!G42</f>
        <v>2769602</v>
      </c>
      <c r="K78" s="1657"/>
      <c r="L78" s="1659"/>
      <c r="O78" s="1697"/>
    </row>
    <row r="79" spans="1:15" ht="28" customHeight="1">
      <c r="A79" s="1710" t="s">
        <v>597</v>
      </c>
      <c r="B79" s="1696" t="s">
        <v>2681</v>
      </c>
      <c r="C79" s="1391"/>
      <c r="D79" s="1653" t="s">
        <v>606</v>
      </c>
      <c r="E79" s="1655">
        <f>BS!D43</f>
        <v>983058</v>
      </c>
      <c r="F79" s="1655"/>
      <c r="G79" s="1656"/>
      <c r="H79" s="1383"/>
      <c r="I79" s="1656">
        <f>E79-E80</f>
        <v>960272</v>
      </c>
      <c r="J79" s="1657"/>
      <c r="K79" s="1658"/>
      <c r="L79" s="1182"/>
      <c r="O79" s="1696" t="s">
        <v>2261</v>
      </c>
    </row>
    <row r="80" spans="1:15" ht="28" customHeight="1">
      <c r="A80" s="1710"/>
      <c r="B80" s="1697"/>
      <c r="C80" s="1392"/>
      <c r="D80" s="1654"/>
      <c r="E80" s="1655">
        <f>BS!E43</f>
        <v>22786</v>
      </c>
      <c r="F80" s="1655"/>
      <c r="G80" s="1656"/>
      <c r="H80" s="1384"/>
      <c r="I80" s="1382"/>
      <c r="J80" s="1656">
        <f>BS!G43</f>
        <v>1028966</v>
      </c>
      <c r="K80" s="1657"/>
      <c r="L80" s="1659"/>
      <c r="O80" s="1697"/>
    </row>
    <row r="81" spans="1:15" ht="28" customHeight="1">
      <c r="A81" s="1698" t="s">
        <v>600</v>
      </c>
      <c r="B81" s="1683" t="s">
        <v>601</v>
      </c>
      <c r="C81" s="1388"/>
      <c r="D81" s="1685" t="s">
        <v>608</v>
      </c>
      <c r="E81" s="1687">
        <f>BS!D44</f>
        <v>548015</v>
      </c>
      <c r="F81" s="1687"/>
      <c r="G81" s="1688"/>
      <c r="H81" s="1380"/>
      <c r="I81" s="1688">
        <f>E81-E82</f>
        <v>525229</v>
      </c>
      <c r="J81" s="1689"/>
      <c r="K81" s="1690"/>
      <c r="L81" s="1185"/>
      <c r="O81" s="1683" t="s">
        <v>601</v>
      </c>
    </row>
    <row r="82" spans="1:15" ht="28" customHeight="1">
      <c r="A82" s="1698"/>
      <c r="B82" s="1684"/>
      <c r="C82" s="1389"/>
      <c r="D82" s="1686"/>
      <c r="E82" s="1687">
        <f>BS!E44</f>
        <v>22786</v>
      </c>
      <c r="F82" s="1687"/>
      <c r="G82" s="1688"/>
      <c r="H82" s="1374"/>
      <c r="I82" s="1379"/>
      <c r="J82" s="1688">
        <f>BS!G44</f>
        <v>487487</v>
      </c>
      <c r="K82" s="1689"/>
      <c r="L82" s="1691"/>
      <c r="O82" s="1684"/>
    </row>
    <row r="83" spans="1:15" ht="28" customHeight="1">
      <c r="A83" s="1698" t="s">
        <v>532</v>
      </c>
      <c r="B83" s="1683" t="s">
        <v>603</v>
      </c>
      <c r="C83" s="1388"/>
      <c r="D83" s="1685" t="s">
        <v>610</v>
      </c>
      <c r="E83" s="1687">
        <f>BS!D45</f>
        <v>0</v>
      </c>
      <c r="F83" s="1687"/>
      <c r="G83" s="1688"/>
      <c r="H83" s="1380"/>
      <c r="I83" s="1688">
        <f>E83-E84</f>
        <v>0</v>
      </c>
      <c r="J83" s="1689"/>
      <c r="K83" s="1690"/>
      <c r="L83" s="1185"/>
      <c r="O83" s="1683" t="s">
        <v>603</v>
      </c>
    </row>
    <row r="84" spans="1:15" ht="28" customHeight="1">
      <c r="A84" s="1698"/>
      <c r="B84" s="1684"/>
      <c r="C84" s="1389"/>
      <c r="D84" s="1686"/>
      <c r="E84" s="1687">
        <f>BS!E45</f>
        <v>0</v>
      </c>
      <c r="F84" s="1687"/>
      <c r="G84" s="1688"/>
      <c r="H84" s="1374"/>
      <c r="I84" s="1379"/>
      <c r="J84" s="1688">
        <f>BS!G45</f>
        <v>3950</v>
      </c>
      <c r="K84" s="1689"/>
      <c r="L84" s="1691"/>
      <c r="O84" s="1684"/>
    </row>
    <row r="85" spans="1:15" ht="28" customHeight="1">
      <c r="A85" s="1698" t="s">
        <v>535</v>
      </c>
      <c r="B85" s="1683" t="s">
        <v>605</v>
      </c>
      <c r="C85" s="1388"/>
      <c r="D85" s="1685" t="s">
        <v>612</v>
      </c>
      <c r="E85" s="1687">
        <f>BS!D46</f>
        <v>5542</v>
      </c>
      <c r="F85" s="1687"/>
      <c r="G85" s="1688"/>
      <c r="H85" s="1380"/>
      <c r="I85" s="1688">
        <f>E85-E86</f>
        <v>5542</v>
      </c>
      <c r="J85" s="1689"/>
      <c r="K85" s="1690"/>
      <c r="L85" s="1185"/>
      <c r="O85" s="1683" t="s">
        <v>605</v>
      </c>
    </row>
    <row r="86" spans="1:15" ht="28" customHeight="1">
      <c r="A86" s="1698"/>
      <c r="B86" s="1684"/>
      <c r="C86" s="1389"/>
      <c r="D86" s="1686"/>
      <c r="E86" s="1687">
        <f>BS!E46</f>
        <v>0</v>
      </c>
      <c r="F86" s="1687"/>
      <c r="G86" s="1688"/>
      <c r="H86" s="1374"/>
      <c r="I86" s="1379"/>
      <c r="J86" s="1688">
        <f>BS!G46</f>
        <v>2326</v>
      </c>
      <c r="K86" s="1689"/>
      <c r="L86" s="1691"/>
      <c r="O86" s="1684"/>
    </row>
    <row r="87" spans="1:15" ht="28" customHeight="1">
      <c r="A87" s="1698" t="s">
        <v>538</v>
      </c>
      <c r="B87" s="1683" t="s">
        <v>607</v>
      </c>
      <c r="C87" s="1388"/>
      <c r="D87" s="1685" t="s">
        <v>615</v>
      </c>
      <c r="E87" s="1687">
        <f>BS!D47</f>
        <v>0</v>
      </c>
      <c r="F87" s="1687"/>
      <c r="G87" s="1688"/>
      <c r="H87" s="1380"/>
      <c r="I87" s="1688">
        <f>E87-E88</f>
        <v>0</v>
      </c>
      <c r="J87" s="1689"/>
      <c r="K87" s="1690"/>
      <c r="L87" s="1185"/>
      <c r="O87" s="1683" t="s">
        <v>607</v>
      </c>
    </row>
    <row r="88" spans="1:15" ht="28" customHeight="1">
      <c r="A88" s="1698"/>
      <c r="B88" s="1684"/>
      <c r="C88" s="1389"/>
      <c r="D88" s="1686"/>
      <c r="E88" s="1687">
        <f>BS!E47</f>
        <v>0</v>
      </c>
      <c r="F88" s="1687"/>
      <c r="G88" s="1688"/>
      <c r="H88" s="1374"/>
      <c r="I88" s="1379"/>
      <c r="J88" s="1688">
        <f>BS!G47</f>
        <v>0</v>
      </c>
      <c r="K88" s="1689"/>
      <c r="L88" s="1691"/>
      <c r="O88" s="1684"/>
    </row>
    <row r="89" spans="1:15" s="1187" customFormat="1" ht="28" customHeight="1">
      <c r="A89" s="1698" t="s">
        <v>541</v>
      </c>
      <c r="B89" s="1683" t="s">
        <v>2682</v>
      </c>
      <c r="C89" s="1388"/>
      <c r="D89" s="1685" t="s">
        <v>618</v>
      </c>
      <c r="E89" s="1687">
        <f>BS!D48</f>
        <v>429501</v>
      </c>
      <c r="F89" s="1687"/>
      <c r="G89" s="1688"/>
      <c r="H89" s="1380"/>
      <c r="I89" s="1688">
        <f>E89-E90</f>
        <v>429501</v>
      </c>
      <c r="J89" s="1689"/>
      <c r="K89" s="1690"/>
      <c r="L89" s="1185"/>
      <c r="O89" s="1683" t="s">
        <v>2262</v>
      </c>
    </row>
    <row r="90" spans="1:15" s="1187" customFormat="1" ht="28" customHeight="1">
      <c r="A90" s="1698"/>
      <c r="B90" s="1684"/>
      <c r="C90" s="1389"/>
      <c r="D90" s="1686"/>
      <c r="E90" s="1687">
        <f>BS!E48</f>
        <v>0</v>
      </c>
      <c r="F90" s="1687"/>
      <c r="G90" s="1688"/>
      <c r="H90" s="1374"/>
      <c r="I90" s="1379"/>
      <c r="J90" s="1688">
        <f>BS!G48</f>
        <v>535203</v>
      </c>
      <c r="K90" s="1689"/>
      <c r="L90" s="1691"/>
      <c r="O90" s="1684"/>
    </row>
    <row r="91" spans="1:15" s="1187" customFormat="1" ht="28" customHeight="1">
      <c r="A91" s="1698" t="s">
        <v>544</v>
      </c>
      <c r="B91" s="1683" t="s">
        <v>611</v>
      </c>
      <c r="C91" s="1388"/>
      <c r="D91" s="1685" t="s">
        <v>620</v>
      </c>
      <c r="E91" s="1687">
        <f>BS!D49</f>
        <v>0</v>
      </c>
      <c r="F91" s="1687"/>
      <c r="G91" s="1688"/>
      <c r="H91" s="1380"/>
      <c r="I91" s="1688">
        <f>E91-E92</f>
        <v>0</v>
      </c>
      <c r="J91" s="1689"/>
      <c r="K91" s="1690"/>
      <c r="L91" s="1185"/>
      <c r="O91" s="1683" t="s">
        <v>611</v>
      </c>
    </row>
    <row r="92" spans="1:15" s="1187" customFormat="1" ht="28" customHeight="1">
      <c r="A92" s="1698"/>
      <c r="B92" s="1684"/>
      <c r="C92" s="1389"/>
      <c r="D92" s="1686"/>
      <c r="E92" s="1687">
        <f>BS!E49</f>
        <v>0</v>
      </c>
      <c r="F92" s="1687"/>
      <c r="G92" s="1688"/>
      <c r="H92" s="1374"/>
      <c r="I92" s="1379"/>
      <c r="J92" s="1688">
        <f>BS!G49</f>
        <v>0</v>
      </c>
      <c r="K92" s="1689"/>
      <c r="L92" s="1691"/>
      <c r="O92" s="1684"/>
    </row>
    <row r="93" spans="1:15" ht="28" customHeight="1">
      <c r="A93" s="1710" t="s">
        <v>613</v>
      </c>
      <c r="B93" s="1696" t="s">
        <v>2683</v>
      </c>
      <c r="C93" s="1391"/>
      <c r="D93" s="1653" t="s">
        <v>622</v>
      </c>
      <c r="E93" s="1655">
        <f>BS!D50</f>
        <v>0</v>
      </c>
      <c r="F93" s="1655"/>
      <c r="G93" s="1656"/>
      <c r="H93" s="1383"/>
      <c r="I93" s="1656">
        <f>E93-E94</f>
        <v>0</v>
      </c>
      <c r="J93" s="1657"/>
      <c r="K93" s="1658"/>
      <c r="L93" s="1182"/>
      <c r="O93" s="1696" t="s">
        <v>2263</v>
      </c>
    </row>
    <row r="94" spans="1:15" ht="28" customHeight="1">
      <c r="A94" s="1710"/>
      <c r="B94" s="1697"/>
      <c r="C94" s="1247"/>
      <c r="D94" s="1654"/>
      <c r="E94" s="1655">
        <f>BS!E50</f>
        <v>0</v>
      </c>
      <c r="F94" s="1655"/>
      <c r="G94" s="1656"/>
      <c r="H94" s="1384"/>
      <c r="I94" s="1382"/>
      <c r="J94" s="1656">
        <f>BS!G50</f>
        <v>0</v>
      </c>
      <c r="K94" s="1657"/>
      <c r="L94" s="1659"/>
      <c r="O94" s="1697"/>
    </row>
    <row r="95" spans="1:15" ht="28" customHeight="1">
      <c r="A95" s="1710" t="s">
        <v>616</v>
      </c>
      <c r="B95" s="1696" t="s">
        <v>2684</v>
      </c>
      <c r="C95" s="1391"/>
      <c r="D95" s="1653" t="s">
        <v>624</v>
      </c>
      <c r="E95" s="1687">
        <f>BS!D51</f>
        <v>0</v>
      </c>
      <c r="F95" s="1687"/>
      <c r="G95" s="1688"/>
      <c r="H95" s="1380"/>
      <c r="I95" s="1688">
        <f>E95-E96</f>
        <v>0</v>
      </c>
      <c r="J95" s="1689"/>
      <c r="K95" s="1690"/>
      <c r="L95" s="1185"/>
      <c r="N95" s="1179" t="s">
        <v>1093</v>
      </c>
      <c r="O95" s="1696" t="s">
        <v>2264</v>
      </c>
    </row>
    <row r="96" spans="1:15" ht="28" customHeight="1" thickBot="1">
      <c r="A96" s="1770"/>
      <c r="B96" s="1771"/>
      <c r="C96" s="1355"/>
      <c r="D96" s="1772"/>
      <c r="E96" s="1702">
        <f>BS!E51</f>
        <v>0</v>
      </c>
      <c r="F96" s="1702"/>
      <c r="G96" s="1703"/>
      <c r="H96" s="1373"/>
      <c r="I96" s="1381"/>
      <c r="J96" s="1703">
        <f>BS!G51</f>
        <v>0</v>
      </c>
      <c r="K96" s="1704"/>
      <c r="L96" s="1705"/>
      <c r="O96" s="1771"/>
    </row>
    <row r="97" spans="1:15" ht="11.25" customHeight="1">
      <c r="A97" s="1660" t="s">
        <v>1446</v>
      </c>
      <c r="B97" s="1662" t="s">
        <v>1447</v>
      </c>
      <c r="C97" s="2468"/>
      <c r="D97" s="2470" t="s">
        <v>1448</v>
      </c>
      <c r="E97" s="1667" t="s">
        <v>1449</v>
      </c>
      <c r="F97" s="1668"/>
      <c r="G97" s="1668"/>
      <c r="H97" s="1668"/>
      <c r="I97" s="1668"/>
      <c r="J97" s="1669"/>
      <c r="K97" s="1670" t="s">
        <v>1450</v>
      </c>
      <c r="L97" s="1671"/>
      <c r="O97" s="1662" t="s">
        <v>1447</v>
      </c>
    </row>
    <row r="98" spans="1:15" ht="11.25" customHeight="1">
      <c r="A98" s="1661"/>
      <c r="B98" s="1663"/>
      <c r="C98" s="2469"/>
      <c r="D98" s="2471"/>
      <c r="E98" s="1674">
        <v>1</v>
      </c>
      <c r="F98" s="1663" t="s">
        <v>1451</v>
      </c>
      <c r="G98" s="1649"/>
      <c r="H98" s="1408"/>
      <c r="I98" s="1720" t="s">
        <v>1452</v>
      </c>
      <c r="J98" s="1676"/>
      <c r="K98" s="1672"/>
      <c r="L98" s="1673"/>
      <c r="O98" s="1663"/>
    </row>
    <row r="99" spans="1:15" ht="12" customHeight="1">
      <c r="A99" s="1661"/>
      <c r="B99" s="1663"/>
      <c r="C99" s="2469"/>
      <c r="D99" s="2471"/>
      <c r="E99" s="1674"/>
      <c r="F99" s="1663" t="s">
        <v>1453</v>
      </c>
      <c r="G99" s="1649"/>
      <c r="H99" s="1408"/>
      <c r="I99" s="1675"/>
      <c r="J99" s="1676"/>
      <c r="K99" s="1649" t="s">
        <v>1454</v>
      </c>
      <c r="L99" s="1650"/>
      <c r="O99" s="1663"/>
    </row>
    <row r="100" spans="1:15" ht="28" customHeight="1">
      <c r="A100" s="1698" t="s">
        <v>2265</v>
      </c>
      <c r="B100" s="1683" t="s">
        <v>2685</v>
      </c>
      <c r="C100" s="1249"/>
      <c r="D100" s="1685" t="s">
        <v>626</v>
      </c>
      <c r="E100" s="1687">
        <f>BS!D52</f>
        <v>0</v>
      </c>
      <c r="F100" s="1687"/>
      <c r="G100" s="1688"/>
      <c r="H100" s="1380"/>
      <c r="I100" s="1688">
        <f>E100-E101</f>
        <v>0</v>
      </c>
      <c r="J100" s="1689"/>
      <c r="K100" s="1690"/>
      <c r="L100" s="1185"/>
      <c r="O100" s="1683" t="s">
        <v>2641</v>
      </c>
    </row>
    <row r="101" spans="1:15" ht="28" customHeight="1">
      <c r="A101" s="1698"/>
      <c r="B101" s="1684"/>
      <c r="C101" s="1222"/>
      <c r="D101" s="1686"/>
      <c r="E101" s="1687">
        <f>BS!E52</f>
        <v>0</v>
      </c>
      <c r="F101" s="1687"/>
      <c r="G101" s="1688"/>
      <c r="H101" s="1374"/>
      <c r="I101" s="1379"/>
      <c r="J101" s="1688">
        <f>BS!G52</f>
        <v>0</v>
      </c>
      <c r="K101" s="1689"/>
      <c r="L101" s="1691"/>
      <c r="O101" s="1684"/>
    </row>
    <row r="102" spans="1:15" ht="28" customHeight="1">
      <c r="A102" s="1698" t="s">
        <v>2266</v>
      </c>
      <c r="B102" s="1683" t="s">
        <v>2686</v>
      </c>
      <c r="C102" s="1388"/>
      <c r="D102" s="1685" t="s">
        <v>628</v>
      </c>
      <c r="E102" s="1687">
        <f>BS!D53</f>
        <v>0</v>
      </c>
      <c r="F102" s="1687"/>
      <c r="G102" s="1688"/>
      <c r="H102" s="1380"/>
      <c r="I102" s="1688">
        <f>E102-E103</f>
        <v>0</v>
      </c>
      <c r="J102" s="1689"/>
      <c r="K102" s="1690"/>
      <c r="L102" s="1185"/>
      <c r="O102" s="1683" t="s">
        <v>2642</v>
      </c>
    </row>
    <row r="103" spans="1:15" ht="42" customHeight="1">
      <c r="A103" s="1698"/>
      <c r="B103" s="1684"/>
      <c r="C103" s="1389"/>
      <c r="D103" s="1686"/>
      <c r="E103" s="1687">
        <f>BS!E53</f>
        <v>0</v>
      </c>
      <c r="F103" s="1687"/>
      <c r="G103" s="1688"/>
      <c r="H103" s="1374"/>
      <c r="I103" s="1379"/>
      <c r="J103" s="1688">
        <f>BS!G53</f>
        <v>0</v>
      </c>
      <c r="K103" s="1689"/>
      <c r="L103" s="1691"/>
      <c r="O103" s="1684"/>
    </row>
    <row r="104" spans="1:15" ht="28" customHeight="1">
      <c r="A104" s="1698" t="s">
        <v>2267</v>
      </c>
      <c r="B104" s="1683" t="s">
        <v>2687</v>
      </c>
      <c r="C104" s="1388"/>
      <c r="D104" s="1685" t="s">
        <v>630</v>
      </c>
      <c r="E104" s="1687">
        <f>BS!D54</f>
        <v>0</v>
      </c>
      <c r="F104" s="1687"/>
      <c r="G104" s="1688"/>
      <c r="H104" s="1380"/>
      <c r="I104" s="1688">
        <f>E104-E105</f>
        <v>0</v>
      </c>
      <c r="J104" s="1689"/>
      <c r="K104" s="1690"/>
      <c r="L104" s="1185"/>
      <c r="O104" s="1683" t="s">
        <v>2268</v>
      </c>
    </row>
    <row r="105" spans="1:15" ht="28" customHeight="1">
      <c r="A105" s="1698"/>
      <c r="B105" s="1684"/>
      <c r="C105" s="1389"/>
      <c r="D105" s="1686"/>
      <c r="E105" s="1687">
        <f>BS!E54</f>
        <v>0</v>
      </c>
      <c r="F105" s="1687"/>
      <c r="G105" s="1688"/>
      <c r="H105" s="1374"/>
      <c r="I105" s="1379"/>
      <c r="J105" s="1688">
        <f>BS!G54</f>
        <v>0</v>
      </c>
      <c r="K105" s="1689"/>
      <c r="L105" s="1691"/>
      <c r="O105" s="1684"/>
    </row>
    <row r="106" spans="1:15" ht="28" customHeight="1">
      <c r="A106" s="1698" t="s">
        <v>532</v>
      </c>
      <c r="B106" s="1711" t="s">
        <v>619</v>
      </c>
      <c r="C106" s="1245"/>
      <c r="D106" s="1685" t="s">
        <v>633</v>
      </c>
      <c r="E106" s="1687">
        <f>BS!D55</f>
        <v>0</v>
      </c>
      <c r="F106" s="1687"/>
      <c r="G106" s="1688"/>
      <c r="H106" s="1380"/>
      <c r="I106" s="1688">
        <f>E106-E107</f>
        <v>0</v>
      </c>
      <c r="J106" s="1689"/>
      <c r="K106" s="1690"/>
      <c r="L106" s="1185"/>
      <c r="O106" s="1711" t="s">
        <v>619</v>
      </c>
    </row>
    <row r="107" spans="1:15" ht="28" customHeight="1">
      <c r="A107" s="1698"/>
      <c r="B107" s="1712"/>
      <c r="C107" s="1246"/>
      <c r="D107" s="1686"/>
      <c r="E107" s="1687">
        <f>BS!E55</f>
        <v>0</v>
      </c>
      <c r="F107" s="1687"/>
      <c r="G107" s="1688"/>
      <c r="H107" s="1374"/>
      <c r="I107" s="1379"/>
      <c r="J107" s="1688">
        <f>BS!G55</f>
        <v>0</v>
      </c>
      <c r="K107" s="1689"/>
      <c r="L107" s="1691"/>
      <c r="O107" s="1712"/>
    </row>
    <row r="108" spans="1:15" s="1187" customFormat="1" ht="28" customHeight="1">
      <c r="A108" s="1698" t="s">
        <v>535</v>
      </c>
      <c r="B108" s="1683" t="s">
        <v>2656</v>
      </c>
      <c r="C108" s="1388"/>
      <c r="D108" s="1685" t="s">
        <v>636</v>
      </c>
      <c r="E108" s="1687">
        <f>BS!D56</f>
        <v>0</v>
      </c>
      <c r="F108" s="1687"/>
      <c r="G108" s="1688"/>
      <c r="H108" s="1380"/>
      <c r="I108" s="1688">
        <f>E108-E109</f>
        <v>0</v>
      </c>
      <c r="J108" s="1689"/>
      <c r="K108" s="1690"/>
      <c r="L108" s="1185"/>
      <c r="O108" s="1683" t="s">
        <v>2656</v>
      </c>
    </row>
    <row r="109" spans="1:15" s="1187" customFormat="1" ht="28" customHeight="1">
      <c r="A109" s="1698"/>
      <c r="B109" s="1684"/>
      <c r="C109" s="1389"/>
      <c r="D109" s="1686"/>
      <c r="E109" s="1687">
        <f>BS!E56</f>
        <v>0</v>
      </c>
      <c r="F109" s="1687"/>
      <c r="G109" s="1688"/>
      <c r="H109" s="1374"/>
      <c r="I109" s="1379"/>
      <c r="J109" s="1688">
        <f>BS!G56</f>
        <v>0</v>
      </c>
      <c r="K109" s="1689"/>
      <c r="L109" s="1691"/>
      <c r="O109" s="1684"/>
    </row>
    <row r="110" spans="1:15" s="1187" customFormat="1" ht="28" customHeight="1">
      <c r="A110" s="1698" t="s">
        <v>538</v>
      </c>
      <c r="B110" s="1683" t="s">
        <v>2657</v>
      </c>
      <c r="C110" s="1388"/>
      <c r="D110" s="1685" t="s">
        <v>637</v>
      </c>
      <c r="E110" s="1687">
        <f>BS!D57</f>
        <v>0</v>
      </c>
      <c r="F110" s="1687"/>
      <c r="G110" s="1688"/>
      <c r="H110" s="1380"/>
      <c r="I110" s="1688">
        <f>E110-E111</f>
        <v>0</v>
      </c>
      <c r="J110" s="1689"/>
      <c r="K110" s="1690"/>
      <c r="L110" s="1185"/>
      <c r="O110" s="1683" t="s">
        <v>2657</v>
      </c>
    </row>
    <row r="111" spans="1:15" s="1187" customFormat="1" ht="28" customHeight="1">
      <c r="A111" s="1698"/>
      <c r="B111" s="1684"/>
      <c r="C111" s="1389"/>
      <c r="D111" s="1686"/>
      <c r="E111" s="1687">
        <f>BS!E57</f>
        <v>0</v>
      </c>
      <c r="F111" s="1687"/>
      <c r="G111" s="1688"/>
      <c r="H111" s="1374"/>
      <c r="I111" s="1379"/>
      <c r="J111" s="1688">
        <f>BS!G57</f>
        <v>0</v>
      </c>
      <c r="K111" s="1689"/>
      <c r="L111" s="1691"/>
      <c r="O111" s="1684"/>
    </row>
    <row r="112" spans="1:15" ht="28" customHeight="1">
      <c r="A112" s="1698" t="s">
        <v>541</v>
      </c>
      <c r="B112" s="1683" t="s">
        <v>625</v>
      </c>
      <c r="C112" s="1388"/>
      <c r="D112" s="1685" t="s">
        <v>639</v>
      </c>
      <c r="E112" s="1687">
        <f>BS!D58</f>
        <v>0</v>
      </c>
      <c r="F112" s="1687"/>
      <c r="G112" s="1688"/>
      <c r="H112" s="1380"/>
      <c r="I112" s="1688">
        <f>E112-E113</f>
        <v>0</v>
      </c>
      <c r="J112" s="1689"/>
      <c r="K112" s="1690"/>
      <c r="L112" s="1185"/>
      <c r="O112" s="1683" t="s">
        <v>625</v>
      </c>
    </row>
    <row r="113" spans="1:15" ht="28" customHeight="1">
      <c r="A113" s="1698"/>
      <c r="B113" s="1684"/>
      <c r="C113" s="1389"/>
      <c r="D113" s="1686"/>
      <c r="E113" s="1687">
        <f>BS!E58</f>
        <v>0</v>
      </c>
      <c r="F113" s="1687"/>
      <c r="G113" s="1688"/>
      <c r="H113" s="1374"/>
      <c r="I113" s="1379"/>
      <c r="J113" s="1688">
        <f>BS!G58</f>
        <v>0</v>
      </c>
      <c r="K113" s="1689"/>
      <c r="L113" s="1691"/>
      <c r="O113" s="1684"/>
    </row>
    <row r="114" spans="1:15" ht="28" customHeight="1">
      <c r="A114" s="1698" t="s">
        <v>544</v>
      </c>
      <c r="B114" s="1683" t="s">
        <v>2688</v>
      </c>
      <c r="C114" s="1388"/>
      <c r="D114" s="1685" t="s">
        <v>640</v>
      </c>
      <c r="E114" s="1687">
        <f>BS!D59</f>
        <v>0</v>
      </c>
      <c r="F114" s="1687"/>
      <c r="G114" s="1688"/>
      <c r="H114" s="1380"/>
      <c r="I114" s="1688">
        <f>E114-E115</f>
        <v>0</v>
      </c>
      <c r="J114" s="1689"/>
      <c r="K114" s="1690"/>
      <c r="L114" s="1185"/>
      <c r="O114" s="1683" t="s">
        <v>2269</v>
      </c>
    </row>
    <row r="115" spans="1:15" ht="28" customHeight="1">
      <c r="A115" s="1698"/>
      <c r="B115" s="1684"/>
      <c r="C115" s="1389"/>
      <c r="D115" s="1686"/>
      <c r="E115" s="1687">
        <f>BS!E59</f>
        <v>0</v>
      </c>
      <c r="F115" s="1687"/>
      <c r="G115" s="1688"/>
      <c r="H115" s="1374"/>
      <c r="I115" s="1379"/>
      <c r="J115" s="1688">
        <f>BS!G59</f>
        <v>0</v>
      </c>
      <c r="K115" s="1689"/>
      <c r="L115" s="1691"/>
      <c r="O115" s="1684"/>
    </row>
    <row r="116" spans="1:15" ht="28" customHeight="1">
      <c r="A116" s="1698" t="s">
        <v>547</v>
      </c>
      <c r="B116" s="1683" t="s">
        <v>2270</v>
      </c>
      <c r="C116" s="1388"/>
      <c r="D116" s="1685" t="s">
        <v>642</v>
      </c>
      <c r="E116" s="1687">
        <f>BS!D60</f>
        <v>0</v>
      </c>
      <c r="F116" s="1687"/>
      <c r="G116" s="1688"/>
      <c r="H116" s="1380"/>
      <c r="I116" s="1688">
        <f>E116-E117</f>
        <v>0</v>
      </c>
      <c r="J116" s="1689"/>
      <c r="K116" s="1690"/>
      <c r="L116" s="1185"/>
      <c r="O116" s="1683" t="s">
        <v>2270</v>
      </c>
    </row>
    <row r="117" spans="1:15" ht="28" customHeight="1">
      <c r="A117" s="1698"/>
      <c r="B117" s="1684"/>
      <c r="C117" s="1389"/>
      <c r="D117" s="1686"/>
      <c r="E117" s="1687">
        <f>BS!E60</f>
        <v>0</v>
      </c>
      <c r="F117" s="1687"/>
      <c r="G117" s="1688"/>
      <c r="H117" s="1374"/>
      <c r="I117" s="1379"/>
      <c r="J117" s="1688">
        <f>BS!G60</f>
        <v>0</v>
      </c>
      <c r="K117" s="1689"/>
      <c r="L117" s="1691"/>
      <c r="O117" s="1684"/>
    </row>
    <row r="118" spans="1:15" ht="28" customHeight="1">
      <c r="A118" s="1698" t="s">
        <v>568</v>
      </c>
      <c r="B118" s="1683" t="s">
        <v>629</v>
      </c>
      <c r="C118" s="1388"/>
      <c r="D118" s="1685" t="s">
        <v>644</v>
      </c>
      <c r="E118" s="1687">
        <f>BS!D61</f>
        <v>0</v>
      </c>
      <c r="F118" s="1687"/>
      <c r="G118" s="1688"/>
      <c r="H118" s="1380"/>
      <c r="I118" s="1688">
        <f>E118-E119</f>
        <v>0</v>
      </c>
      <c r="J118" s="1689"/>
      <c r="K118" s="1690"/>
      <c r="L118" s="1185"/>
      <c r="O118" s="1683" t="s">
        <v>629</v>
      </c>
    </row>
    <row r="119" spans="1:15" ht="28" customHeight="1">
      <c r="A119" s="1698"/>
      <c r="B119" s="1684"/>
      <c r="C119" s="1389"/>
      <c r="D119" s="1686"/>
      <c r="E119" s="1687">
        <f>BS!E61</f>
        <v>0</v>
      </c>
      <c r="F119" s="1687"/>
      <c r="G119" s="1688"/>
      <c r="H119" s="1374"/>
      <c r="I119" s="1379"/>
      <c r="J119" s="1688">
        <f>BS!G61</f>
        <v>0</v>
      </c>
      <c r="K119" s="1689"/>
      <c r="L119" s="1691"/>
      <c r="O119" s="1684"/>
    </row>
    <row r="120" spans="1:15" ht="28" customHeight="1">
      <c r="A120" s="1710" t="s">
        <v>631</v>
      </c>
      <c r="B120" s="1696" t="s">
        <v>2689</v>
      </c>
      <c r="C120" s="1391"/>
      <c r="D120" s="1653" t="s">
        <v>646</v>
      </c>
      <c r="E120" s="1655">
        <f>BS!D62</f>
        <v>644749</v>
      </c>
      <c r="F120" s="1655"/>
      <c r="G120" s="1656"/>
      <c r="H120" s="1383"/>
      <c r="I120" s="1656">
        <f>E120-E121</f>
        <v>635554</v>
      </c>
      <c r="J120" s="1657"/>
      <c r="K120" s="1658"/>
      <c r="L120" s="1182"/>
      <c r="O120" s="1696" t="s">
        <v>2271</v>
      </c>
    </row>
    <row r="121" spans="1:15" ht="28" customHeight="1">
      <c r="A121" s="1710"/>
      <c r="B121" s="1697"/>
      <c r="C121" s="1392"/>
      <c r="D121" s="1654"/>
      <c r="E121" s="1655">
        <f>BS!E62</f>
        <v>9195</v>
      </c>
      <c r="F121" s="1655"/>
      <c r="G121" s="1656"/>
      <c r="H121" s="1384"/>
      <c r="I121" s="1382"/>
      <c r="J121" s="1656">
        <f>BS!G62</f>
        <v>1440723</v>
      </c>
      <c r="K121" s="1657"/>
      <c r="L121" s="1659"/>
      <c r="O121" s="1697"/>
    </row>
    <row r="122" spans="1:15" ht="28" customHeight="1">
      <c r="A122" s="1710" t="s">
        <v>634</v>
      </c>
      <c r="B122" s="1696" t="s">
        <v>2690</v>
      </c>
      <c r="C122" s="1391"/>
      <c r="D122" s="1653" t="s">
        <v>648</v>
      </c>
      <c r="E122" s="1687">
        <f>BS!D63</f>
        <v>625303</v>
      </c>
      <c r="F122" s="1687"/>
      <c r="G122" s="1688"/>
      <c r="H122" s="1380"/>
      <c r="I122" s="1688">
        <f>E122-E123</f>
        <v>625303</v>
      </c>
      <c r="J122" s="1689"/>
      <c r="K122" s="1690"/>
      <c r="L122" s="1185"/>
      <c r="O122" s="1696" t="s">
        <v>2272</v>
      </c>
    </row>
    <row r="123" spans="1:15" ht="28" customHeight="1">
      <c r="A123" s="1710"/>
      <c r="B123" s="1697"/>
      <c r="C123" s="1392"/>
      <c r="D123" s="1654"/>
      <c r="E123" s="1687">
        <f>BS!E63</f>
        <v>0</v>
      </c>
      <c r="F123" s="1687"/>
      <c r="G123" s="1688"/>
      <c r="H123" s="1374"/>
      <c r="I123" s="1379"/>
      <c r="J123" s="1688">
        <f>BS!G63</f>
        <v>1395498</v>
      </c>
      <c r="K123" s="1689"/>
      <c r="L123" s="1691"/>
      <c r="O123" s="1697"/>
    </row>
    <row r="124" spans="1:15" ht="28" customHeight="1">
      <c r="A124" s="1698" t="s">
        <v>2265</v>
      </c>
      <c r="B124" s="1711" t="s">
        <v>2685</v>
      </c>
      <c r="C124" s="1245"/>
      <c r="D124" s="1685" t="s">
        <v>651</v>
      </c>
      <c r="E124" s="1687">
        <f>BS!D64</f>
        <v>0</v>
      </c>
      <c r="F124" s="1687"/>
      <c r="G124" s="1688"/>
      <c r="H124" s="1380"/>
      <c r="I124" s="1688">
        <f>E124-E125</f>
        <v>0</v>
      </c>
      <c r="J124" s="1689"/>
      <c r="K124" s="1690"/>
      <c r="L124" s="1185"/>
      <c r="O124" s="1711" t="s">
        <v>2641</v>
      </c>
    </row>
    <row r="125" spans="1:15" ht="28" customHeight="1">
      <c r="A125" s="1698"/>
      <c r="B125" s="1712"/>
      <c r="C125" s="1246"/>
      <c r="D125" s="1686"/>
      <c r="E125" s="1687">
        <f>BS!E64</f>
        <v>0</v>
      </c>
      <c r="F125" s="1687"/>
      <c r="G125" s="1688"/>
      <c r="H125" s="1374"/>
      <c r="I125" s="1379"/>
      <c r="J125" s="1688">
        <f>BS!G64</f>
        <v>134342</v>
      </c>
      <c r="K125" s="1689"/>
      <c r="L125" s="1691"/>
      <c r="O125" s="1712"/>
    </row>
    <row r="126" spans="1:15" s="1187" customFormat="1" ht="28" customHeight="1">
      <c r="A126" s="1698" t="s">
        <v>2266</v>
      </c>
      <c r="B126" s="1683" t="s">
        <v>2686</v>
      </c>
      <c r="C126" s="1388"/>
      <c r="D126" s="1685" t="s">
        <v>654</v>
      </c>
      <c r="E126" s="1687">
        <f>BS!D65</f>
        <v>0</v>
      </c>
      <c r="F126" s="1687"/>
      <c r="G126" s="1688"/>
      <c r="H126" s="1380"/>
      <c r="I126" s="1688">
        <f>E126-E127</f>
        <v>0</v>
      </c>
      <c r="J126" s="1689"/>
      <c r="K126" s="1690"/>
      <c r="L126" s="1185"/>
      <c r="O126" s="1683" t="s">
        <v>2642</v>
      </c>
    </row>
    <row r="127" spans="1:15" s="1187" customFormat="1" ht="41.25" customHeight="1" thickBot="1">
      <c r="A127" s="1699"/>
      <c r="B127" s="1700"/>
      <c r="C127" s="1397"/>
      <c r="D127" s="1701"/>
      <c r="E127" s="1702">
        <f>BS!E65</f>
        <v>0</v>
      </c>
      <c r="F127" s="1702"/>
      <c r="G127" s="1703"/>
      <c r="H127" s="1373"/>
      <c r="I127" s="1381"/>
      <c r="J127" s="1703">
        <f>BS!G65</f>
        <v>0</v>
      </c>
      <c r="K127" s="1704"/>
      <c r="L127" s="1705"/>
      <c r="O127" s="1700"/>
    </row>
    <row r="128" spans="1:15" ht="11.25" customHeight="1">
      <c r="A128" s="1660" t="s">
        <v>1446</v>
      </c>
      <c r="B128" s="1662" t="s">
        <v>1447</v>
      </c>
      <c r="C128" s="2468"/>
      <c r="D128" s="2470" t="s">
        <v>1448</v>
      </c>
      <c r="E128" s="1667" t="s">
        <v>1449</v>
      </c>
      <c r="F128" s="1668"/>
      <c r="G128" s="1668"/>
      <c r="H128" s="1668"/>
      <c r="I128" s="1668"/>
      <c r="J128" s="1669"/>
      <c r="K128" s="1670" t="s">
        <v>1450</v>
      </c>
      <c r="L128" s="1671"/>
      <c r="O128" s="1662" t="s">
        <v>1447</v>
      </c>
    </row>
    <row r="129" spans="1:15" ht="11.25" customHeight="1">
      <c r="A129" s="1661"/>
      <c r="B129" s="1663"/>
      <c r="C129" s="2469"/>
      <c r="D129" s="2471"/>
      <c r="E129" s="1674">
        <v>1</v>
      </c>
      <c r="F129" s="1663" t="s">
        <v>1451</v>
      </c>
      <c r="G129" s="1649"/>
      <c r="H129" s="1408"/>
      <c r="I129" s="1720" t="s">
        <v>1452</v>
      </c>
      <c r="J129" s="1676"/>
      <c r="K129" s="1672"/>
      <c r="L129" s="1673"/>
      <c r="O129" s="1663"/>
    </row>
    <row r="130" spans="1:15" ht="11.25" customHeight="1">
      <c r="A130" s="1661"/>
      <c r="B130" s="1663"/>
      <c r="C130" s="2469"/>
      <c r="D130" s="2471"/>
      <c r="E130" s="1674"/>
      <c r="F130" s="1663" t="s">
        <v>1453</v>
      </c>
      <c r="G130" s="1649"/>
      <c r="H130" s="1408"/>
      <c r="I130" s="1675"/>
      <c r="J130" s="1676"/>
      <c r="K130" s="1649" t="s">
        <v>1454</v>
      </c>
      <c r="L130" s="1650"/>
      <c r="O130" s="1663"/>
    </row>
    <row r="131" spans="1:15" s="1181" customFormat="1" ht="28" customHeight="1">
      <c r="A131" s="1698" t="s">
        <v>2267</v>
      </c>
      <c r="B131" s="1683" t="s">
        <v>2687</v>
      </c>
      <c r="C131" s="1388"/>
      <c r="D131" s="1685" t="s">
        <v>656</v>
      </c>
      <c r="E131" s="1687">
        <f>BS!D66</f>
        <v>625303</v>
      </c>
      <c r="F131" s="1687"/>
      <c r="G131" s="1688"/>
      <c r="H131" s="1380"/>
      <c r="I131" s="1688">
        <f>E131-E132</f>
        <v>625303</v>
      </c>
      <c r="J131" s="1689"/>
      <c r="K131" s="1690"/>
      <c r="L131" s="1185"/>
      <c r="O131" s="1683" t="s">
        <v>2268</v>
      </c>
    </row>
    <row r="132" spans="1:15" s="1181" customFormat="1" ht="28" customHeight="1">
      <c r="A132" s="1698"/>
      <c r="B132" s="1684"/>
      <c r="C132" s="1389"/>
      <c r="D132" s="1686"/>
      <c r="E132" s="1687">
        <f>BS!E66</f>
        <v>0</v>
      </c>
      <c r="F132" s="1687"/>
      <c r="G132" s="1688"/>
      <c r="H132" s="1374"/>
      <c r="I132" s="1379"/>
      <c r="J132" s="1688">
        <f>BS!G66</f>
        <v>1261156</v>
      </c>
      <c r="K132" s="1689"/>
      <c r="L132" s="1691"/>
      <c r="O132" s="1684"/>
    </row>
    <row r="133" spans="1:15" s="1181" customFormat="1" ht="28" customHeight="1">
      <c r="A133" s="1698" t="s">
        <v>532</v>
      </c>
      <c r="B133" s="1683" t="s">
        <v>619</v>
      </c>
      <c r="C133" s="1388"/>
      <c r="D133" s="1685" t="s">
        <v>658</v>
      </c>
      <c r="E133" s="1687">
        <f>BS!D67</f>
        <v>0</v>
      </c>
      <c r="F133" s="1687"/>
      <c r="G133" s="1688"/>
      <c r="H133" s="1380"/>
      <c r="I133" s="1688">
        <f>E133-E134</f>
        <v>0</v>
      </c>
      <c r="J133" s="1689"/>
      <c r="K133" s="1690"/>
      <c r="L133" s="1185"/>
      <c r="O133" s="1683" t="s">
        <v>619</v>
      </c>
    </row>
    <row r="134" spans="1:15" ht="28" customHeight="1">
      <c r="A134" s="1698"/>
      <c r="B134" s="1684"/>
      <c r="C134" s="1389"/>
      <c r="D134" s="1686"/>
      <c r="E134" s="1687">
        <f>BS!E67</f>
        <v>0</v>
      </c>
      <c r="F134" s="1687"/>
      <c r="G134" s="1688"/>
      <c r="H134" s="1374"/>
      <c r="I134" s="1379"/>
      <c r="J134" s="1688">
        <f>BS!G67</f>
        <v>0</v>
      </c>
      <c r="K134" s="1689"/>
      <c r="L134" s="1691"/>
      <c r="O134" s="1684"/>
    </row>
    <row r="135" spans="1:15" ht="28" customHeight="1">
      <c r="A135" s="1698" t="s">
        <v>535</v>
      </c>
      <c r="B135" s="1683" t="s">
        <v>2656</v>
      </c>
      <c r="C135" s="1388"/>
      <c r="D135" s="1685" t="s">
        <v>660</v>
      </c>
      <c r="E135" s="1687">
        <f>BS!D68</f>
        <v>0</v>
      </c>
      <c r="F135" s="1687"/>
      <c r="G135" s="1688"/>
      <c r="H135" s="1380"/>
      <c r="I135" s="1688">
        <f>E135-E136</f>
        <v>0</v>
      </c>
      <c r="J135" s="1689"/>
      <c r="K135" s="1690"/>
      <c r="L135" s="1185"/>
      <c r="O135" s="1683" t="s">
        <v>2656</v>
      </c>
    </row>
    <row r="136" spans="1:15" ht="28" customHeight="1">
      <c r="A136" s="1698"/>
      <c r="B136" s="1684"/>
      <c r="C136" s="1389"/>
      <c r="D136" s="1686"/>
      <c r="E136" s="1687">
        <f>BS!E68</f>
        <v>0</v>
      </c>
      <c r="F136" s="1687"/>
      <c r="G136" s="1688"/>
      <c r="H136" s="1374"/>
      <c r="I136" s="1379"/>
      <c r="J136" s="1688">
        <f>BS!G68</f>
        <v>0</v>
      </c>
      <c r="K136" s="1689"/>
      <c r="L136" s="1691"/>
      <c r="O136" s="1684"/>
    </row>
    <row r="137" spans="1:15" ht="28" customHeight="1">
      <c r="A137" s="1698" t="s">
        <v>538</v>
      </c>
      <c r="B137" s="1683" t="s">
        <v>2657</v>
      </c>
      <c r="C137" s="1388"/>
      <c r="D137" s="1685" t="s">
        <v>662</v>
      </c>
      <c r="E137" s="1687">
        <f>BS!D69</f>
        <v>0</v>
      </c>
      <c r="F137" s="1687"/>
      <c r="G137" s="1688"/>
      <c r="H137" s="1380"/>
      <c r="I137" s="1688">
        <f>E137-E138</f>
        <v>0</v>
      </c>
      <c r="J137" s="1689"/>
      <c r="K137" s="1690"/>
      <c r="L137" s="1185"/>
      <c r="O137" s="1683" t="s">
        <v>2657</v>
      </c>
    </row>
    <row r="138" spans="1:15" ht="28" customHeight="1">
      <c r="A138" s="1698"/>
      <c r="B138" s="1684"/>
      <c r="C138" s="1389"/>
      <c r="D138" s="1686"/>
      <c r="E138" s="1687">
        <f>BS!E69</f>
        <v>0</v>
      </c>
      <c r="F138" s="1687"/>
      <c r="G138" s="1688"/>
      <c r="H138" s="1374"/>
      <c r="I138" s="1379"/>
      <c r="J138" s="1688">
        <f>BS!G69</f>
        <v>0</v>
      </c>
      <c r="K138" s="1689"/>
      <c r="L138" s="1691"/>
      <c r="O138" s="1684"/>
    </row>
    <row r="139" spans="1:15" ht="28" customHeight="1">
      <c r="A139" s="1698" t="s">
        <v>541</v>
      </c>
      <c r="B139" s="1683" t="s">
        <v>641</v>
      </c>
      <c r="C139" s="1388"/>
      <c r="D139" s="1685" t="s">
        <v>665</v>
      </c>
      <c r="E139" s="1687">
        <f>BS!D70</f>
        <v>0</v>
      </c>
      <c r="F139" s="1687"/>
      <c r="G139" s="1688"/>
      <c r="H139" s="1380"/>
      <c r="I139" s="1688">
        <f>E139-E140</f>
        <v>0</v>
      </c>
      <c r="J139" s="1689"/>
      <c r="K139" s="1690"/>
      <c r="L139" s="1185"/>
      <c r="O139" s="1683" t="s">
        <v>641</v>
      </c>
    </row>
    <row r="140" spans="1:15" ht="28" customHeight="1">
      <c r="A140" s="1698"/>
      <c r="B140" s="1684"/>
      <c r="C140" s="1389"/>
      <c r="D140" s="1686"/>
      <c r="E140" s="1687">
        <f>BS!E70</f>
        <v>0</v>
      </c>
      <c r="F140" s="1687"/>
      <c r="G140" s="1688"/>
      <c r="H140" s="1374"/>
      <c r="I140" s="1379"/>
      <c r="J140" s="1688">
        <f>BS!G70</f>
        <v>0</v>
      </c>
      <c r="K140" s="1689"/>
      <c r="L140" s="1691"/>
      <c r="O140" s="1684"/>
    </row>
    <row r="141" spans="1:15" ht="28" customHeight="1">
      <c r="A141" s="1698" t="s">
        <v>544</v>
      </c>
      <c r="B141" s="1683" t="s">
        <v>2273</v>
      </c>
      <c r="C141" s="1388"/>
      <c r="D141" s="1685" t="s">
        <v>668</v>
      </c>
      <c r="E141" s="1687">
        <f>BS!D71</f>
        <v>0</v>
      </c>
      <c r="F141" s="1687"/>
      <c r="G141" s="1688"/>
      <c r="H141" s="1380"/>
      <c r="I141" s="1688">
        <f>E141-E142</f>
        <v>0</v>
      </c>
      <c r="J141" s="1689"/>
      <c r="K141" s="1690"/>
      <c r="L141" s="1185"/>
      <c r="O141" s="1683" t="s">
        <v>2273</v>
      </c>
    </row>
    <row r="142" spans="1:15" ht="28" customHeight="1">
      <c r="A142" s="1698"/>
      <c r="B142" s="1684"/>
      <c r="C142" s="1389"/>
      <c r="D142" s="1686"/>
      <c r="E142" s="1687">
        <f>BS!E71</f>
        <v>0</v>
      </c>
      <c r="F142" s="1687"/>
      <c r="G142" s="1688"/>
      <c r="H142" s="1374"/>
      <c r="I142" s="1379"/>
      <c r="J142" s="1688">
        <f>BS!G71</f>
        <v>0</v>
      </c>
      <c r="K142" s="1689"/>
      <c r="L142" s="1691"/>
      <c r="O142" s="1684"/>
    </row>
    <row r="143" spans="1:15" ht="28" customHeight="1">
      <c r="A143" s="1698" t="s">
        <v>547</v>
      </c>
      <c r="B143" s="1683" t="s">
        <v>2274</v>
      </c>
      <c r="C143" s="1388"/>
      <c r="D143" s="1685" t="s">
        <v>670</v>
      </c>
      <c r="E143" s="1687">
        <f>BS!D72</f>
        <v>0</v>
      </c>
      <c r="F143" s="1687"/>
      <c r="G143" s="1688"/>
      <c r="H143" s="1380"/>
      <c r="I143" s="1688">
        <f>E143-E144</f>
        <v>0</v>
      </c>
      <c r="J143" s="1689"/>
      <c r="K143" s="1690"/>
      <c r="L143" s="1185"/>
      <c r="O143" s="1683" t="s">
        <v>2274</v>
      </c>
    </row>
    <row r="144" spans="1:15" s="1187" customFormat="1" ht="28" customHeight="1">
      <c r="A144" s="1698"/>
      <c r="B144" s="1684"/>
      <c r="C144" s="1389"/>
      <c r="D144" s="1686"/>
      <c r="E144" s="1687">
        <f>BS!E72</f>
        <v>0</v>
      </c>
      <c r="F144" s="1687"/>
      <c r="G144" s="1688"/>
      <c r="H144" s="1374"/>
      <c r="I144" s="1379"/>
      <c r="J144" s="1688">
        <f>BS!G72</f>
        <v>41600</v>
      </c>
      <c r="K144" s="1689"/>
      <c r="L144" s="1691"/>
      <c r="O144" s="1684"/>
    </row>
    <row r="145" spans="1:15" s="1187" customFormat="1" ht="28" customHeight="1">
      <c r="A145" s="1698" t="s">
        <v>568</v>
      </c>
      <c r="B145" s="1683" t="s">
        <v>2269</v>
      </c>
      <c r="C145" s="1388"/>
      <c r="D145" s="1685" t="s">
        <v>672</v>
      </c>
      <c r="E145" s="1687">
        <f>BS!D73</f>
        <v>0</v>
      </c>
      <c r="F145" s="1687"/>
      <c r="G145" s="1688"/>
      <c r="H145" s="1380"/>
      <c r="I145" s="1688">
        <f>E145-E146</f>
        <v>0</v>
      </c>
      <c r="J145" s="1689"/>
      <c r="K145" s="1690"/>
      <c r="L145" s="1185"/>
      <c r="O145" s="1683" t="s">
        <v>2269</v>
      </c>
    </row>
    <row r="146" spans="1:15" ht="28" customHeight="1">
      <c r="A146" s="1698"/>
      <c r="B146" s="1684"/>
      <c r="C146" s="1389"/>
      <c r="D146" s="1686"/>
      <c r="E146" s="1687">
        <f>BS!E73</f>
        <v>0</v>
      </c>
      <c r="F146" s="1687"/>
      <c r="G146" s="1688"/>
      <c r="H146" s="1374"/>
      <c r="I146" s="1379"/>
      <c r="J146" s="1688">
        <f>BS!G73</f>
        <v>0</v>
      </c>
      <c r="K146" s="1689"/>
      <c r="L146" s="1691"/>
      <c r="O146" s="1684"/>
    </row>
    <row r="147" spans="1:15" ht="28" customHeight="1">
      <c r="A147" s="1698" t="s">
        <v>571</v>
      </c>
      <c r="B147" s="2485" t="s">
        <v>2275</v>
      </c>
      <c r="C147" s="1399"/>
      <c r="D147" s="1685" t="s">
        <v>674</v>
      </c>
      <c r="E147" s="1687">
        <f>BS!D74</f>
        <v>19446</v>
      </c>
      <c r="F147" s="1687"/>
      <c r="G147" s="1688"/>
      <c r="H147" s="1380"/>
      <c r="I147" s="1688">
        <f>E147-E148</f>
        <v>10251</v>
      </c>
      <c r="J147" s="1689"/>
      <c r="K147" s="1690"/>
      <c r="L147" s="1185"/>
      <c r="O147" s="2485" t="s">
        <v>2275</v>
      </c>
    </row>
    <row r="148" spans="1:15" s="1188" customFormat="1" ht="28" customHeight="1">
      <c r="A148" s="1698"/>
      <c r="B148" s="2486"/>
      <c r="C148" s="1400"/>
      <c r="D148" s="1686"/>
      <c r="E148" s="1687">
        <f>BS!E74</f>
        <v>9195</v>
      </c>
      <c r="F148" s="1687"/>
      <c r="G148" s="1688"/>
      <c r="H148" s="1374"/>
      <c r="I148" s="1379"/>
      <c r="J148" s="1688">
        <f>BS!G74</f>
        <v>3625</v>
      </c>
      <c r="K148" s="1689"/>
      <c r="L148" s="1691"/>
      <c r="O148" s="2486"/>
    </row>
    <row r="149" spans="1:15" s="1181" customFormat="1" ht="28" customHeight="1">
      <c r="A149" s="1710" t="s">
        <v>649</v>
      </c>
      <c r="B149" s="1696" t="s">
        <v>2691</v>
      </c>
      <c r="C149" s="1391"/>
      <c r="D149" s="1653" t="s">
        <v>681</v>
      </c>
      <c r="E149" s="1655">
        <f>BS!D75</f>
        <v>0</v>
      </c>
      <c r="F149" s="1655"/>
      <c r="G149" s="1656"/>
      <c r="H149" s="1383"/>
      <c r="I149" s="1656">
        <f>E149-E150</f>
        <v>0</v>
      </c>
      <c r="J149" s="1657"/>
      <c r="K149" s="1658"/>
      <c r="L149" s="1182"/>
      <c r="O149" s="1696" t="s">
        <v>2276</v>
      </c>
    </row>
    <row r="150" spans="1:15" s="1181" customFormat="1" ht="28" customHeight="1">
      <c r="A150" s="1710"/>
      <c r="B150" s="1697"/>
      <c r="C150" s="1392"/>
      <c r="D150" s="1654"/>
      <c r="E150" s="1655">
        <f>BS!E75</f>
        <v>0</v>
      </c>
      <c r="F150" s="1655"/>
      <c r="G150" s="1656"/>
      <c r="H150" s="1384"/>
      <c r="I150" s="1382"/>
      <c r="J150" s="1656">
        <f>BS!G75</f>
        <v>0</v>
      </c>
      <c r="K150" s="1657"/>
      <c r="L150" s="1659"/>
      <c r="O150" s="1697"/>
    </row>
    <row r="151" spans="1:15" s="1181" customFormat="1" ht="28" customHeight="1">
      <c r="A151" s="1698" t="s">
        <v>652</v>
      </c>
      <c r="B151" s="1683" t="s">
        <v>2692</v>
      </c>
      <c r="C151" s="1388"/>
      <c r="D151" s="1685" t="s">
        <v>683</v>
      </c>
      <c r="E151" s="1687">
        <f>BS!D76</f>
        <v>0</v>
      </c>
      <c r="F151" s="1687"/>
      <c r="G151" s="1688"/>
      <c r="H151" s="1380"/>
      <c r="I151" s="1688">
        <f>E151-E152</f>
        <v>0</v>
      </c>
      <c r="J151" s="1689"/>
      <c r="K151" s="1690"/>
      <c r="L151" s="1185"/>
      <c r="O151" s="1683" t="s">
        <v>2658</v>
      </c>
    </row>
    <row r="152" spans="1:15" ht="28" customHeight="1">
      <c r="A152" s="1698"/>
      <c r="B152" s="1684"/>
      <c r="C152" s="1389"/>
      <c r="D152" s="1686"/>
      <c r="E152" s="1687">
        <f>BS!E76</f>
        <v>0</v>
      </c>
      <c r="F152" s="1687"/>
      <c r="G152" s="1688"/>
      <c r="H152" s="1374"/>
      <c r="I152" s="1379"/>
      <c r="J152" s="1688">
        <f>BS!G76</f>
        <v>0</v>
      </c>
      <c r="K152" s="1689"/>
      <c r="L152" s="1691"/>
      <c r="O152" s="1684"/>
    </row>
    <row r="153" spans="1:15" ht="28" customHeight="1">
      <c r="A153" s="1698" t="s">
        <v>532</v>
      </c>
      <c r="B153" s="1683" t="s">
        <v>2693</v>
      </c>
      <c r="C153" s="1388"/>
      <c r="D153" s="1685" t="s">
        <v>685</v>
      </c>
      <c r="E153" s="1687">
        <f>BS!D77</f>
        <v>0</v>
      </c>
      <c r="F153" s="1687"/>
      <c r="G153" s="1688"/>
      <c r="H153" s="1380"/>
      <c r="I153" s="1688">
        <f>E153-E154</f>
        <v>0</v>
      </c>
      <c r="J153" s="1689"/>
      <c r="K153" s="1690"/>
      <c r="L153" s="1185"/>
      <c r="O153" s="1683" t="s">
        <v>2659</v>
      </c>
    </row>
    <row r="154" spans="1:15" ht="28" customHeight="1">
      <c r="A154" s="1698"/>
      <c r="B154" s="1684"/>
      <c r="C154" s="1389"/>
      <c r="D154" s="1686"/>
      <c r="E154" s="1687">
        <f>BS!E78</f>
        <v>0</v>
      </c>
      <c r="F154" s="1687"/>
      <c r="G154" s="1688"/>
      <c r="H154" s="1374"/>
      <c r="I154" s="1379"/>
      <c r="J154" s="1688">
        <f>BS!G77</f>
        <v>0</v>
      </c>
      <c r="K154" s="1689"/>
      <c r="L154" s="1691"/>
      <c r="O154" s="1684"/>
    </row>
    <row r="155" spans="1:15" ht="28" customHeight="1">
      <c r="A155" s="1698" t="s">
        <v>535</v>
      </c>
      <c r="B155" s="1683" t="s">
        <v>2277</v>
      </c>
      <c r="C155" s="1388"/>
      <c r="D155" s="1685" t="s">
        <v>687</v>
      </c>
      <c r="E155" s="1687">
        <f>BS!D78</f>
        <v>0</v>
      </c>
      <c r="F155" s="1687"/>
      <c r="G155" s="1688"/>
      <c r="H155" s="1380"/>
      <c r="I155" s="1688">
        <f>E155-E156</f>
        <v>0</v>
      </c>
      <c r="J155" s="1689"/>
      <c r="K155" s="1690"/>
      <c r="L155" s="1185"/>
      <c r="O155" s="1683" t="s">
        <v>2277</v>
      </c>
    </row>
    <row r="156" spans="1:15" ht="28" customHeight="1">
      <c r="A156" s="1698"/>
      <c r="B156" s="1684"/>
      <c r="C156" s="1389"/>
      <c r="D156" s="1686"/>
      <c r="E156" s="1687">
        <f>BS!E78</f>
        <v>0</v>
      </c>
      <c r="F156" s="1687"/>
      <c r="G156" s="1688"/>
      <c r="H156" s="1374"/>
      <c r="I156" s="1379"/>
      <c r="J156" s="1688">
        <f>BS!G78</f>
        <v>0</v>
      </c>
      <c r="K156" s="1689"/>
      <c r="L156" s="1691"/>
      <c r="O156" s="1684"/>
    </row>
    <row r="157" spans="1:15" ht="28" customHeight="1">
      <c r="A157" s="1698" t="s">
        <v>538</v>
      </c>
      <c r="B157" s="1683" t="s">
        <v>2278</v>
      </c>
      <c r="C157" s="1388"/>
      <c r="D157" s="1685" t="s">
        <v>689</v>
      </c>
      <c r="E157" s="1687">
        <f>BS!D79</f>
        <v>0</v>
      </c>
      <c r="F157" s="1687"/>
      <c r="G157" s="1688"/>
      <c r="H157" s="1380"/>
      <c r="I157" s="1688">
        <f>E157-E158</f>
        <v>0</v>
      </c>
      <c r="J157" s="1689"/>
      <c r="K157" s="1690"/>
      <c r="L157" s="1185"/>
      <c r="O157" s="1683" t="s">
        <v>2278</v>
      </c>
    </row>
    <row r="158" spans="1:15" ht="28" customHeight="1" thickBot="1">
      <c r="A158" s="1699"/>
      <c r="B158" s="1700"/>
      <c r="C158" s="1397"/>
      <c r="D158" s="1701"/>
      <c r="E158" s="1702">
        <f>BS!E79</f>
        <v>0</v>
      </c>
      <c r="F158" s="1702"/>
      <c r="G158" s="1703"/>
      <c r="H158" s="1373"/>
      <c r="I158" s="1381"/>
      <c r="J158" s="1703">
        <f>BS!G79</f>
        <v>0</v>
      </c>
      <c r="K158" s="1704"/>
      <c r="L158" s="1705"/>
      <c r="O158" s="1700"/>
    </row>
    <row r="159" spans="1:15" ht="11.25" customHeight="1">
      <c r="A159" s="1660" t="s">
        <v>1446</v>
      </c>
      <c r="B159" s="1662" t="s">
        <v>1447</v>
      </c>
      <c r="C159" s="2468"/>
      <c r="D159" s="2470" t="s">
        <v>1448</v>
      </c>
      <c r="E159" s="1667" t="s">
        <v>1449</v>
      </c>
      <c r="F159" s="1668"/>
      <c r="G159" s="1668"/>
      <c r="H159" s="1668"/>
      <c r="I159" s="1668"/>
      <c r="J159" s="1669"/>
      <c r="K159" s="1670" t="s">
        <v>1450</v>
      </c>
      <c r="L159" s="1671"/>
      <c r="O159" s="1662" t="s">
        <v>1447</v>
      </c>
    </row>
    <row r="160" spans="1:15" ht="11.25" customHeight="1">
      <c r="A160" s="1661"/>
      <c r="B160" s="1663"/>
      <c r="C160" s="2469"/>
      <c r="D160" s="2471"/>
      <c r="E160" s="1674">
        <v>1</v>
      </c>
      <c r="F160" s="1663" t="s">
        <v>1451</v>
      </c>
      <c r="G160" s="1649"/>
      <c r="H160" s="1408"/>
      <c r="I160" s="1720" t="s">
        <v>1452</v>
      </c>
      <c r="J160" s="1676"/>
      <c r="K160" s="1672"/>
      <c r="L160" s="1673"/>
      <c r="O160" s="1663"/>
    </row>
    <row r="161" spans="1:15" ht="12" customHeight="1">
      <c r="A161" s="1661"/>
      <c r="B161" s="1663"/>
      <c r="C161" s="2469"/>
      <c r="D161" s="2471"/>
      <c r="E161" s="1674"/>
      <c r="F161" s="1663" t="s">
        <v>1453</v>
      </c>
      <c r="G161" s="1649"/>
      <c r="H161" s="1408"/>
      <c r="I161" s="1675"/>
      <c r="J161" s="1676"/>
      <c r="K161" s="1649" t="s">
        <v>1454</v>
      </c>
      <c r="L161" s="1650"/>
      <c r="O161" s="1663"/>
    </row>
    <row r="162" spans="1:15" ht="28" customHeight="1">
      <c r="A162" s="1710" t="s">
        <v>787</v>
      </c>
      <c r="B162" s="1696" t="s">
        <v>2694</v>
      </c>
      <c r="C162" s="1391"/>
      <c r="D162" s="1653" t="s">
        <v>691</v>
      </c>
      <c r="E162" s="1655">
        <f>BS!D80</f>
        <v>1097984</v>
      </c>
      <c r="F162" s="1655"/>
      <c r="G162" s="1656"/>
      <c r="H162" s="1383"/>
      <c r="I162" s="1656">
        <f>E162-E163</f>
        <v>1097984</v>
      </c>
      <c r="J162" s="1657"/>
      <c r="K162" s="1658"/>
      <c r="L162" s="1182"/>
      <c r="O162" s="1696" t="s">
        <v>2279</v>
      </c>
    </row>
    <row r="163" spans="1:15" ht="28" customHeight="1">
      <c r="A163" s="1710"/>
      <c r="B163" s="2487"/>
      <c r="C163" s="1392"/>
      <c r="D163" s="1654"/>
      <c r="E163" s="1739">
        <f>BS!E80</f>
        <v>0</v>
      </c>
      <c r="F163" s="1739"/>
      <c r="G163" s="1740"/>
      <c r="H163" s="1258"/>
      <c r="I163" s="1395"/>
      <c r="J163" s="1656">
        <f>BS!G80</f>
        <v>299913</v>
      </c>
      <c r="K163" s="1657"/>
      <c r="L163" s="1659"/>
      <c r="O163" s="2487"/>
    </row>
    <row r="164" spans="1:15" ht="28" customHeight="1">
      <c r="A164" s="1698" t="s">
        <v>790</v>
      </c>
      <c r="B164" s="1683" t="s">
        <v>653</v>
      </c>
      <c r="C164" s="1388"/>
      <c r="D164" s="1685" t="s">
        <v>693</v>
      </c>
      <c r="E164" s="1687">
        <f>BS!D81</f>
        <v>354</v>
      </c>
      <c r="F164" s="1687"/>
      <c r="G164" s="1688"/>
      <c r="H164" s="1380"/>
      <c r="I164" s="1688">
        <f>E164-E165</f>
        <v>354</v>
      </c>
      <c r="J164" s="1737"/>
      <c r="K164" s="1738"/>
      <c r="L164" s="1185"/>
      <c r="O164" s="1683" t="s">
        <v>653</v>
      </c>
    </row>
    <row r="165" spans="1:15" s="1187" customFormat="1" ht="28" customHeight="1">
      <c r="A165" s="1698"/>
      <c r="B165" s="1684"/>
      <c r="C165" s="1389"/>
      <c r="D165" s="1686"/>
      <c r="E165" s="1687">
        <f>BS!E81</f>
        <v>0</v>
      </c>
      <c r="F165" s="1687"/>
      <c r="G165" s="1688"/>
      <c r="H165" s="1374"/>
      <c r="I165" s="1379"/>
      <c r="J165" s="1688">
        <f>BS!G81</f>
        <v>1088</v>
      </c>
      <c r="K165" s="1689"/>
      <c r="L165" s="1691"/>
      <c r="O165" s="1684"/>
    </row>
    <row r="166" spans="1:15" s="1187" customFormat="1" ht="28" customHeight="1">
      <c r="A166" s="1698" t="s">
        <v>532</v>
      </c>
      <c r="B166" s="1683" t="s">
        <v>655</v>
      </c>
      <c r="C166" s="1388"/>
      <c r="D166" s="1685" t="s">
        <v>695</v>
      </c>
      <c r="E166" s="1687">
        <f>BS!D82</f>
        <v>1097630</v>
      </c>
      <c r="F166" s="1687"/>
      <c r="G166" s="1688"/>
      <c r="H166" s="1380"/>
      <c r="I166" s="1688">
        <f>E166-E167</f>
        <v>1097630</v>
      </c>
      <c r="J166" s="1689"/>
      <c r="K166" s="1690"/>
      <c r="L166" s="1185"/>
      <c r="O166" s="1683" t="s">
        <v>655</v>
      </c>
    </row>
    <row r="167" spans="1:15" ht="28" customHeight="1">
      <c r="A167" s="1698"/>
      <c r="B167" s="1684"/>
      <c r="C167" s="1389"/>
      <c r="D167" s="1686"/>
      <c r="E167" s="1687">
        <f>BS!E82</f>
        <v>0</v>
      </c>
      <c r="F167" s="1687"/>
      <c r="G167" s="1688"/>
      <c r="H167" s="1374"/>
      <c r="I167" s="1379"/>
      <c r="J167" s="1688">
        <f>BS!G82</f>
        <v>298825</v>
      </c>
      <c r="K167" s="1689"/>
      <c r="L167" s="1691"/>
      <c r="O167" s="1684"/>
    </row>
    <row r="168" spans="1:15" ht="28" customHeight="1">
      <c r="A168" s="1710" t="s">
        <v>663</v>
      </c>
      <c r="B168" s="1696" t="s">
        <v>2695</v>
      </c>
      <c r="C168" s="1391"/>
      <c r="D168" s="1653" t="s">
        <v>697</v>
      </c>
      <c r="E168" s="1655">
        <f>BS!D83</f>
        <v>8178</v>
      </c>
      <c r="F168" s="1655"/>
      <c r="G168" s="1656"/>
      <c r="H168" s="1383"/>
      <c r="I168" s="1656">
        <f>E168-E169</f>
        <v>8178</v>
      </c>
      <c r="J168" s="1657"/>
      <c r="K168" s="1658"/>
      <c r="L168" s="1182"/>
      <c r="O168" s="1696" t="s">
        <v>2280</v>
      </c>
    </row>
    <row r="169" spans="1:15" s="1188" customFormat="1" ht="28" customHeight="1">
      <c r="A169" s="1710"/>
      <c r="B169" s="1697"/>
      <c r="C169" s="1392"/>
      <c r="D169" s="1654"/>
      <c r="E169" s="1655">
        <f>BS!E83</f>
        <v>0</v>
      </c>
      <c r="F169" s="1655"/>
      <c r="G169" s="1656"/>
      <c r="H169" s="1384"/>
      <c r="I169" s="1382"/>
      <c r="J169" s="1656">
        <f>BS!G83</f>
        <v>6058</v>
      </c>
      <c r="K169" s="1657"/>
      <c r="L169" s="1659"/>
      <c r="O169" s="1697"/>
    </row>
    <row r="170" spans="1:15" ht="28" customHeight="1">
      <c r="A170" s="1698" t="s">
        <v>666</v>
      </c>
      <c r="B170" s="1683" t="s">
        <v>667</v>
      </c>
      <c r="C170" s="1388"/>
      <c r="D170" s="1685" t="s">
        <v>699</v>
      </c>
      <c r="E170" s="1687">
        <f>BS!D84</f>
        <v>0</v>
      </c>
      <c r="F170" s="1687"/>
      <c r="G170" s="1688"/>
      <c r="H170" s="1380"/>
      <c r="I170" s="1688">
        <f>E170-E171</f>
        <v>0</v>
      </c>
      <c r="J170" s="1689"/>
      <c r="K170" s="1690"/>
      <c r="L170" s="1185"/>
      <c r="O170" s="1683" t="s">
        <v>667</v>
      </c>
    </row>
    <row r="171" spans="1:15" s="1187" customFormat="1" ht="28" customHeight="1">
      <c r="A171" s="1698"/>
      <c r="B171" s="1684"/>
      <c r="C171" s="1389"/>
      <c r="D171" s="1686"/>
      <c r="E171" s="1687">
        <f>BS!E84</f>
        <v>0</v>
      </c>
      <c r="F171" s="1687"/>
      <c r="G171" s="1688"/>
      <c r="H171" s="1374"/>
      <c r="I171" s="1379"/>
      <c r="J171" s="1688">
        <f>BS!G84</f>
        <v>0</v>
      </c>
      <c r="K171" s="1689"/>
      <c r="L171" s="1691"/>
      <c r="O171" s="1684"/>
    </row>
    <row r="172" spans="1:15" s="1187" customFormat="1" ht="28" customHeight="1">
      <c r="A172" s="1698" t="s">
        <v>532</v>
      </c>
      <c r="B172" s="1683" t="s">
        <v>669</v>
      </c>
      <c r="C172" s="1388"/>
      <c r="D172" s="1685" t="s">
        <v>701</v>
      </c>
      <c r="E172" s="1687">
        <f>BS!D85</f>
        <v>8178</v>
      </c>
      <c r="F172" s="1687"/>
      <c r="G172" s="1688"/>
      <c r="H172" s="1380"/>
      <c r="I172" s="1688">
        <f>E172-E173</f>
        <v>8178</v>
      </c>
      <c r="J172" s="1689"/>
      <c r="K172" s="1690"/>
      <c r="L172" s="1185"/>
      <c r="O172" s="1683" t="s">
        <v>669</v>
      </c>
    </row>
    <row r="173" spans="1:15" ht="28" customHeight="1">
      <c r="A173" s="1698"/>
      <c r="B173" s="1684"/>
      <c r="C173" s="1389"/>
      <c r="D173" s="1686"/>
      <c r="E173" s="1687">
        <f>BS!E85</f>
        <v>0</v>
      </c>
      <c r="F173" s="1687"/>
      <c r="G173" s="1688"/>
      <c r="H173" s="1374"/>
      <c r="I173" s="1379"/>
      <c r="J173" s="1688">
        <f>BS!G85</f>
        <v>6058</v>
      </c>
      <c r="K173" s="1689"/>
      <c r="L173" s="1691"/>
      <c r="O173" s="1684"/>
    </row>
    <row r="174" spans="1:15" ht="28" customHeight="1">
      <c r="A174" s="1698" t="s">
        <v>535</v>
      </c>
      <c r="B174" s="1683" t="s">
        <v>671</v>
      </c>
      <c r="C174" s="1388"/>
      <c r="D174" s="1685" t="s">
        <v>703</v>
      </c>
      <c r="E174" s="1687">
        <f>BS!D86</f>
        <v>0</v>
      </c>
      <c r="F174" s="1687"/>
      <c r="G174" s="1688"/>
      <c r="H174" s="1380"/>
      <c r="I174" s="1688">
        <f>E174-E175</f>
        <v>0</v>
      </c>
      <c r="J174" s="1689"/>
      <c r="K174" s="1690"/>
      <c r="L174" s="1185"/>
      <c r="O174" s="1683" t="s">
        <v>671</v>
      </c>
    </row>
    <row r="175" spans="1:15" s="1188" customFormat="1" ht="28" customHeight="1">
      <c r="A175" s="1698"/>
      <c r="B175" s="1684"/>
      <c r="C175" s="1389"/>
      <c r="D175" s="1686"/>
      <c r="E175" s="1687">
        <f>BS!E86</f>
        <v>0</v>
      </c>
      <c r="F175" s="1687"/>
      <c r="G175" s="1688"/>
      <c r="H175" s="1374"/>
      <c r="I175" s="1379"/>
      <c r="J175" s="1688">
        <f>BS!G86</f>
        <v>0</v>
      </c>
      <c r="K175" s="1689"/>
      <c r="L175" s="1691"/>
      <c r="O175" s="1684"/>
    </row>
    <row r="176" spans="1:15" ht="28" customHeight="1">
      <c r="A176" s="1698" t="s">
        <v>538</v>
      </c>
      <c r="B176" s="1683" t="s">
        <v>673</v>
      </c>
      <c r="C176" s="1388"/>
      <c r="D176" s="1685" t="s">
        <v>705</v>
      </c>
      <c r="E176" s="1687">
        <f>BS!D87</f>
        <v>0</v>
      </c>
      <c r="F176" s="1687"/>
      <c r="G176" s="1688"/>
      <c r="H176" s="1380"/>
      <c r="I176" s="1688">
        <f>E176-E177</f>
        <v>0</v>
      </c>
      <c r="J176" s="1689"/>
      <c r="K176" s="1690"/>
      <c r="L176" s="1185"/>
      <c r="O176" s="1683" t="s">
        <v>673</v>
      </c>
    </row>
    <row r="177" spans="1:25" s="1187" customFormat="1" ht="28" customHeight="1">
      <c r="A177" s="1698"/>
      <c r="B177" s="1684"/>
      <c r="C177" s="1222"/>
      <c r="D177" s="1686"/>
      <c r="E177" s="1687">
        <f>BS!E87</f>
        <v>0</v>
      </c>
      <c r="F177" s="1687"/>
      <c r="G177" s="1688"/>
      <c r="H177" s="1374"/>
      <c r="I177" s="1379"/>
      <c r="J177" s="1688">
        <f>BS!G87</f>
        <v>0</v>
      </c>
      <c r="K177" s="1689"/>
      <c r="L177" s="1691"/>
      <c r="O177" s="1684"/>
    </row>
    <row r="178" spans="1:25" s="1187" customFormat="1" ht="2.25" customHeight="1">
      <c r="A178" s="1252"/>
      <c r="B178" s="1222"/>
      <c r="C178" s="1222"/>
      <c r="D178" s="1259"/>
      <c r="E178" s="1394"/>
      <c r="F178" s="1380"/>
      <c r="G178" s="1394"/>
      <c r="H178" s="1380"/>
      <c r="I178" s="1394"/>
      <c r="J178" s="1394"/>
      <c r="K178" s="1394"/>
      <c r="L178" s="1375"/>
      <c r="O178" s="1222"/>
    </row>
    <row r="179" spans="1:25" s="1188" customFormat="1" ht="30" customHeight="1">
      <c r="A179" s="1194" t="s">
        <v>1446</v>
      </c>
      <c r="B179" s="1672" t="s">
        <v>1510</v>
      </c>
      <c r="C179" s="1733"/>
      <c r="D179" s="1733"/>
      <c r="E179" s="1733"/>
      <c r="F179" s="1734"/>
      <c r="G179" s="1206" t="s">
        <v>1448</v>
      </c>
      <c r="H179" s="1260"/>
      <c r="I179" s="1649" t="s">
        <v>1511</v>
      </c>
      <c r="J179" s="2488"/>
      <c r="K179" s="1649" t="s">
        <v>1512</v>
      </c>
      <c r="L179" s="1650"/>
    </row>
    <row r="180" spans="1:25" s="1188" customFormat="1" ht="27.75" customHeight="1">
      <c r="A180" s="1195"/>
      <c r="B180" s="1652" t="str">
        <f>V180</f>
        <v>SHAREHOLDERS' EQUITY AND LIABILITIES TOTAL l. 080 + l. 101 + l. 141</v>
      </c>
      <c r="C180" s="1652"/>
      <c r="D180" s="1745"/>
      <c r="E180" s="1745"/>
      <c r="F180" s="1745"/>
      <c r="G180" s="1207" t="s">
        <v>707</v>
      </c>
      <c r="H180" s="1261"/>
      <c r="I180" s="1656">
        <f>BS!D94</f>
        <v>4356932</v>
      </c>
      <c r="J180" s="1658"/>
      <c r="K180" s="1656">
        <f>BS!E94</f>
        <v>4805868</v>
      </c>
      <c r="L180" s="1659"/>
      <c r="Q180" s="1741"/>
      <c r="R180" s="1742"/>
      <c r="S180" s="2489"/>
      <c r="T180" s="2489"/>
      <c r="U180" s="2490"/>
      <c r="V180" s="2495" t="s">
        <v>2282</v>
      </c>
      <c r="W180" s="2496"/>
      <c r="X180" s="2496"/>
      <c r="Y180" s="2496"/>
    </row>
    <row r="181" spans="1:25" s="1188" customFormat="1" ht="27.75" customHeight="1">
      <c r="A181" s="1195" t="s">
        <v>523</v>
      </c>
      <c r="B181" s="1741" t="str">
        <f t="shared" ref="B181:B190" si="0">V181</f>
        <v>Shareholders' equity l. 081+ l. 085+ l. 086 + l. 087+ l. 090 + l. 093 + l. 097 +  l. 100</v>
      </c>
      <c r="C181" s="1742"/>
      <c r="D181" s="1742"/>
      <c r="E181" s="1742"/>
      <c r="F181" s="1743"/>
      <c r="G181" s="1208" t="s">
        <v>709</v>
      </c>
      <c r="H181" s="1250"/>
      <c r="I181" s="1656">
        <f>BS!D95</f>
        <v>3173413</v>
      </c>
      <c r="J181" s="1658"/>
      <c r="K181" s="1656">
        <f>BS!E95</f>
        <v>3192339</v>
      </c>
      <c r="L181" s="1659"/>
      <c r="Q181" s="1741"/>
      <c r="R181" s="1742"/>
      <c r="S181" s="1742"/>
      <c r="T181" s="1742"/>
      <c r="U181" s="1743"/>
      <c r="V181" s="2495" t="s">
        <v>2696</v>
      </c>
      <c r="W181" s="2496"/>
      <c r="X181" s="2496"/>
      <c r="Y181" s="2496"/>
    </row>
    <row r="182" spans="1:25" ht="27.75" customHeight="1">
      <c r="A182" s="1195" t="s">
        <v>526</v>
      </c>
      <c r="B182" s="1741" t="str">
        <f t="shared" si="0"/>
        <v>Registered capital total (l. 082 to l. 084)</v>
      </c>
      <c r="C182" s="1742"/>
      <c r="D182" s="1742"/>
      <c r="E182" s="1742"/>
      <c r="F182" s="1743"/>
      <c r="G182" s="1208" t="s">
        <v>711</v>
      </c>
      <c r="H182" s="1250"/>
      <c r="I182" s="1656">
        <f>BS!D96</f>
        <v>2506390</v>
      </c>
      <c r="J182" s="1658"/>
      <c r="K182" s="1656">
        <f>BS!E96</f>
        <v>2506390</v>
      </c>
      <c r="L182" s="1659"/>
      <c r="Q182" s="1741"/>
      <c r="R182" s="1742"/>
      <c r="S182" s="1742"/>
      <c r="T182" s="1742"/>
      <c r="U182" s="1743"/>
      <c r="V182" s="2495" t="s">
        <v>2697</v>
      </c>
      <c r="W182" s="2496"/>
      <c r="X182" s="2496"/>
      <c r="Y182" s="2496"/>
    </row>
    <row r="183" spans="1:25" s="1187" customFormat="1" ht="27.75" customHeight="1">
      <c r="A183" s="1197" t="s">
        <v>529</v>
      </c>
      <c r="B183" s="1746" t="str">
        <f t="shared" si="0"/>
        <v>Share capital (411 alebo +/- 491)</v>
      </c>
      <c r="C183" s="1747"/>
      <c r="D183" s="1747"/>
      <c r="E183" s="1747"/>
      <c r="F183" s="1748"/>
      <c r="G183" s="1209" t="s">
        <v>713</v>
      </c>
      <c r="H183" s="1251"/>
      <c r="I183" s="1688">
        <f>BS!D97</f>
        <v>2506390</v>
      </c>
      <c r="J183" s="1690"/>
      <c r="K183" s="1688">
        <f>BS!E97</f>
        <v>2506390</v>
      </c>
      <c r="L183" s="1691"/>
      <c r="Q183" s="1746"/>
      <c r="R183" s="1747"/>
      <c r="S183" s="1747"/>
      <c r="T183" s="1747"/>
      <c r="U183" s="1748"/>
      <c r="V183" s="2495" t="s">
        <v>686</v>
      </c>
      <c r="W183" s="2496"/>
      <c r="X183" s="2496"/>
      <c r="Y183" s="2496"/>
    </row>
    <row r="184" spans="1:25" s="1187" customFormat="1" ht="27.75" customHeight="1">
      <c r="A184" s="1195" t="s">
        <v>532</v>
      </c>
      <c r="B184" s="1746" t="str">
        <f t="shared" si="0"/>
        <v>Change in share capital +/- 419</v>
      </c>
      <c r="C184" s="1747"/>
      <c r="D184" s="1747"/>
      <c r="E184" s="1747"/>
      <c r="F184" s="1748"/>
      <c r="G184" s="1209" t="s">
        <v>715</v>
      </c>
      <c r="H184" s="1251"/>
      <c r="I184" s="1688">
        <f>BS!D98</f>
        <v>0</v>
      </c>
      <c r="J184" s="1690"/>
      <c r="K184" s="1688">
        <f>BS!E98</f>
        <v>0</v>
      </c>
      <c r="L184" s="1691"/>
      <c r="Q184" s="1746"/>
      <c r="R184" s="1747"/>
      <c r="S184" s="1747"/>
      <c r="T184" s="1747"/>
      <c r="U184" s="1748"/>
      <c r="V184" s="2495" t="s">
        <v>690</v>
      </c>
      <c r="W184" s="2496"/>
      <c r="X184" s="2496"/>
      <c r="Y184" s="2496"/>
    </row>
    <row r="185" spans="1:25" s="1187" customFormat="1" ht="27.75" customHeight="1">
      <c r="A185" s="1195" t="s">
        <v>535</v>
      </c>
      <c r="B185" s="1746" t="str">
        <f t="shared" si="0"/>
        <v>Receivables for subscribed share capital (/-/353)</v>
      </c>
      <c r="C185" s="1747"/>
      <c r="D185" s="1747"/>
      <c r="E185" s="1747"/>
      <c r="F185" s="1748"/>
      <c r="G185" s="1209" t="s">
        <v>718</v>
      </c>
      <c r="H185" s="1251"/>
      <c r="I185" s="1688">
        <f>BS!D99</f>
        <v>0</v>
      </c>
      <c r="J185" s="1690"/>
      <c r="K185" s="1688">
        <f>BS!E99</f>
        <v>0</v>
      </c>
      <c r="L185" s="1691"/>
      <c r="Q185" s="1746"/>
      <c r="R185" s="1747"/>
      <c r="S185" s="1747"/>
      <c r="T185" s="1747"/>
      <c r="U185" s="1748"/>
      <c r="V185" s="2495" t="s">
        <v>692</v>
      </c>
      <c r="W185" s="2496"/>
      <c r="X185" s="2496"/>
      <c r="Y185" s="2496"/>
    </row>
    <row r="186" spans="1:25" ht="27.75" customHeight="1">
      <c r="A186" s="1195" t="s">
        <v>550</v>
      </c>
      <c r="B186" s="1741" t="str">
        <f t="shared" si="0"/>
        <v>Share premium (412)</v>
      </c>
      <c r="C186" s="1742"/>
      <c r="D186" s="1742"/>
      <c r="E186" s="1742"/>
      <c r="F186" s="1743"/>
      <c r="G186" s="1208" t="s">
        <v>721</v>
      </c>
      <c r="H186" s="1250"/>
      <c r="I186" s="1656">
        <f>BS!D100</f>
        <v>0</v>
      </c>
      <c r="J186" s="1658"/>
      <c r="K186" s="1656">
        <f>BS!E100</f>
        <v>0</v>
      </c>
      <c r="L186" s="1659"/>
      <c r="Q186" s="1741"/>
      <c r="R186" s="1742"/>
      <c r="S186" s="1742"/>
      <c r="T186" s="1742"/>
      <c r="U186" s="1743"/>
      <c r="V186" s="2495" t="s">
        <v>696</v>
      </c>
      <c r="W186" s="2496"/>
      <c r="X186" s="2496"/>
      <c r="Y186" s="2496"/>
    </row>
    <row r="187" spans="1:25" ht="27.75" customHeight="1">
      <c r="A187" s="1195" t="s">
        <v>574</v>
      </c>
      <c r="B187" s="1741" t="str">
        <f t="shared" si="0"/>
        <v>Other capital funds (413)</v>
      </c>
      <c r="C187" s="1742"/>
      <c r="D187" s="1742"/>
      <c r="E187" s="1742"/>
      <c r="F187" s="1743"/>
      <c r="G187" s="1208" t="s">
        <v>723</v>
      </c>
      <c r="H187" s="1250"/>
      <c r="I187" s="1656">
        <f>BS!D101</f>
        <v>0</v>
      </c>
      <c r="J187" s="1658"/>
      <c r="K187" s="1656">
        <f>BS!E101</f>
        <v>0</v>
      </c>
      <c r="L187" s="1659"/>
      <c r="Q187" s="1741"/>
      <c r="R187" s="1742"/>
      <c r="S187" s="1742"/>
      <c r="T187" s="1742"/>
      <c r="U187" s="1743"/>
      <c r="V187" s="2495" t="s">
        <v>698</v>
      </c>
      <c r="W187" s="2496"/>
      <c r="X187" s="2496"/>
      <c r="Y187" s="2496"/>
    </row>
    <row r="188" spans="1:25" ht="27.75" customHeight="1">
      <c r="A188" s="1195" t="s">
        <v>716</v>
      </c>
      <c r="B188" s="1741" t="str">
        <f t="shared" si="0"/>
        <v>Legal reserve funds l. 088 + l. 089</v>
      </c>
      <c r="C188" s="1742"/>
      <c r="D188" s="1742"/>
      <c r="E188" s="1742"/>
      <c r="F188" s="1743"/>
      <c r="G188" s="1208" t="s">
        <v>726</v>
      </c>
      <c r="H188" s="1250"/>
      <c r="I188" s="1656">
        <f>BS!D102</f>
        <v>115550</v>
      </c>
      <c r="J188" s="1658"/>
      <c r="K188" s="1656">
        <f>BS!E102</f>
        <v>107571</v>
      </c>
      <c r="L188" s="1659"/>
      <c r="Q188" s="1741"/>
      <c r="R188" s="1742"/>
      <c r="S188" s="1742"/>
      <c r="T188" s="1742"/>
      <c r="U188" s="1743"/>
      <c r="V188" s="2495" t="s">
        <v>2285</v>
      </c>
      <c r="W188" s="2496"/>
      <c r="X188" s="2496"/>
      <c r="Y188" s="2496"/>
    </row>
    <row r="189" spans="1:25" ht="27.75" customHeight="1">
      <c r="A189" s="1197" t="s">
        <v>719</v>
      </c>
      <c r="B189" s="1746" t="str">
        <f t="shared" si="0"/>
        <v>Legal reserve fund  and non-distributable fund (417A, 418, 421A, 422)</v>
      </c>
      <c r="C189" s="1747"/>
      <c r="D189" s="1747"/>
      <c r="E189" s="1747"/>
      <c r="F189" s="1748"/>
      <c r="G189" s="1209" t="s">
        <v>728</v>
      </c>
      <c r="H189" s="1251"/>
      <c r="I189" s="1688">
        <f>BS!D103</f>
        <v>115550</v>
      </c>
      <c r="J189" s="1690"/>
      <c r="K189" s="1688">
        <f>BS!E103</f>
        <v>107571</v>
      </c>
      <c r="L189" s="1691"/>
      <c r="Q189" s="1746"/>
      <c r="R189" s="1747"/>
      <c r="S189" s="1747"/>
      <c r="T189" s="1747"/>
      <c r="U189" s="1748"/>
      <c r="V189" s="2495" t="s">
        <v>2286</v>
      </c>
      <c r="W189" s="2496"/>
      <c r="X189" s="2496"/>
      <c r="Y189" s="2496"/>
    </row>
    <row r="190" spans="1:25" s="1187" customFormat="1" ht="27.75" customHeight="1" thickBot="1">
      <c r="A190" s="1364" t="s">
        <v>532</v>
      </c>
      <c r="B190" s="1749" t="str">
        <f t="shared" si="0"/>
        <v>Reserve fund on own shares and interests (417A, 421A)</v>
      </c>
      <c r="C190" s="1750"/>
      <c r="D190" s="1750"/>
      <c r="E190" s="1750"/>
      <c r="F190" s="1751"/>
      <c r="G190" s="1365" t="s">
        <v>730</v>
      </c>
      <c r="H190" s="1366"/>
      <c r="I190" s="1703">
        <f>BS!D104</f>
        <v>0</v>
      </c>
      <c r="J190" s="1752"/>
      <c r="K190" s="1703">
        <f>BS!E104</f>
        <v>0</v>
      </c>
      <c r="L190" s="1705"/>
      <c r="Q190" s="1749"/>
      <c r="R190" s="1750"/>
      <c r="S190" s="1750"/>
      <c r="T190" s="1750"/>
      <c r="U190" s="1751"/>
      <c r="V190" s="2495" t="s">
        <v>2287</v>
      </c>
      <c r="W190" s="2496"/>
      <c r="X190" s="2496"/>
      <c r="Y190" s="2496"/>
    </row>
    <row r="191" spans="1:25" s="1187" customFormat="1" ht="27.75" customHeight="1">
      <c r="A191" s="1361" t="s">
        <v>1446</v>
      </c>
      <c r="B191" s="1667" t="s">
        <v>1510</v>
      </c>
      <c r="C191" s="1668"/>
      <c r="D191" s="1668"/>
      <c r="E191" s="1668"/>
      <c r="F191" s="1669"/>
      <c r="G191" s="1362" t="s">
        <v>1448</v>
      </c>
      <c r="H191" s="1363"/>
      <c r="I191" s="1667" t="s">
        <v>1511</v>
      </c>
      <c r="J191" s="1669"/>
      <c r="K191" s="1667" t="s">
        <v>1512</v>
      </c>
      <c r="L191" s="1744"/>
      <c r="Q191" s="1667" t="s">
        <v>1510</v>
      </c>
      <c r="R191" s="1668"/>
      <c r="S191" s="1668"/>
      <c r="T191" s="1668"/>
      <c r="U191" s="1669"/>
      <c r="V191" s="2495"/>
      <c r="W191" s="2496"/>
      <c r="X191" s="2496"/>
      <c r="Y191" s="2496"/>
    </row>
    <row r="192" spans="1:25" ht="27.75" customHeight="1">
      <c r="A192" s="1195" t="s">
        <v>724</v>
      </c>
      <c r="B192" s="1741" t="str">
        <f>V192</f>
        <v>Funds created from profit total (l. 091 + l. 092)</v>
      </c>
      <c r="C192" s="1742"/>
      <c r="D192" s="1742"/>
      <c r="E192" s="1742"/>
      <c r="F192" s="1743"/>
      <c r="G192" s="1208" t="s">
        <v>732</v>
      </c>
      <c r="H192" s="1250"/>
      <c r="I192" s="1656">
        <f>BS!D105</f>
        <v>0</v>
      </c>
      <c r="J192" s="1658"/>
      <c r="K192" s="1656">
        <f>BS!E105</f>
        <v>0</v>
      </c>
      <c r="L192" s="1659"/>
      <c r="Q192" s="1741"/>
      <c r="R192" s="1742"/>
      <c r="S192" s="1742"/>
      <c r="T192" s="1742"/>
      <c r="U192" s="1743"/>
      <c r="V192" s="2495" t="s">
        <v>2288</v>
      </c>
      <c r="W192" s="2496"/>
      <c r="X192" s="2496"/>
      <c r="Y192" s="2496"/>
    </row>
    <row r="193" spans="1:25" ht="27.75" customHeight="1">
      <c r="A193" s="1197" t="s">
        <v>2289</v>
      </c>
      <c r="B193" s="1746" t="str">
        <f t="shared" ref="B193:B219" si="1">V193</f>
        <v>Statutory funds (423, 42X)</v>
      </c>
      <c r="C193" s="1747"/>
      <c r="D193" s="1747"/>
      <c r="E193" s="1747"/>
      <c r="F193" s="1748"/>
      <c r="G193" s="1209" t="s">
        <v>734</v>
      </c>
      <c r="H193" s="1251"/>
      <c r="I193" s="1688">
        <f>BS!D106</f>
        <v>0</v>
      </c>
      <c r="J193" s="1690"/>
      <c r="K193" s="1688">
        <f>BS!E106</f>
        <v>0</v>
      </c>
      <c r="L193" s="1691"/>
      <c r="Q193" s="1746"/>
      <c r="R193" s="1747"/>
      <c r="S193" s="1747"/>
      <c r="T193" s="1747"/>
      <c r="U193" s="1748"/>
      <c r="V193" s="2495" t="s">
        <v>2290</v>
      </c>
      <c r="W193" s="2496"/>
      <c r="X193" s="2496"/>
      <c r="Y193" s="2496"/>
    </row>
    <row r="194" spans="1:25" ht="27.75" customHeight="1">
      <c r="A194" s="1195" t="s">
        <v>532</v>
      </c>
      <c r="B194" s="1746" t="str">
        <f t="shared" si="1"/>
        <v>Other funds (427, 42X)</v>
      </c>
      <c r="C194" s="1747"/>
      <c r="D194" s="1747"/>
      <c r="E194" s="1747"/>
      <c r="F194" s="1748"/>
      <c r="G194" s="1209" t="s">
        <v>736</v>
      </c>
      <c r="H194" s="1251"/>
      <c r="I194" s="1688">
        <f>BS!D107</f>
        <v>0</v>
      </c>
      <c r="J194" s="1690"/>
      <c r="K194" s="1688">
        <f>BS!E107</f>
        <v>0</v>
      </c>
      <c r="L194" s="1691"/>
      <c r="Q194" s="1746"/>
      <c r="R194" s="1747"/>
      <c r="S194" s="1747"/>
      <c r="T194" s="1747"/>
      <c r="U194" s="1748"/>
      <c r="V194" s="2495" t="s">
        <v>2291</v>
      </c>
      <c r="W194" s="2496"/>
      <c r="X194" s="2496"/>
      <c r="Y194" s="2496"/>
    </row>
    <row r="195" spans="1:25" ht="27.75" customHeight="1">
      <c r="A195" s="1195" t="s">
        <v>2292</v>
      </c>
      <c r="B195" s="1741" t="str">
        <f t="shared" si="1"/>
        <v>Revaluation reserves total (l. 094 to l. 096)</v>
      </c>
      <c r="C195" s="1742"/>
      <c r="D195" s="1742"/>
      <c r="E195" s="1742"/>
      <c r="F195" s="1743"/>
      <c r="G195" s="1208" t="s">
        <v>738</v>
      </c>
      <c r="H195" s="1250"/>
      <c r="I195" s="1656">
        <f>BS!D108</f>
        <v>0</v>
      </c>
      <c r="J195" s="1658"/>
      <c r="K195" s="1656">
        <f>BS!E108</f>
        <v>0</v>
      </c>
      <c r="L195" s="1659"/>
      <c r="Q195" s="1741"/>
      <c r="R195" s="1742"/>
      <c r="S195" s="1742"/>
      <c r="T195" s="1742"/>
      <c r="U195" s="1743"/>
      <c r="V195" s="2495" t="s">
        <v>2293</v>
      </c>
      <c r="W195" s="2496"/>
      <c r="X195" s="2496"/>
      <c r="Y195" s="2496"/>
    </row>
    <row r="196" spans="1:25" ht="27.75" customHeight="1">
      <c r="A196" s="1197" t="s">
        <v>2294</v>
      </c>
      <c r="B196" s="1746" t="str">
        <f t="shared" si="1"/>
        <v>Revaluation reserve from valuation of assets and liabilities (+/- 414)</v>
      </c>
      <c r="C196" s="1747"/>
      <c r="D196" s="1747"/>
      <c r="E196" s="1747"/>
      <c r="F196" s="1748"/>
      <c r="G196" s="1209" t="s">
        <v>740</v>
      </c>
      <c r="H196" s="1251"/>
      <c r="I196" s="1688">
        <f>BS!D109</f>
        <v>0</v>
      </c>
      <c r="J196" s="1690"/>
      <c r="K196" s="1688">
        <f>BS!E109</f>
        <v>0</v>
      </c>
      <c r="L196" s="1691"/>
      <c r="Q196" s="1746"/>
      <c r="R196" s="1747"/>
      <c r="S196" s="1747"/>
      <c r="T196" s="1747"/>
      <c r="U196" s="1748"/>
      <c r="V196" s="2495" t="s">
        <v>2295</v>
      </c>
      <c r="W196" s="2496"/>
      <c r="X196" s="2496"/>
      <c r="Y196" s="2496"/>
    </row>
    <row r="197" spans="1:25" ht="27.75" customHeight="1">
      <c r="A197" s="1197" t="s">
        <v>532</v>
      </c>
      <c r="B197" s="1746" t="str">
        <f t="shared" si="1"/>
        <v>Investments revaluation reserve  (+/- 415)</v>
      </c>
      <c r="C197" s="1747"/>
      <c r="D197" s="1747"/>
      <c r="E197" s="1747"/>
      <c r="F197" s="1748"/>
      <c r="G197" s="1209" t="s">
        <v>742</v>
      </c>
      <c r="H197" s="1251"/>
      <c r="I197" s="1688">
        <f>BS!D110</f>
        <v>0</v>
      </c>
      <c r="J197" s="1690"/>
      <c r="K197" s="1688">
        <f>BS!E110</f>
        <v>0</v>
      </c>
      <c r="L197" s="1691"/>
      <c r="Q197" s="1746"/>
      <c r="R197" s="1747"/>
      <c r="S197" s="1747"/>
      <c r="T197" s="1747"/>
      <c r="U197" s="1748"/>
      <c r="V197" s="2495" t="s">
        <v>704</v>
      </c>
      <c r="W197" s="2496"/>
      <c r="X197" s="2496"/>
      <c r="Y197" s="2496"/>
    </row>
    <row r="198" spans="1:25" s="1187" customFormat="1" ht="27.75" customHeight="1">
      <c r="A198" s="1197" t="s">
        <v>535</v>
      </c>
      <c r="B198" s="1746" t="str">
        <f t="shared" si="1"/>
        <v>Revaluation reserve for mergers and demergers (+/-416)</v>
      </c>
      <c r="C198" s="1747"/>
      <c r="D198" s="1747"/>
      <c r="E198" s="1747"/>
      <c r="F198" s="1748"/>
      <c r="G198" s="1209" t="s">
        <v>743</v>
      </c>
      <c r="H198" s="1251"/>
      <c r="I198" s="1688">
        <f>BS!D111</f>
        <v>0</v>
      </c>
      <c r="J198" s="1690"/>
      <c r="K198" s="1688">
        <f>BS!E111</f>
        <v>0</v>
      </c>
      <c r="L198" s="1691"/>
      <c r="Q198" s="1746"/>
      <c r="R198" s="1747"/>
      <c r="S198" s="1747"/>
      <c r="T198" s="1747"/>
      <c r="U198" s="1748"/>
      <c r="V198" s="2495" t="s">
        <v>706</v>
      </c>
      <c r="W198" s="2496"/>
      <c r="X198" s="2496"/>
      <c r="Y198" s="2496"/>
    </row>
    <row r="199" spans="1:25" ht="27.75" customHeight="1">
      <c r="A199" s="1195" t="s">
        <v>2296</v>
      </c>
      <c r="B199" s="1741" t="str">
        <f t="shared" si="1"/>
        <v>Retained earnings l. 098+ l. 099</v>
      </c>
      <c r="C199" s="1742"/>
      <c r="D199" s="1742"/>
      <c r="E199" s="1742"/>
      <c r="F199" s="1743"/>
      <c r="G199" s="1208" t="s">
        <v>745</v>
      </c>
      <c r="H199" s="1250"/>
      <c r="I199" s="1656">
        <f>BS!D112</f>
        <v>159039</v>
      </c>
      <c r="J199" s="1658"/>
      <c r="K199" s="1656">
        <f>BS!E112</f>
        <v>418803</v>
      </c>
      <c r="L199" s="1659"/>
      <c r="Q199" s="1741"/>
      <c r="R199" s="1742"/>
      <c r="S199" s="1742"/>
      <c r="T199" s="1742"/>
      <c r="U199" s="1743"/>
      <c r="V199" s="2495" t="s">
        <v>2698</v>
      </c>
      <c r="W199" s="2496"/>
      <c r="X199" s="2496"/>
      <c r="Y199" s="2496"/>
    </row>
    <row r="200" spans="1:25" ht="27.75" customHeight="1">
      <c r="A200" s="1197" t="s">
        <v>2298</v>
      </c>
      <c r="B200" s="1746" t="str">
        <f t="shared" si="1"/>
        <v>Retained profits from previous years (428)</v>
      </c>
      <c r="C200" s="1747"/>
      <c r="D200" s="1747"/>
      <c r="E200" s="1747"/>
      <c r="F200" s="1748"/>
      <c r="G200" s="1209" t="s">
        <v>747</v>
      </c>
      <c r="H200" s="1251"/>
      <c r="I200" s="1688">
        <f>BS!D113</f>
        <v>159039</v>
      </c>
      <c r="J200" s="1690"/>
      <c r="K200" s="1688">
        <f>BS!E113</f>
        <v>418803</v>
      </c>
      <c r="L200" s="1691"/>
      <c r="Q200" s="1746"/>
      <c r="R200" s="1747"/>
      <c r="S200" s="1747"/>
      <c r="T200" s="1747"/>
      <c r="U200" s="1748"/>
      <c r="V200" s="2495" t="s">
        <v>720</v>
      </c>
      <c r="W200" s="2496"/>
      <c r="X200" s="2496"/>
      <c r="Y200" s="2496"/>
    </row>
    <row r="201" spans="1:25" ht="27.75" customHeight="1">
      <c r="A201" s="1197" t="s">
        <v>532</v>
      </c>
      <c r="B201" s="1746" t="str">
        <f t="shared" si="1"/>
        <v>Accumulated loss carried forward (/-/429)</v>
      </c>
      <c r="C201" s="1747"/>
      <c r="D201" s="1747"/>
      <c r="E201" s="1747"/>
      <c r="F201" s="1748"/>
      <c r="G201" s="1209" t="s">
        <v>749</v>
      </c>
      <c r="H201" s="1251"/>
      <c r="I201" s="1688">
        <f>BS!D114</f>
        <v>0</v>
      </c>
      <c r="J201" s="1690"/>
      <c r="K201" s="1688">
        <f>BS!E114</f>
        <v>0</v>
      </c>
      <c r="L201" s="1691"/>
      <c r="Q201" s="1746"/>
      <c r="R201" s="1747"/>
      <c r="S201" s="1747"/>
      <c r="T201" s="1747"/>
      <c r="U201" s="1748"/>
      <c r="V201" s="2495" t="s">
        <v>722</v>
      </c>
      <c r="W201" s="2496"/>
      <c r="X201" s="2496"/>
      <c r="Y201" s="2496"/>
    </row>
    <row r="202" spans="1:25" s="1187" customFormat="1" ht="31.5" customHeight="1">
      <c r="A202" s="1195" t="s">
        <v>2299</v>
      </c>
      <c r="B202" s="1741" t="str">
        <f t="shared" si="1"/>
        <v>Profit or loss from current period /+-/ l. 001 - (l. 081 + l. 085 + l. 086 + l. 087 + l. 090 + l. 093 + l. 097 + l. 101 + l. 141)</v>
      </c>
      <c r="C202" s="1742"/>
      <c r="D202" s="1742"/>
      <c r="E202" s="1742"/>
      <c r="F202" s="1743"/>
      <c r="G202" s="1208" t="s">
        <v>751</v>
      </c>
      <c r="H202" s="1250"/>
      <c r="I202" s="1656">
        <f>BS!D115</f>
        <v>392434</v>
      </c>
      <c r="J202" s="1658"/>
      <c r="K202" s="1656">
        <f>BS!E115</f>
        <v>159575</v>
      </c>
      <c r="L202" s="1659"/>
      <c r="Q202" s="1741"/>
      <c r="R202" s="1742"/>
      <c r="S202" s="1742"/>
      <c r="T202" s="1742"/>
      <c r="U202" s="1743"/>
      <c r="V202" s="2495" t="s">
        <v>2699</v>
      </c>
      <c r="W202" s="2496"/>
      <c r="X202" s="2496"/>
      <c r="Y202" s="2496"/>
    </row>
    <row r="203" spans="1:25" ht="27.75" customHeight="1">
      <c r="A203" s="1195" t="s">
        <v>594</v>
      </c>
      <c r="B203" s="1741" t="str">
        <f t="shared" si="1"/>
        <v>Liabilities l. 102 + l. 118 + l. 121 + l. 122 + l. 136 + l. 139 + l. 140</v>
      </c>
      <c r="C203" s="1742"/>
      <c r="D203" s="1742"/>
      <c r="E203" s="1742"/>
      <c r="F203" s="1743"/>
      <c r="G203" s="1208" t="s">
        <v>753</v>
      </c>
      <c r="H203" s="1250"/>
      <c r="I203" s="1656">
        <f>BS!D116</f>
        <v>1183519</v>
      </c>
      <c r="J203" s="1658"/>
      <c r="K203" s="1656">
        <f>BS!E116</f>
        <v>1613529</v>
      </c>
      <c r="L203" s="1659"/>
      <c r="Q203" s="1741"/>
      <c r="R203" s="1742"/>
      <c r="S203" s="1742"/>
      <c r="T203" s="1742"/>
      <c r="U203" s="1743"/>
      <c r="V203" s="2495" t="s">
        <v>2700</v>
      </c>
      <c r="W203" s="2496"/>
      <c r="X203" s="2496"/>
      <c r="Y203" s="2496"/>
    </row>
    <row r="204" spans="1:25" ht="27.75" customHeight="1">
      <c r="A204" s="1195" t="s">
        <v>597</v>
      </c>
      <c r="B204" s="1741" t="str">
        <f t="shared" si="1"/>
        <v>Non-current liabilities total (l. 103 + l. 107 to l. 117)</v>
      </c>
      <c r="C204" s="1742"/>
      <c r="D204" s="1742"/>
      <c r="E204" s="1742"/>
      <c r="F204" s="1743"/>
      <c r="G204" s="1208" t="s">
        <v>755</v>
      </c>
      <c r="H204" s="1250"/>
      <c r="I204" s="1656">
        <f>BS!D117</f>
        <v>226060</v>
      </c>
      <c r="J204" s="1658"/>
      <c r="K204" s="1656">
        <f>BS!E117</f>
        <v>314230</v>
      </c>
      <c r="L204" s="1659"/>
      <c r="Q204" s="1741"/>
      <c r="R204" s="1742"/>
      <c r="S204" s="1742"/>
      <c r="T204" s="1742"/>
      <c r="U204" s="1743"/>
      <c r="V204" s="2495" t="s">
        <v>2701</v>
      </c>
      <c r="W204" s="2496"/>
      <c r="X204" s="2496"/>
      <c r="Y204" s="2496"/>
    </row>
    <row r="205" spans="1:25" s="1187" customFormat="1" ht="27.75" customHeight="1">
      <c r="A205" s="1195" t="s">
        <v>600</v>
      </c>
      <c r="B205" s="1741" t="str">
        <f t="shared" si="1"/>
        <v>Non-current trade liabilities total (l. 104 to l. 106)</v>
      </c>
      <c r="C205" s="1742"/>
      <c r="D205" s="1742"/>
      <c r="E205" s="1742"/>
      <c r="F205" s="1743"/>
      <c r="G205" s="1208" t="s">
        <v>757</v>
      </c>
      <c r="H205" s="1251"/>
      <c r="I205" s="1688">
        <f>BS!D118</f>
        <v>0</v>
      </c>
      <c r="J205" s="1690"/>
      <c r="K205" s="1688">
        <f>BS!E118</f>
        <v>0</v>
      </c>
      <c r="L205" s="1691"/>
      <c r="Q205" s="1741"/>
      <c r="R205" s="1742"/>
      <c r="S205" s="1742"/>
      <c r="T205" s="1742"/>
      <c r="U205" s="1743"/>
      <c r="V205" s="2495" t="s">
        <v>2702</v>
      </c>
      <c r="W205" s="2496"/>
      <c r="X205" s="2496"/>
      <c r="Y205" s="2496"/>
    </row>
    <row r="206" spans="1:25" s="1187" customFormat="1" ht="27.75" customHeight="1">
      <c r="A206" s="1197" t="s">
        <v>2265</v>
      </c>
      <c r="B206" s="1746" t="str">
        <f t="shared" si="1"/>
        <v>Trade payables to connected entities (321A, 475A, 476A)</v>
      </c>
      <c r="C206" s="1747"/>
      <c r="D206" s="1747"/>
      <c r="E206" s="1747"/>
      <c r="F206" s="1748"/>
      <c r="G206" s="1209" t="s">
        <v>760</v>
      </c>
      <c r="H206" s="1251"/>
      <c r="I206" s="1688">
        <f>BS!D119</f>
        <v>0</v>
      </c>
      <c r="J206" s="1690"/>
      <c r="K206" s="1688">
        <f>BS!E119</f>
        <v>0</v>
      </c>
      <c r="L206" s="1691"/>
      <c r="Q206" s="1746"/>
      <c r="R206" s="1747"/>
      <c r="S206" s="1747"/>
      <c r="T206" s="1747"/>
      <c r="U206" s="1748"/>
      <c r="V206" s="2495" t="s">
        <v>2660</v>
      </c>
      <c r="W206" s="2496"/>
      <c r="X206" s="2496"/>
      <c r="Y206" s="2496"/>
    </row>
    <row r="207" spans="1:25" s="1187" customFormat="1" ht="31.5" customHeight="1">
      <c r="A207" s="1197" t="s">
        <v>2266</v>
      </c>
      <c r="B207" s="1746" t="str">
        <f t="shared" si="1"/>
        <v>Trade payables to group except for connected entities (321A, 475A, 476A)</v>
      </c>
      <c r="C207" s="1747"/>
      <c r="D207" s="1747"/>
      <c r="E207" s="1747"/>
      <c r="F207" s="1748"/>
      <c r="G207" s="1209" t="s">
        <v>763</v>
      </c>
      <c r="H207" s="1251"/>
      <c r="I207" s="1688">
        <f>BS!D120</f>
        <v>0</v>
      </c>
      <c r="J207" s="1690"/>
      <c r="K207" s="1688">
        <f>BS!E120</f>
        <v>0</v>
      </c>
      <c r="L207" s="1691"/>
      <c r="Q207" s="1746"/>
      <c r="R207" s="1747"/>
      <c r="S207" s="1747"/>
      <c r="T207" s="1747"/>
      <c r="U207" s="1748"/>
      <c r="V207" s="2495" t="s">
        <v>2661</v>
      </c>
      <c r="W207" s="2496"/>
      <c r="X207" s="2496"/>
      <c r="Y207" s="2496"/>
    </row>
    <row r="208" spans="1:25" ht="27.75" customHeight="1">
      <c r="A208" s="1197" t="s">
        <v>2267</v>
      </c>
      <c r="B208" s="1746" t="str">
        <f t="shared" si="1"/>
        <v>Other trade payables (321A, 475A, 476A)</v>
      </c>
      <c r="C208" s="1747"/>
      <c r="D208" s="1747"/>
      <c r="E208" s="1747"/>
      <c r="F208" s="1748"/>
      <c r="G208" s="1209" t="s">
        <v>765</v>
      </c>
      <c r="H208" s="1251"/>
      <c r="I208" s="1688">
        <f>BS!D121</f>
        <v>0</v>
      </c>
      <c r="J208" s="1690"/>
      <c r="K208" s="1688">
        <f>BS!E121</f>
        <v>0</v>
      </c>
      <c r="L208" s="1691"/>
      <c r="Q208" s="1746"/>
      <c r="R208" s="1747"/>
      <c r="S208" s="1747"/>
      <c r="T208" s="1747"/>
      <c r="U208" s="1748"/>
      <c r="V208" s="2495" t="s">
        <v>2304</v>
      </c>
      <c r="W208" s="2496"/>
      <c r="X208" s="2496"/>
      <c r="Y208" s="2496"/>
    </row>
    <row r="209" spans="1:25" ht="25.5" customHeight="1">
      <c r="A209" s="1197" t="s">
        <v>532</v>
      </c>
      <c r="B209" s="1746" t="str">
        <f t="shared" si="1"/>
        <v>Net value of construction contracts (316A)</v>
      </c>
      <c r="C209" s="1747"/>
      <c r="D209" s="1747"/>
      <c r="E209" s="1747"/>
      <c r="F209" s="1748"/>
      <c r="G209" s="1208" t="s">
        <v>767</v>
      </c>
      <c r="H209" s="1250"/>
      <c r="I209" s="1688">
        <f>BS!D122</f>
        <v>0</v>
      </c>
      <c r="J209" s="1690"/>
      <c r="K209" s="1688">
        <f>BS!E122</f>
        <v>0</v>
      </c>
      <c r="L209" s="1691"/>
      <c r="Q209" s="1746"/>
      <c r="R209" s="1747"/>
      <c r="S209" s="1747"/>
      <c r="T209" s="1747"/>
      <c r="U209" s="1748"/>
      <c r="V209" s="2495" t="s">
        <v>619</v>
      </c>
      <c r="W209" s="2496"/>
      <c r="X209" s="2496"/>
      <c r="Y209" s="2496"/>
    </row>
    <row r="210" spans="1:25" ht="27.75" customHeight="1">
      <c r="A210" s="1402" t="s">
        <v>535</v>
      </c>
      <c r="B210" s="1746" t="str">
        <f t="shared" si="1"/>
        <v>Other long-term liabilities to connected entities (471A, 47XA)</v>
      </c>
      <c r="C210" s="1747"/>
      <c r="D210" s="1747"/>
      <c r="E210" s="1747"/>
      <c r="F210" s="1748"/>
      <c r="G210" s="1262" t="s">
        <v>768</v>
      </c>
      <c r="H210" s="1259"/>
      <c r="I210" s="1754">
        <f>BS!D123</f>
        <v>112</v>
      </c>
      <c r="J210" s="1738"/>
      <c r="K210" s="1754">
        <f>BS!E123</f>
        <v>279</v>
      </c>
      <c r="L210" s="1755"/>
      <c r="Q210" s="1746"/>
      <c r="R210" s="1747"/>
      <c r="S210" s="2491"/>
      <c r="T210" s="2491"/>
      <c r="U210" s="2492"/>
      <c r="V210" s="2495" t="s">
        <v>2662</v>
      </c>
      <c r="W210" s="2496"/>
      <c r="X210" s="2496"/>
      <c r="Y210" s="2496"/>
    </row>
    <row r="211" spans="1:25" ht="32.25" customHeight="1">
      <c r="A211" s="1199" t="s">
        <v>538</v>
      </c>
      <c r="B211" s="1746" t="str">
        <f t="shared" si="1"/>
        <v>Other long-term liabilities within group except for connected entities (471A, 47XA)</v>
      </c>
      <c r="C211" s="1747"/>
      <c r="D211" s="1747"/>
      <c r="E211" s="1747"/>
      <c r="F211" s="1748"/>
      <c r="G211" s="1209" t="s">
        <v>770</v>
      </c>
      <c r="H211" s="1251"/>
      <c r="I211" s="1688">
        <f>BS!D124</f>
        <v>0</v>
      </c>
      <c r="J211" s="1690"/>
      <c r="K211" s="1688">
        <f>BS!E124</f>
        <v>0</v>
      </c>
      <c r="L211" s="1691"/>
      <c r="Q211" s="1746"/>
      <c r="R211" s="1747"/>
      <c r="S211" s="1747"/>
      <c r="T211" s="1747"/>
      <c r="U211" s="1748"/>
      <c r="V211" s="2495" t="s">
        <v>2663</v>
      </c>
      <c r="W211" s="2496"/>
      <c r="X211" s="2496"/>
      <c r="Y211" s="2496"/>
    </row>
    <row r="212" spans="1:25" s="1187" customFormat="1" ht="27.75" customHeight="1">
      <c r="A212" s="1199" t="s">
        <v>541</v>
      </c>
      <c r="B212" s="1746" t="str">
        <f t="shared" si="1"/>
        <v>Other long-term liabilities (479A, 47XA)</v>
      </c>
      <c r="C212" s="1747"/>
      <c r="D212" s="1747"/>
      <c r="E212" s="1747"/>
      <c r="F212" s="1748"/>
      <c r="G212" s="1209" t="s">
        <v>772</v>
      </c>
      <c r="H212" s="1251"/>
      <c r="I212" s="1688">
        <f>BS!D125</f>
        <v>0</v>
      </c>
      <c r="J212" s="1690"/>
      <c r="K212" s="1688">
        <f>BS!E125</f>
        <v>0</v>
      </c>
      <c r="L212" s="1691"/>
      <c r="Q212" s="1746"/>
      <c r="R212" s="1747"/>
      <c r="S212" s="1747"/>
      <c r="T212" s="1747"/>
      <c r="U212" s="1748"/>
      <c r="V212" s="2495" t="s">
        <v>2305</v>
      </c>
      <c r="W212" s="2496"/>
      <c r="X212" s="2496"/>
      <c r="Y212" s="2496"/>
    </row>
    <row r="213" spans="1:25" ht="27.75" customHeight="1">
      <c r="A213" s="1199" t="s">
        <v>544</v>
      </c>
      <c r="B213" s="1746" t="str">
        <f t="shared" si="1"/>
        <v>Long-term advance payaments received (475A)</v>
      </c>
      <c r="C213" s="1747"/>
      <c r="D213" s="1747"/>
      <c r="E213" s="1747"/>
      <c r="F213" s="1748"/>
      <c r="G213" s="1209" t="s">
        <v>774</v>
      </c>
      <c r="H213" s="1251"/>
      <c r="I213" s="1688">
        <f>BS!D126</f>
        <v>0</v>
      </c>
      <c r="J213" s="1690"/>
      <c r="K213" s="1688">
        <f>BS!E126</f>
        <v>0</v>
      </c>
      <c r="L213" s="1691"/>
      <c r="Q213" s="1746"/>
      <c r="R213" s="1747"/>
      <c r="S213" s="1747"/>
      <c r="T213" s="1747"/>
      <c r="U213" s="1748"/>
      <c r="V213" s="2495" t="s">
        <v>750</v>
      </c>
      <c r="W213" s="2496"/>
      <c r="X213" s="2496"/>
      <c r="Y213" s="2496"/>
    </row>
    <row r="214" spans="1:25" ht="27.75" customHeight="1">
      <c r="A214" s="1199" t="s">
        <v>547</v>
      </c>
      <c r="B214" s="1746" t="str">
        <f t="shared" si="1"/>
        <v>Long-term bills of exchange payable (478A)</v>
      </c>
      <c r="C214" s="1747"/>
      <c r="D214" s="1747"/>
      <c r="E214" s="1747"/>
      <c r="F214" s="1748"/>
      <c r="G214" s="1209" t="s">
        <v>776</v>
      </c>
      <c r="H214" s="1251"/>
      <c r="I214" s="1688">
        <f>BS!D127</f>
        <v>0</v>
      </c>
      <c r="J214" s="1690"/>
      <c r="K214" s="1688">
        <f>BS!E127</f>
        <v>0</v>
      </c>
      <c r="L214" s="1691"/>
      <c r="Q214" s="1746"/>
      <c r="R214" s="1747"/>
      <c r="S214" s="1747"/>
      <c r="T214" s="1747"/>
      <c r="U214" s="1748"/>
      <c r="V214" s="2495" t="s">
        <v>752</v>
      </c>
      <c r="W214" s="2496"/>
      <c r="X214" s="2496"/>
      <c r="Y214" s="2496"/>
    </row>
    <row r="215" spans="1:25" ht="27.75" customHeight="1">
      <c r="A215" s="1199" t="s">
        <v>568</v>
      </c>
      <c r="B215" s="1746" t="str">
        <f t="shared" si="1"/>
        <v>Bonds and debentures issued (473A/-/255A)</v>
      </c>
      <c r="C215" s="1747"/>
      <c r="D215" s="1747"/>
      <c r="E215" s="1747"/>
      <c r="F215" s="1748"/>
      <c r="G215" s="1209" t="s">
        <v>778</v>
      </c>
      <c r="H215" s="1251"/>
      <c r="I215" s="1688">
        <f>BS!D128</f>
        <v>0</v>
      </c>
      <c r="J215" s="1690"/>
      <c r="K215" s="1688">
        <f>BS!E128</f>
        <v>0</v>
      </c>
      <c r="L215" s="1691"/>
      <c r="Q215" s="1746"/>
      <c r="R215" s="1747"/>
      <c r="S215" s="1747"/>
      <c r="T215" s="1747"/>
      <c r="U215" s="1748"/>
      <c r="V215" s="2495" t="s">
        <v>754</v>
      </c>
      <c r="W215" s="2496"/>
      <c r="X215" s="2496"/>
      <c r="Y215" s="2496"/>
    </row>
    <row r="216" spans="1:25" ht="27.75" customHeight="1">
      <c r="A216" s="1199" t="s">
        <v>571</v>
      </c>
      <c r="B216" s="1746" t="str">
        <f t="shared" si="1"/>
        <v>Social fund payable (472)</v>
      </c>
      <c r="C216" s="1747"/>
      <c r="D216" s="1747"/>
      <c r="E216" s="1747"/>
      <c r="F216" s="1748"/>
      <c r="G216" s="1209" t="s">
        <v>780</v>
      </c>
      <c r="H216" s="1251"/>
      <c r="I216" s="1688">
        <f>BS!D129</f>
        <v>8969</v>
      </c>
      <c r="J216" s="1690"/>
      <c r="K216" s="1688">
        <f>BS!E129</f>
        <v>12927</v>
      </c>
      <c r="L216" s="1691"/>
      <c r="Q216" s="1746"/>
      <c r="R216" s="1747"/>
      <c r="S216" s="1747"/>
      <c r="T216" s="1747"/>
      <c r="U216" s="1748"/>
      <c r="V216" s="2495" t="s">
        <v>756</v>
      </c>
      <c r="W216" s="2496"/>
      <c r="X216" s="2496"/>
      <c r="Y216" s="2496"/>
    </row>
    <row r="217" spans="1:25" ht="27.75" customHeight="1">
      <c r="A217" s="1199" t="s">
        <v>758</v>
      </c>
      <c r="B217" s="1746" t="str">
        <f t="shared" si="1"/>
        <v>Other non-current liabilities (336A, 372A, 474A, 47XA)</v>
      </c>
      <c r="C217" s="1747"/>
      <c r="D217" s="1747"/>
      <c r="E217" s="1747"/>
      <c r="F217" s="1748"/>
      <c r="G217" s="1209" t="s">
        <v>782</v>
      </c>
      <c r="H217" s="1251"/>
      <c r="I217" s="1688">
        <f>BS!D130</f>
        <v>0</v>
      </c>
      <c r="J217" s="1690"/>
      <c r="K217" s="1688">
        <f>BS!E130</f>
        <v>0</v>
      </c>
      <c r="L217" s="1691"/>
      <c r="Q217" s="1746"/>
      <c r="R217" s="1747"/>
      <c r="S217" s="1747"/>
      <c r="T217" s="1747"/>
      <c r="U217" s="1748"/>
      <c r="V217" s="2495" t="s">
        <v>2306</v>
      </c>
      <c r="W217" s="2496"/>
      <c r="X217" s="2496"/>
      <c r="Y217" s="2496"/>
    </row>
    <row r="218" spans="1:25" ht="27.75" customHeight="1">
      <c r="A218" s="1199" t="s">
        <v>761</v>
      </c>
      <c r="B218" s="1746" t="str">
        <f t="shared" si="1"/>
        <v>Long-term liabilities from derivative operations (373A, 377A)</v>
      </c>
      <c r="C218" s="1747"/>
      <c r="D218" s="1747"/>
      <c r="E218" s="1747"/>
      <c r="F218" s="1748"/>
      <c r="G218" s="1209" t="s">
        <v>784</v>
      </c>
      <c r="H218" s="1251"/>
      <c r="I218" s="1688">
        <f>BS!D131</f>
        <v>0</v>
      </c>
      <c r="J218" s="1690"/>
      <c r="K218" s="1688">
        <f>BS!E131</f>
        <v>0</v>
      </c>
      <c r="L218" s="1691"/>
      <c r="Q218" s="1746"/>
      <c r="R218" s="1747"/>
      <c r="S218" s="1747"/>
      <c r="T218" s="1747"/>
      <c r="U218" s="1748"/>
      <c r="V218" s="2495" t="s">
        <v>2307</v>
      </c>
      <c r="W218" s="2496"/>
      <c r="X218" s="2496"/>
      <c r="Y218" s="2496"/>
    </row>
    <row r="219" spans="1:25" ht="27.75" customHeight="1" thickBot="1">
      <c r="A219" s="1367" t="s">
        <v>2308</v>
      </c>
      <c r="B219" s="1749" t="str">
        <f t="shared" si="1"/>
        <v>Deferred tax liability (481A)</v>
      </c>
      <c r="C219" s="1750"/>
      <c r="D219" s="1750"/>
      <c r="E219" s="1750"/>
      <c r="F219" s="1751"/>
      <c r="G219" s="1365" t="s">
        <v>786</v>
      </c>
      <c r="H219" s="1366"/>
      <c r="I219" s="1703">
        <f>BS!D132</f>
        <v>216979</v>
      </c>
      <c r="J219" s="1752"/>
      <c r="K219" s="1703">
        <f>BS!E132</f>
        <v>301024</v>
      </c>
      <c r="L219" s="1705"/>
      <c r="Q219" s="1749"/>
      <c r="R219" s="1750"/>
      <c r="S219" s="1750"/>
      <c r="T219" s="1750"/>
      <c r="U219" s="1751"/>
      <c r="V219" s="2495" t="s">
        <v>762</v>
      </c>
      <c r="W219" s="2496"/>
      <c r="X219" s="2496"/>
      <c r="Y219" s="2496"/>
    </row>
    <row r="220" spans="1:25" ht="27.75" customHeight="1">
      <c r="A220" s="1361" t="s">
        <v>1446</v>
      </c>
      <c r="B220" s="1667" t="s">
        <v>1510</v>
      </c>
      <c r="C220" s="1668"/>
      <c r="D220" s="1668"/>
      <c r="E220" s="1668"/>
      <c r="F220" s="1669"/>
      <c r="G220" s="1362" t="s">
        <v>1448</v>
      </c>
      <c r="H220" s="1363"/>
      <c r="I220" s="1667" t="s">
        <v>1511</v>
      </c>
      <c r="J220" s="1669"/>
      <c r="K220" s="1667" t="s">
        <v>1512</v>
      </c>
      <c r="L220" s="1744"/>
      <c r="Q220" s="1667" t="s">
        <v>1510</v>
      </c>
      <c r="R220" s="1668"/>
      <c r="S220" s="1668"/>
      <c r="T220" s="1668"/>
      <c r="U220" s="1669"/>
      <c r="V220" s="2495"/>
      <c r="W220" s="2496"/>
      <c r="X220" s="2496"/>
      <c r="Y220" s="2496"/>
    </row>
    <row r="221" spans="1:25" ht="27.75" customHeight="1">
      <c r="A221" s="1404" t="s">
        <v>613</v>
      </c>
      <c r="B221" s="1741" t="str">
        <f>V221</f>
        <v>Non-current provisions total (l. 119 to l. 120)</v>
      </c>
      <c r="C221" s="1742"/>
      <c r="D221" s="1742"/>
      <c r="E221" s="1742"/>
      <c r="F221" s="1743"/>
      <c r="G221" s="1208" t="s">
        <v>789</v>
      </c>
      <c r="H221" s="1250"/>
      <c r="I221" s="1656">
        <f>BS!D133</f>
        <v>0</v>
      </c>
      <c r="J221" s="1658"/>
      <c r="K221" s="1656">
        <f>BS!E133</f>
        <v>0</v>
      </c>
      <c r="L221" s="1659"/>
      <c r="Q221" s="1741"/>
      <c r="R221" s="1742"/>
      <c r="S221" s="1742"/>
      <c r="T221" s="1742"/>
      <c r="U221" s="1743"/>
      <c r="V221" s="2495" t="s">
        <v>2703</v>
      </c>
      <c r="W221" s="2496"/>
      <c r="X221" s="2496"/>
      <c r="Y221" s="2496"/>
    </row>
    <row r="222" spans="1:25" ht="27.75" customHeight="1">
      <c r="A222" s="1199" t="s">
        <v>616</v>
      </c>
      <c r="B222" s="1746" t="str">
        <f t="shared" ref="B222:B248" si="2">V222</f>
        <v>Legal provisions long term (451A)</v>
      </c>
      <c r="C222" s="1747"/>
      <c r="D222" s="1747"/>
      <c r="E222" s="1747"/>
      <c r="F222" s="1748"/>
      <c r="G222" s="1209" t="s">
        <v>792</v>
      </c>
      <c r="H222" s="1251"/>
      <c r="I222" s="1688">
        <f>BS!D134</f>
        <v>0</v>
      </c>
      <c r="J222" s="1690"/>
      <c r="K222" s="1688">
        <f>BS!E134</f>
        <v>0</v>
      </c>
      <c r="L222" s="1691"/>
      <c r="Q222" s="1746"/>
      <c r="R222" s="1747"/>
      <c r="S222" s="1747"/>
      <c r="T222" s="1747"/>
      <c r="U222" s="1748"/>
      <c r="V222" s="2495" t="s">
        <v>731</v>
      </c>
      <c r="W222" s="2496"/>
      <c r="X222" s="2496"/>
      <c r="Y222" s="2496"/>
    </row>
    <row r="223" spans="1:25" ht="27.75" customHeight="1">
      <c r="A223" s="1199" t="s">
        <v>532</v>
      </c>
      <c r="B223" s="1746" t="str">
        <f t="shared" si="2"/>
        <v>Other long-term provisions (459A, 45XA)</v>
      </c>
      <c r="C223" s="1747"/>
      <c r="D223" s="1747"/>
      <c r="E223" s="1747"/>
      <c r="F223" s="1748"/>
      <c r="G223" s="1209" t="s">
        <v>794</v>
      </c>
      <c r="H223" s="1251"/>
      <c r="I223" s="1688">
        <f>BS!D135</f>
        <v>0</v>
      </c>
      <c r="J223" s="1690"/>
      <c r="K223" s="1688">
        <f>BS!E135</f>
        <v>0</v>
      </c>
      <c r="L223" s="1691"/>
      <c r="Q223" s="1746"/>
      <c r="R223" s="1747"/>
      <c r="S223" s="1747"/>
      <c r="T223" s="1747"/>
      <c r="U223" s="1748"/>
      <c r="V223" s="2495" t="s">
        <v>735</v>
      </c>
      <c r="W223" s="2496"/>
      <c r="X223" s="2496"/>
      <c r="Y223" s="2496"/>
    </row>
    <row r="224" spans="1:25" ht="27.75" customHeight="1">
      <c r="A224" s="1404" t="s">
        <v>631</v>
      </c>
      <c r="B224" s="1741" t="str">
        <f t="shared" si="2"/>
        <v>Long-term bank loans (461A, 46XA)</v>
      </c>
      <c r="C224" s="1742"/>
      <c r="D224" s="1742"/>
      <c r="E224" s="1742"/>
      <c r="F224" s="1743"/>
      <c r="G224" s="1208" t="s">
        <v>796</v>
      </c>
      <c r="H224" s="1250"/>
      <c r="I224" s="1656">
        <f>BS!D136</f>
        <v>0</v>
      </c>
      <c r="J224" s="1658"/>
      <c r="K224" s="1656">
        <f>BS!E136</f>
        <v>0</v>
      </c>
      <c r="L224" s="1659"/>
      <c r="Q224" s="1741"/>
      <c r="R224" s="1742"/>
      <c r="S224" s="1742"/>
      <c r="T224" s="1742"/>
      <c r="U224" s="1743"/>
      <c r="V224" s="2495" t="s">
        <v>791</v>
      </c>
      <c r="W224" s="2496"/>
      <c r="X224" s="2496"/>
      <c r="Y224" s="2496"/>
    </row>
    <row r="225" spans="1:25" ht="27.75" customHeight="1">
      <c r="A225" s="1404" t="s">
        <v>649</v>
      </c>
      <c r="B225" s="1741" t="str">
        <f t="shared" si="2"/>
        <v>Current liabilities  total (l. 123 + l. 127 to l. 135)</v>
      </c>
      <c r="C225" s="1742"/>
      <c r="D225" s="1742"/>
      <c r="E225" s="1742"/>
      <c r="F225" s="1743"/>
      <c r="G225" s="1208" t="s">
        <v>798</v>
      </c>
      <c r="H225" s="1250"/>
      <c r="I225" s="1656">
        <f>BS!D137</f>
        <v>821475</v>
      </c>
      <c r="J225" s="1658"/>
      <c r="K225" s="1656">
        <f>BS!E137</f>
        <v>1181891</v>
      </c>
      <c r="L225" s="1659"/>
      <c r="Q225" s="1741"/>
      <c r="R225" s="1742"/>
      <c r="S225" s="1742"/>
      <c r="T225" s="1742"/>
      <c r="U225" s="1743"/>
      <c r="V225" s="2495" t="s">
        <v>2310</v>
      </c>
      <c r="W225" s="2496"/>
      <c r="X225" s="2496"/>
      <c r="Y225" s="2496"/>
    </row>
    <row r="226" spans="1:25" s="1187" customFormat="1" ht="27.75" customHeight="1">
      <c r="A226" s="1404" t="s">
        <v>652</v>
      </c>
      <c r="B226" s="1741" t="str">
        <f t="shared" si="2"/>
        <v>Current trade payables (l. 124 to l. 126)</v>
      </c>
      <c r="C226" s="1742"/>
      <c r="D226" s="1742"/>
      <c r="E226" s="1742"/>
      <c r="F226" s="1743"/>
      <c r="G226" s="1208" t="s">
        <v>800</v>
      </c>
      <c r="H226" s="1251"/>
      <c r="I226" s="1656">
        <f>BS!D138</f>
        <v>630565</v>
      </c>
      <c r="J226" s="1658"/>
      <c r="K226" s="1656">
        <f>BS!E138</f>
        <v>1079736</v>
      </c>
      <c r="L226" s="1659"/>
      <c r="Q226" s="1741"/>
      <c r="R226" s="1742"/>
      <c r="S226" s="1742"/>
      <c r="T226" s="1742"/>
      <c r="U226" s="1743"/>
      <c r="V226" s="2495" t="s">
        <v>2311</v>
      </c>
      <c r="W226" s="2496"/>
      <c r="X226" s="2496"/>
      <c r="Y226" s="2496"/>
    </row>
    <row r="227" spans="1:25" ht="31.5" customHeight="1">
      <c r="A227" s="1199" t="s">
        <v>2265</v>
      </c>
      <c r="B227" s="1746" t="str">
        <f t="shared" si="2"/>
        <v>Trade payables to connected entities (321A, 322A, 324A, 325A, 326A, 32XA, 475A, 476A, 478A, 47XA)</v>
      </c>
      <c r="C227" s="1747"/>
      <c r="D227" s="1747"/>
      <c r="E227" s="1747"/>
      <c r="F227" s="1748"/>
      <c r="G227" s="1209" t="s">
        <v>802</v>
      </c>
      <c r="H227" s="1251"/>
      <c r="I227" s="1688">
        <f>BS!D139</f>
        <v>0</v>
      </c>
      <c r="J227" s="1690"/>
      <c r="K227" s="1688">
        <f>BS!E139</f>
        <v>19992</v>
      </c>
      <c r="L227" s="1691"/>
      <c r="Q227" s="1746"/>
      <c r="R227" s="1747"/>
      <c r="S227" s="1747"/>
      <c r="T227" s="1747"/>
      <c r="U227" s="1748"/>
      <c r="V227" s="2495" t="s">
        <v>2664</v>
      </c>
      <c r="W227" s="2496"/>
      <c r="X227" s="2496"/>
      <c r="Y227" s="2496"/>
    </row>
    <row r="228" spans="1:25" ht="31" customHeight="1">
      <c r="A228" s="1199" t="s">
        <v>2266</v>
      </c>
      <c r="B228" s="1746" t="str">
        <f t="shared" si="2"/>
        <v>Trade payables to group except for connected entities (321A, 322A, 324A, 325A, 326A, 32XA, 475A, 476A, 478A, 47XA)</v>
      </c>
      <c r="C228" s="1747"/>
      <c r="D228" s="1747"/>
      <c r="E228" s="1747"/>
      <c r="F228" s="1748"/>
      <c r="G228" s="1209" t="s">
        <v>804</v>
      </c>
      <c r="H228" s="1251"/>
      <c r="I228" s="1688">
        <f>BS!D140</f>
        <v>0</v>
      </c>
      <c r="J228" s="1690"/>
      <c r="K228" s="1688">
        <f>BS!E140</f>
        <v>0</v>
      </c>
      <c r="L228" s="1691"/>
      <c r="Q228" s="1746"/>
      <c r="R228" s="1747"/>
      <c r="S228" s="1747"/>
      <c r="T228" s="1747"/>
      <c r="U228" s="1748"/>
      <c r="V228" s="2495" t="s">
        <v>2665</v>
      </c>
      <c r="W228" s="2496"/>
      <c r="X228" s="2496"/>
      <c r="Y228" s="2496"/>
    </row>
    <row r="229" spans="1:25" ht="31.5" customHeight="1">
      <c r="A229" s="1199" t="s">
        <v>2267</v>
      </c>
      <c r="B229" s="1746" t="str">
        <f t="shared" si="2"/>
        <v>Other trade payables (321A, 322A, 324A, 325A, 326A, 32XA, 475A, 476A, 478A, 47XA)</v>
      </c>
      <c r="C229" s="1747"/>
      <c r="D229" s="1747"/>
      <c r="E229" s="1747"/>
      <c r="F229" s="1748"/>
      <c r="G229" s="1209" t="s">
        <v>2313</v>
      </c>
      <c r="H229" s="1251"/>
      <c r="I229" s="1688">
        <f>BS!D141</f>
        <v>630565</v>
      </c>
      <c r="J229" s="1690"/>
      <c r="K229" s="1688">
        <f>BS!E141</f>
        <v>1059744</v>
      </c>
      <c r="L229" s="1691"/>
      <c r="Q229" s="1746"/>
      <c r="R229" s="1747"/>
      <c r="S229" s="1747"/>
      <c r="T229" s="1747"/>
      <c r="U229" s="1748"/>
      <c r="V229" s="2495" t="s">
        <v>2312</v>
      </c>
      <c r="W229" s="2496"/>
      <c r="X229" s="2496"/>
      <c r="Y229" s="2496"/>
    </row>
    <row r="230" spans="1:25" ht="27.75" customHeight="1">
      <c r="A230" s="1199" t="s">
        <v>532</v>
      </c>
      <c r="B230" s="1746" t="str">
        <f t="shared" si="2"/>
        <v>Net value of construction contracts (316A)</v>
      </c>
      <c r="C230" s="1747"/>
      <c r="D230" s="1747"/>
      <c r="E230" s="1747"/>
      <c r="F230" s="1748"/>
      <c r="G230" s="1209" t="s">
        <v>2314</v>
      </c>
      <c r="H230" s="1251"/>
      <c r="I230" s="1688">
        <f>BS!D142</f>
        <v>0</v>
      </c>
      <c r="J230" s="1690"/>
      <c r="K230" s="1688">
        <f>BS!E142</f>
        <v>0</v>
      </c>
      <c r="L230" s="1691"/>
      <c r="Q230" s="1746"/>
      <c r="R230" s="1747"/>
      <c r="S230" s="1747"/>
      <c r="T230" s="1747"/>
      <c r="U230" s="1748"/>
      <c r="V230" s="2495" t="s">
        <v>619</v>
      </c>
      <c r="W230" s="2496"/>
      <c r="X230" s="2496"/>
      <c r="Y230" s="2496"/>
    </row>
    <row r="231" spans="1:25" ht="27.75" customHeight="1">
      <c r="A231" s="1199" t="s">
        <v>535</v>
      </c>
      <c r="B231" s="1746" t="str">
        <f t="shared" si="2"/>
        <v>Payables to connected entities (361A, 36XA, 471A, 47XA)</v>
      </c>
      <c r="C231" s="1747"/>
      <c r="D231" s="1747"/>
      <c r="E231" s="1747"/>
      <c r="F231" s="1748"/>
      <c r="G231" s="1209" t="s">
        <v>2315</v>
      </c>
      <c r="H231" s="1251"/>
      <c r="I231" s="1688">
        <f>BS!D143</f>
        <v>0</v>
      </c>
      <c r="J231" s="1690"/>
      <c r="K231" s="1688">
        <f>BS!E143</f>
        <v>0</v>
      </c>
      <c r="L231" s="1691"/>
      <c r="Q231" s="1746"/>
      <c r="R231" s="1747"/>
      <c r="S231" s="1747"/>
      <c r="T231" s="1747"/>
      <c r="U231" s="1748"/>
      <c r="V231" s="2495" t="s">
        <v>2666</v>
      </c>
      <c r="W231" s="2496"/>
      <c r="X231" s="2496"/>
      <c r="Y231" s="2496"/>
    </row>
    <row r="232" spans="1:25" ht="31" customHeight="1">
      <c r="A232" s="1199" t="s">
        <v>538</v>
      </c>
      <c r="B232" s="1746" t="str">
        <f t="shared" si="2"/>
        <v>Other liabilities within group except for connected entities (361A, 36XA, 471A, 47XA)</v>
      </c>
      <c r="C232" s="1747"/>
      <c r="D232" s="1747"/>
      <c r="E232" s="1747"/>
      <c r="F232" s="1748"/>
      <c r="G232" s="1209" t="s">
        <v>2316</v>
      </c>
      <c r="H232" s="1251"/>
      <c r="I232" s="1688">
        <f>BS!D144</f>
        <v>0</v>
      </c>
      <c r="J232" s="1690"/>
      <c r="K232" s="1688">
        <f>BS!E144</f>
        <v>0</v>
      </c>
      <c r="L232" s="1691"/>
      <c r="Q232" s="1746"/>
      <c r="R232" s="1747"/>
      <c r="S232" s="1747"/>
      <c r="T232" s="1747"/>
      <c r="U232" s="1748"/>
      <c r="V232" s="2495" t="s">
        <v>2667</v>
      </c>
      <c r="W232" s="2496"/>
      <c r="X232" s="2496"/>
      <c r="Y232" s="2496"/>
    </row>
    <row r="233" spans="1:25" ht="27.75" customHeight="1">
      <c r="A233" s="1199" t="s">
        <v>541</v>
      </c>
      <c r="B233" s="1746" t="str">
        <f t="shared" si="2"/>
        <v>Payables to partners and consortium members (364, 365, 366, 367, 368, 398A, 478A, 479A)</v>
      </c>
      <c r="C233" s="1747"/>
      <c r="D233" s="1747"/>
      <c r="E233" s="1747"/>
      <c r="F233" s="1748"/>
      <c r="G233" s="1209" t="s">
        <v>2317</v>
      </c>
      <c r="H233" s="1251"/>
      <c r="I233" s="1688">
        <f>BS!D145</f>
        <v>0</v>
      </c>
      <c r="J233" s="1690"/>
      <c r="K233" s="1688">
        <f>BS!E145</f>
        <v>0</v>
      </c>
      <c r="L233" s="1691"/>
      <c r="Q233" s="1746"/>
      <c r="R233" s="1747"/>
      <c r="S233" s="1747"/>
      <c r="T233" s="1747"/>
      <c r="U233" s="1748"/>
      <c r="V233" s="2495" t="s">
        <v>775</v>
      </c>
      <c r="W233" s="2496"/>
      <c r="X233" s="2496"/>
      <c r="Y233" s="2496"/>
    </row>
    <row r="234" spans="1:25" ht="27.75" customHeight="1">
      <c r="A234" s="1199" t="s">
        <v>544</v>
      </c>
      <c r="B234" s="1746" t="str">
        <f t="shared" si="2"/>
        <v>Payables to employees (331, 333, 33X, 479A)</v>
      </c>
      <c r="C234" s="1747"/>
      <c r="D234" s="1747"/>
      <c r="E234" s="1747"/>
      <c r="F234" s="1748"/>
      <c r="G234" s="1209" t="s">
        <v>2318</v>
      </c>
      <c r="H234" s="1251"/>
      <c r="I234" s="1688">
        <f>BS!D146</f>
        <v>62434</v>
      </c>
      <c r="J234" s="1690"/>
      <c r="K234" s="1688">
        <f>BS!E146</f>
        <v>47382</v>
      </c>
      <c r="L234" s="1691"/>
      <c r="Q234" s="1746"/>
      <c r="R234" s="1747"/>
      <c r="S234" s="1747"/>
      <c r="T234" s="1747"/>
      <c r="U234" s="1748"/>
      <c r="V234" s="2495" t="s">
        <v>777</v>
      </c>
      <c r="W234" s="2496"/>
      <c r="X234" s="2496"/>
      <c r="Y234" s="2496"/>
    </row>
    <row r="235" spans="1:25" ht="27.75" customHeight="1">
      <c r="A235" s="1199" t="s">
        <v>547</v>
      </c>
      <c r="B235" s="1746" t="str">
        <f t="shared" si="2"/>
        <v>Social security payables (336A)</v>
      </c>
      <c r="C235" s="1747"/>
      <c r="D235" s="1747"/>
      <c r="E235" s="1747"/>
      <c r="F235" s="1748"/>
      <c r="G235" s="1209" t="s">
        <v>2320</v>
      </c>
      <c r="H235" s="1251"/>
      <c r="I235" s="1688">
        <f>BS!D147</f>
        <v>39822</v>
      </c>
      <c r="J235" s="1690"/>
      <c r="K235" s="1688">
        <f>BS!E147</f>
        <v>31104</v>
      </c>
      <c r="L235" s="1691"/>
      <c r="Q235" s="1746"/>
      <c r="R235" s="1747"/>
      <c r="S235" s="1747"/>
      <c r="T235" s="1747"/>
      <c r="U235" s="1748"/>
      <c r="V235" s="2495" t="s">
        <v>2319</v>
      </c>
      <c r="W235" s="2496"/>
      <c r="X235" s="2496"/>
      <c r="Y235" s="2496"/>
    </row>
    <row r="236" spans="1:25" s="1187" customFormat="1" ht="27.75" customHeight="1">
      <c r="A236" s="1199" t="s">
        <v>568</v>
      </c>
      <c r="B236" s="1746" t="str">
        <f t="shared" si="2"/>
        <v>Tax liabilities and subsidies (341, 342, 343, 345, 346, 347, 34X)</v>
      </c>
      <c r="C236" s="1747"/>
      <c r="D236" s="1747"/>
      <c r="E236" s="1747"/>
      <c r="F236" s="1748"/>
      <c r="G236" s="1209" t="s">
        <v>2321</v>
      </c>
      <c r="H236" s="1251"/>
      <c r="I236" s="1688">
        <f>BS!D148</f>
        <v>85270</v>
      </c>
      <c r="J236" s="1690"/>
      <c r="K236" s="1688">
        <f>BS!E148</f>
        <v>8319</v>
      </c>
      <c r="L236" s="1691"/>
      <c r="Q236" s="1746"/>
      <c r="R236" s="1747"/>
      <c r="S236" s="1747"/>
      <c r="T236" s="1747"/>
      <c r="U236" s="1748"/>
      <c r="V236" s="2495" t="s">
        <v>781</v>
      </c>
      <c r="W236" s="2496"/>
      <c r="X236" s="2496"/>
      <c r="Y236" s="2496"/>
    </row>
    <row r="237" spans="1:25" ht="27.75" customHeight="1">
      <c r="A237" s="1199" t="s">
        <v>571</v>
      </c>
      <c r="B237" s="1746" t="str">
        <f t="shared" si="2"/>
        <v>Payables from derivative operations (373A, 377A)</v>
      </c>
      <c r="C237" s="1747"/>
      <c r="D237" s="1747"/>
      <c r="E237" s="1747"/>
      <c r="F237" s="1748"/>
      <c r="G237" s="1209" t="s">
        <v>2323</v>
      </c>
      <c r="H237" s="1251"/>
      <c r="I237" s="1688">
        <f>BS!D149</f>
        <v>0</v>
      </c>
      <c r="J237" s="1690"/>
      <c r="K237" s="1688">
        <f>BS!E149</f>
        <v>0</v>
      </c>
      <c r="L237" s="1691"/>
      <c r="Q237" s="1746"/>
      <c r="R237" s="1747"/>
      <c r="S237" s="1747"/>
      <c r="T237" s="1747"/>
      <c r="U237" s="1748"/>
      <c r="V237" s="2495" t="s">
        <v>2322</v>
      </c>
      <c r="W237" s="2496"/>
      <c r="X237" s="2496"/>
      <c r="Y237" s="2496"/>
    </row>
    <row r="238" spans="1:25" ht="27.75" customHeight="1">
      <c r="A238" s="1199" t="s">
        <v>758</v>
      </c>
      <c r="B238" s="1746" t="str">
        <f t="shared" si="2"/>
        <v>Other short-term liabilities (372A, 379A, 474A, 475A, 479A, 47XA)</v>
      </c>
      <c r="C238" s="1747"/>
      <c r="D238" s="1747"/>
      <c r="E238" s="1747"/>
      <c r="F238" s="1748"/>
      <c r="G238" s="1209" t="s">
        <v>2325</v>
      </c>
      <c r="H238" s="1251"/>
      <c r="I238" s="1688">
        <f>BS!D150</f>
        <v>3384</v>
      </c>
      <c r="J238" s="1690"/>
      <c r="K238" s="1688">
        <f>BS!E150</f>
        <v>15350</v>
      </c>
      <c r="L238" s="1691"/>
      <c r="Q238" s="1746"/>
      <c r="R238" s="1747"/>
      <c r="S238" s="1747"/>
      <c r="T238" s="1747"/>
      <c r="U238" s="1748"/>
      <c r="V238" s="2495" t="s">
        <v>2324</v>
      </c>
      <c r="W238" s="2496"/>
      <c r="X238" s="2496"/>
      <c r="Y238" s="2496"/>
    </row>
    <row r="239" spans="1:25" ht="27.75" customHeight="1">
      <c r="A239" s="1404" t="s">
        <v>787</v>
      </c>
      <c r="B239" s="1741" t="str">
        <f t="shared" si="2"/>
        <v>Current provisions total (l. 137 + l. 138)</v>
      </c>
      <c r="C239" s="1742"/>
      <c r="D239" s="1742"/>
      <c r="E239" s="1742"/>
      <c r="F239" s="1743"/>
      <c r="G239" s="1208" t="s">
        <v>2327</v>
      </c>
      <c r="H239" s="1250"/>
      <c r="I239" s="1656">
        <f>BS!D151</f>
        <v>134706</v>
      </c>
      <c r="J239" s="1658"/>
      <c r="K239" s="1656">
        <f>BS!E151</f>
        <v>113122</v>
      </c>
      <c r="L239" s="1659"/>
      <c r="Q239" s="1741"/>
      <c r="R239" s="1742"/>
      <c r="S239" s="1742"/>
      <c r="T239" s="1742"/>
      <c r="U239" s="1743"/>
      <c r="V239" s="2495" t="s">
        <v>2326</v>
      </c>
      <c r="W239" s="2496"/>
      <c r="X239" s="2496"/>
      <c r="Y239" s="2496"/>
    </row>
    <row r="240" spans="1:25" s="1187" customFormat="1" ht="27.75" customHeight="1">
      <c r="A240" s="1199" t="s">
        <v>790</v>
      </c>
      <c r="B240" s="1746" t="str">
        <f t="shared" si="2"/>
        <v>Legal provisions short term (323A, 451A)</v>
      </c>
      <c r="C240" s="1747"/>
      <c r="D240" s="1747"/>
      <c r="E240" s="1747"/>
      <c r="F240" s="1748"/>
      <c r="G240" s="1209" t="s">
        <v>2328</v>
      </c>
      <c r="H240" s="1251"/>
      <c r="I240" s="1688">
        <f>BS!D152</f>
        <v>43381</v>
      </c>
      <c r="J240" s="1690"/>
      <c r="K240" s="1688">
        <f>BS!E152</f>
        <v>42770</v>
      </c>
      <c r="L240" s="1691"/>
      <c r="Q240" s="1746"/>
      <c r="R240" s="1747"/>
      <c r="S240" s="1747"/>
      <c r="T240" s="1747"/>
      <c r="U240" s="1748"/>
      <c r="V240" s="2495" t="s">
        <v>733</v>
      </c>
      <c r="W240" s="2496"/>
      <c r="X240" s="2496"/>
      <c r="Y240" s="2496"/>
    </row>
    <row r="241" spans="1:25" s="1187" customFormat="1" ht="27.75" customHeight="1">
      <c r="A241" s="1199" t="s">
        <v>532</v>
      </c>
      <c r="B241" s="1746" t="str">
        <f t="shared" si="2"/>
        <v>Other short term provisions (323, 32X, 459A, 45XA)</v>
      </c>
      <c r="C241" s="1747"/>
      <c r="D241" s="1747"/>
      <c r="E241" s="1747"/>
      <c r="F241" s="1748"/>
      <c r="G241" s="1209" t="s">
        <v>2329</v>
      </c>
      <c r="H241" s="1251"/>
      <c r="I241" s="1688">
        <f>BS!D153</f>
        <v>91325</v>
      </c>
      <c r="J241" s="1690"/>
      <c r="K241" s="1688">
        <f>BS!E153</f>
        <v>70352</v>
      </c>
      <c r="L241" s="1691"/>
      <c r="Q241" s="1746"/>
      <c r="R241" s="1747"/>
      <c r="S241" s="1747"/>
      <c r="T241" s="1747"/>
      <c r="U241" s="1748"/>
      <c r="V241" s="2495" t="s">
        <v>2704</v>
      </c>
      <c r="W241" s="2496"/>
      <c r="X241" s="2496"/>
      <c r="Y241" s="2496"/>
    </row>
    <row r="242" spans="1:25" s="1187" customFormat="1" ht="27.75" customHeight="1">
      <c r="A242" s="1401" t="s">
        <v>2330</v>
      </c>
      <c r="B242" s="1741" t="str">
        <f t="shared" si="2"/>
        <v>Current bank loans (221A, 231, 232, 23X, 461A, 46XA)</v>
      </c>
      <c r="C242" s="1742"/>
      <c r="D242" s="1742"/>
      <c r="E242" s="1742"/>
      <c r="F242" s="1743"/>
      <c r="G242" s="1263" t="s">
        <v>2331</v>
      </c>
      <c r="H242" s="1264"/>
      <c r="I242" s="1757">
        <f>BS!D154</f>
        <v>1278</v>
      </c>
      <c r="J242" s="1758"/>
      <c r="K242" s="1757">
        <f>BS!E154</f>
        <v>4286</v>
      </c>
      <c r="L242" s="1759"/>
      <c r="Q242" s="1741"/>
      <c r="R242" s="1742"/>
      <c r="S242" s="2493"/>
      <c r="T242" s="2493"/>
      <c r="U242" s="2494"/>
      <c r="V242" s="2495" t="s">
        <v>793</v>
      </c>
      <c r="W242" s="2496"/>
      <c r="X242" s="2496"/>
      <c r="Y242" s="2496"/>
    </row>
    <row r="243" spans="1:25" s="1187" customFormat="1" ht="27.75" customHeight="1">
      <c r="A243" s="1378" t="s">
        <v>2332</v>
      </c>
      <c r="B243" s="1741" t="str">
        <f t="shared" si="2"/>
        <v>Short term financial borrowings (241, 249, 24x, 473A, /-/255A)</v>
      </c>
      <c r="C243" s="1742"/>
      <c r="D243" s="1742"/>
      <c r="E243" s="1742"/>
      <c r="F243" s="1743"/>
      <c r="G243" s="1208" t="s">
        <v>2333</v>
      </c>
      <c r="H243" s="1250"/>
      <c r="I243" s="1656">
        <f>BS!D155</f>
        <v>0</v>
      </c>
      <c r="J243" s="1658"/>
      <c r="K243" s="1656">
        <f>BS!E155</f>
        <v>0</v>
      </c>
      <c r="L243" s="1659"/>
      <c r="Q243" s="1741"/>
      <c r="R243" s="1742"/>
      <c r="S243" s="1742"/>
      <c r="T243" s="1742"/>
      <c r="U243" s="1743"/>
      <c r="V243" s="2495" t="s">
        <v>785</v>
      </c>
      <c r="W243" s="2496"/>
      <c r="X243" s="2496"/>
      <c r="Y243" s="2496"/>
    </row>
    <row r="244" spans="1:25" s="1187" customFormat="1" ht="27.75" customHeight="1">
      <c r="A244" s="1378" t="s">
        <v>663</v>
      </c>
      <c r="B244" s="1741" t="str">
        <f t="shared" si="2"/>
        <v>Accruals and deferred income - total (l. 142 to l. 145)</v>
      </c>
      <c r="C244" s="1742"/>
      <c r="D244" s="1742"/>
      <c r="E244" s="1742"/>
      <c r="F244" s="1743"/>
      <c r="G244" s="1208" t="s">
        <v>2335</v>
      </c>
      <c r="H244" s="1250"/>
      <c r="I244" s="1656">
        <f>BS!D156</f>
        <v>0</v>
      </c>
      <c r="J244" s="1658"/>
      <c r="K244" s="1656">
        <f>BS!E156</f>
        <v>0</v>
      </c>
      <c r="L244" s="1659"/>
      <c r="Q244" s="1741"/>
      <c r="R244" s="1742"/>
      <c r="S244" s="1742"/>
      <c r="T244" s="1742"/>
      <c r="U244" s="1743"/>
      <c r="V244" s="2495" t="s">
        <v>2705</v>
      </c>
      <c r="W244" s="2496"/>
      <c r="X244" s="2496"/>
      <c r="Y244" s="2496"/>
    </row>
    <row r="245" spans="1:25" s="1187" customFormat="1" ht="27.75" customHeight="1">
      <c r="A245" s="1387" t="s">
        <v>666</v>
      </c>
      <c r="B245" s="1746" t="str">
        <f t="shared" si="2"/>
        <v>Accruals long term (383A)</v>
      </c>
      <c r="C245" s="1747"/>
      <c r="D245" s="1747"/>
      <c r="E245" s="1747"/>
      <c r="F245" s="1748"/>
      <c r="G245" s="1209" t="s">
        <v>2336</v>
      </c>
      <c r="H245" s="1251"/>
      <c r="I245" s="1688">
        <f>BS!D157</f>
        <v>0</v>
      </c>
      <c r="J245" s="1690"/>
      <c r="K245" s="1688">
        <f>BS!E157</f>
        <v>0</v>
      </c>
      <c r="L245" s="1691"/>
      <c r="Q245" s="1746"/>
      <c r="R245" s="1747"/>
      <c r="S245" s="1747"/>
      <c r="T245" s="1747"/>
      <c r="U245" s="1748"/>
      <c r="V245" s="2495" t="s">
        <v>797</v>
      </c>
      <c r="W245" s="2496"/>
      <c r="X245" s="2496"/>
      <c r="Y245" s="2496"/>
    </row>
    <row r="246" spans="1:25" s="1187" customFormat="1" ht="27.75" customHeight="1">
      <c r="A246" s="1387" t="s">
        <v>532</v>
      </c>
      <c r="B246" s="1746" t="str">
        <f t="shared" si="2"/>
        <v>Accruals short term (383A)</v>
      </c>
      <c r="C246" s="1747"/>
      <c r="D246" s="1747"/>
      <c r="E246" s="1747"/>
      <c r="F246" s="1748"/>
      <c r="G246" s="1209" t="s">
        <v>2337</v>
      </c>
      <c r="H246" s="1251"/>
      <c r="I246" s="1688">
        <f>BS!D158</f>
        <v>0</v>
      </c>
      <c r="J246" s="1690"/>
      <c r="K246" s="1688">
        <f>BS!E158</f>
        <v>0</v>
      </c>
      <c r="L246" s="1691"/>
      <c r="Q246" s="1746"/>
      <c r="R246" s="1747"/>
      <c r="S246" s="1747"/>
      <c r="T246" s="1747"/>
      <c r="U246" s="1748"/>
      <c r="V246" s="2495" t="s">
        <v>799</v>
      </c>
      <c r="W246" s="2496"/>
      <c r="X246" s="2496"/>
      <c r="Y246" s="2496"/>
    </row>
    <row r="247" spans="1:25" s="1187" customFormat="1" ht="27.75" customHeight="1">
      <c r="A247" s="1387" t="s">
        <v>535</v>
      </c>
      <c r="B247" s="1746" t="str">
        <f t="shared" si="2"/>
        <v>Deferred income long term (384A)</v>
      </c>
      <c r="C247" s="1747"/>
      <c r="D247" s="1747"/>
      <c r="E247" s="1747"/>
      <c r="F247" s="1748"/>
      <c r="G247" s="1209" t="s">
        <v>2338</v>
      </c>
      <c r="H247" s="1251"/>
      <c r="I247" s="1688">
        <f>BS!D159</f>
        <v>0</v>
      </c>
      <c r="J247" s="1690"/>
      <c r="K247" s="1688">
        <f>BS!E159</f>
        <v>0</v>
      </c>
      <c r="L247" s="1691"/>
      <c r="Q247" s="1746"/>
      <c r="R247" s="1747"/>
      <c r="S247" s="1747"/>
      <c r="T247" s="1747"/>
      <c r="U247" s="1748"/>
      <c r="V247" s="2495" t="s">
        <v>801</v>
      </c>
      <c r="W247" s="2496"/>
      <c r="X247" s="2496"/>
      <c r="Y247" s="2496"/>
    </row>
    <row r="248" spans="1:25" ht="27.75" customHeight="1" thickBot="1">
      <c r="A248" s="1396" t="s">
        <v>538</v>
      </c>
      <c r="B248" s="1749" t="str">
        <f t="shared" si="2"/>
        <v>Deferred income short term (384A)</v>
      </c>
      <c r="C248" s="1750"/>
      <c r="D248" s="1750"/>
      <c r="E248" s="1750"/>
      <c r="F248" s="1751"/>
      <c r="G248" s="1365" t="s">
        <v>2339</v>
      </c>
      <c r="H248" s="1366"/>
      <c r="I248" s="1703">
        <f>BS!D160</f>
        <v>0</v>
      </c>
      <c r="J248" s="1752"/>
      <c r="K248" s="1703">
        <f>BS!E160</f>
        <v>0</v>
      </c>
      <c r="L248" s="1705"/>
      <c r="Q248" s="1749"/>
      <c r="R248" s="1750"/>
      <c r="S248" s="1750"/>
      <c r="T248" s="1750"/>
      <c r="U248" s="1751"/>
      <c r="V248" s="2495" t="s">
        <v>803</v>
      </c>
      <c r="W248" s="2496"/>
      <c r="X248" s="2496"/>
      <c r="Y248" s="2496"/>
    </row>
    <row r="249" spans="1:25" ht="27.75" customHeight="1">
      <c r="A249" s="1190"/>
      <c r="B249" s="1191"/>
      <c r="C249" s="1191"/>
      <c r="D249" s="1201"/>
      <c r="E249" s="1201"/>
      <c r="F249" s="1201"/>
      <c r="G249" s="1192"/>
      <c r="H249" s="1192"/>
      <c r="I249" s="1193"/>
      <c r="J249" s="1193"/>
      <c r="K249" s="1193"/>
      <c r="L249" s="1193"/>
      <c r="O249" s="1191"/>
      <c r="V249" s="2495"/>
      <c r="W249" s="2496"/>
      <c r="X249" s="2496"/>
      <c r="Y249" s="2496"/>
    </row>
    <row r="250" spans="1:25" ht="24.75" customHeight="1">
      <c r="V250" s="2495"/>
      <c r="W250" s="2496"/>
      <c r="X250" s="2496"/>
      <c r="Y250" s="2496"/>
    </row>
    <row r="251" spans="1:25" ht="24.75" customHeight="1">
      <c r="V251" s="2495"/>
      <c r="W251" s="2496"/>
      <c r="X251" s="2496"/>
      <c r="Y251" s="2496"/>
    </row>
    <row r="252" spans="1:25" ht="24.75" customHeight="1">
      <c r="V252" s="2495"/>
      <c r="W252" s="2496"/>
      <c r="X252" s="2496"/>
      <c r="Y252" s="2496"/>
    </row>
  </sheetData>
  <mergeCells count="1054">
    <mergeCell ref="V252:Y252"/>
    <mergeCell ref="V243:Y243"/>
    <mergeCell ref="V244:Y244"/>
    <mergeCell ref="V245:Y245"/>
    <mergeCell ref="V246:Y246"/>
    <mergeCell ref="V247:Y247"/>
    <mergeCell ref="V248:Y248"/>
    <mergeCell ref="V249:Y249"/>
    <mergeCell ref="V250:Y250"/>
    <mergeCell ref="V251:Y251"/>
    <mergeCell ref="V234:Y234"/>
    <mergeCell ref="V235:Y235"/>
    <mergeCell ref="V236:Y236"/>
    <mergeCell ref="V237:Y237"/>
    <mergeCell ref="V238:Y238"/>
    <mergeCell ref="V239:Y239"/>
    <mergeCell ref="V240:Y240"/>
    <mergeCell ref="V241:Y241"/>
    <mergeCell ref="V242:Y242"/>
    <mergeCell ref="V225:Y225"/>
    <mergeCell ref="V226:Y226"/>
    <mergeCell ref="V227:Y227"/>
    <mergeCell ref="V228:Y228"/>
    <mergeCell ref="V229:Y229"/>
    <mergeCell ref="V230:Y230"/>
    <mergeCell ref="V231:Y231"/>
    <mergeCell ref="V232:Y232"/>
    <mergeCell ref="V233:Y233"/>
    <mergeCell ref="V216:Y216"/>
    <mergeCell ref="V217:Y217"/>
    <mergeCell ref="V218:Y218"/>
    <mergeCell ref="V219:Y219"/>
    <mergeCell ref="V220:Y220"/>
    <mergeCell ref="V221:Y221"/>
    <mergeCell ref="V222:Y222"/>
    <mergeCell ref="V223:Y223"/>
    <mergeCell ref="V224:Y224"/>
    <mergeCell ref="V207:Y207"/>
    <mergeCell ref="V208:Y208"/>
    <mergeCell ref="V209:Y209"/>
    <mergeCell ref="V210:Y210"/>
    <mergeCell ref="V211:Y211"/>
    <mergeCell ref="V212:Y212"/>
    <mergeCell ref="V213:Y213"/>
    <mergeCell ref="V214:Y214"/>
    <mergeCell ref="V215:Y215"/>
    <mergeCell ref="V198:Y198"/>
    <mergeCell ref="V199:Y199"/>
    <mergeCell ref="V200:Y200"/>
    <mergeCell ref="V201:Y201"/>
    <mergeCell ref="V202:Y202"/>
    <mergeCell ref="V203:Y203"/>
    <mergeCell ref="V204:Y204"/>
    <mergeCell ref="V205:Y205"/>
    <mergeCell ref="V206:Y206"/>
    <mergeCell ref="V189:Y189"/>
    <mergeCell ref="V190:Y190"/>
    <mergeCell ref="V191:Y191"/>
    <mergeCell ref="V192:Y192"/>
    <mergeCell ref="V193:Y193"/>
    <mergeCell ref="V194:Y194"/>
    <mergeCell ref="V195:Y195"/>
    <mergeCell ref="V196:Y196"/>
    <mergeCell ref="V197:Y197"/>
    <mergeCell ref="V180:Y180"/>
    <mergeCell ref="V181:Y181"/>
    <mergeCell ref="V182:Y182"/>
    <mergeCell ref="V183:Y183"/>
    <mergeCell ref="V184:Y184"/>
    <mergeCell ref="V185:Y185"/>
    <mergeCell ref="V186:Y186"/>
    <mergeCell ref="V187:Y187"/>
    <mergeCell ref="V188:Y188"/>
    <mergeCell ref="Q240:U240"/>
    <mergeCell ref="Q241:U241"/>
    <mergeCell ref="Q242:U242"/>
    <mergeCell ref="Q243:U243"/>
    <mergeCell ref="Q244:U244"/>
    <mergeCell ref="Q245:U245"/>
    <mergeCell ref="Q246:U246"/>
    <mergeCell ref="Q247:U247"/>
    <mergeCell ref="Q248:U248"/>
    <mergeCell ref="Q231:U231"/>
    <mergeCell ref="Q232:U232"/>
    <mergeCell ref="Q233:U233"/>
    <mergeCell ref="Q234:U234"/>
    <mergeCell ref="Q235:U235"/>
    <mergeCell ref="Q236:U236"/>
    <mergeCell ref="Q237:U237"/>
    <mergeCell ref="Q238:U238"/>
    <mergeCell ref="Q239:U239"/>
    <mergeCell ref="Q222:U222"/>
    <mergeCell ref="Q223:U223"/>
    <mergeCell ref="Q224:U224"/>
    <mergeCell ref="Q225:U225"/>
    <mergeCell ref="Q226:U226"/>
    <mergeCell ref="Q227:U227"/>
    <mergeCell ref="Q228:U228"/>
    <mergeCell ref="Q229:U229"/>
    <mergeCell ref="Q230:U230"/>
    <mergeCell ref="Q213:U213"/>
    <mergeCell ref="Q214:U214"/>
    <mergeCell ref="Q215:U215"/>
    <mergeCell ref="Q216:U216"/>
    <mergeCell ref="Q217:U217"/>
    <mergeCell ref="Q218:U218"/>
    <mergeCell ref="Q219:U219"/>
    <mergeCell ref="Q220:U220"/>
    <mergeCell ref="Q221:U221"/>
    <mergeCell ref="Q204:U204"/>
    <mergeCell ref="Q205:U205"/>
    <mergeCell ref="Q206:U206"/>
    <mergeCell ref="Q207:U207"/>
    <mergeCell ref="Q208:U208"/>
    <mergeCell ref="Q209:U209"/>
    <mergeCell ref="Q210:U210"/>
    <mergeCell ref="Q211:U211"/>
    <mergeCell ref="Q212:U212"/>
    <mergeCell ref="Q195:U195"/>
    <mergeCell ref="Q196:U196"/>
    <mergeCell ref="Q197:U197"/>
    <mergeCell ref="Q198:U198"/>
    <mergeCell ref="Q199:U199"/>
    <mergeCell ref="Q200:U200"/>
    <mergeCell ref="Q201:U201"/>
    <mergeCell ref="Q202:U202"/>
    <mergeCell ref="Q203:U203"/>
    <mergeCell ref="Q186:U186"/>
    <mergeCell ref="Q187:U187"/>
    <mergeCell ref="Q188:U188"/>
    <mergeCell ref="Q189:U189"/>
    <mergeCell ref="Q190:U190"/>
    <mergeCell ref="Q191:U191"/>
    <mergeCell ref="Q192:U192"/>
    <mergeCell ref="Q193:U193"/>
    <mergeCell ref="Q194:U194"/>
    <mergeCell ref="O172:O173"/>
    <mergeCell ref="O174:O175"/>
    <mergeCell ref="O176:O177"/>
    <mergeCell ref="Q180:U180"/>
    <mergeCell ref="Q181:U181"/>
    <mergeCell ref="Q182:U182"/>
    <mergeCell ref="Q183:U183"/>
    <mergeCell ref="Q184:U184"/>
    <mergeCell ref="Q185:U185"/>
    <mergeCell ref="O153:O154"/>
    <mergeCell ref="O155:O156"/>
    <mergeCell ref="O157:O158"/>
    <mergeCell ref="O159:O161"/>
    <mergeCell ref="O162:O163"/>
    <mergeCell ref="O164:O165"/>
    <mergeCell ref="O166:O167"/>
    <mergeCell ref="O168:O169"/>
    <mergeCell ref="O170:O171"/>
    <mergeCell ref="O135:O136"/>
    <mergeCell ref="O137:O138"/>
    <mergeCell ref="O139:O140"/>
    <mergeCell ref="O141:O142"/>
    <mergeCell ref="O143:O144"/>
    <mergeCell ref="O145:O146"/>
    <mergeCell ref="O147:O148"/>
    <mergeCell ref="O149:O150"/>
    <mergeCell ref="O151:O152"/>
    <mergeCell ref="O116:O117"/>
    <mergeCell ref="O118:O119"/>
    <mergeCell ref="O120:O121"/>
    <mergeCell ref="O122:O123"/>
    <mergeCell ref="O124:O125"/>
    <mergeCell ref="O126:O127"/>
    <mergeCell ref="O128:O130"/>
    <mergeCell ref="O131:O132"/>
    <mergeCell ref="O133:O134"/>
    <mergeCell ref="O97:O99"/>
    <mergeCell ref="O100:O101"/>
    <mergeCell ref="O102:O103"/>
    <mergeCell ref="O104:O105"/>
    <mergeCell ref="O106:O107"/>
    <mergeCell ref="O108:O109"/>
    <mergeCell ref="O110:O111"/>
    <mergeCell ref="O112:O113"/>
    <mergeCell ref="O114:O115"/>
    <mergeCell ref="O79:O80"/>
    <mergeCell ref="O81:O82"/>
    <mergeCell ref="O83:O84"/>
    <mergeCell ref="O85:O86"/>
    <mergeCell ref="O87:O88"/>
    <mergeCell ref="O89:O90"/>
    <mergeCell ref="O91:O92"/>
    <mergeCell ref="O93:O94"/>
    <mergeCell ref="O95:O96"/>
    <mergeCell ref="O60:O61"/>
    <mergeCell ref="O62:O63"/>
    <mergeCell ref="O64:O65"/>
    <mergeCell ref="O66:O68"/>
    <mergeCell ref="O69:O70"/>
    <mergeCell ref="O71:O72"/>
    <mergeCell ref="O73:O74"/>
    <mergeCell ref="O75:O76"/>
    <mergeCell ref="O77:O78"/>
    <mergeCell ref="O42:O43"/>
    <mergeCell ref="O44:O45"/>
    <mergeCell ref="O46:O47"/>
    <mergeCell ref="O48:O49"/>
    <mergeCell ref="O50:O51"/>
    <mergeCell ref="O52:O53"/>
    <mergeCell ref="O54:O55"/>
    <mergeCell ref="O56:O57"/>
    <mergeCell ref="O58:O59"/>
    <mergeCell ref="O23:O24"/>
    <mergeCell ref="O25:O26"/>
    <mergeCell ref="O27:O28"/>
    <mergeCell ref="O29:O30"/>
    <mergeCell ref="O31:O32"/>
    <mergeCell ref="O33:O34"/>
    <mergeCell ref="O35:O37"/>
    <mergeCell ref="O38:O39"/>
    <mergeCell ref="O40:O41"/>
    <mergeCell ref="O4:O6"/>
    <mergeCell ref="O7:O8"/>
    <mergeCell ref="O9:O10"/>
    <mergeCell ref="O11:O12"/>
    <mergeCell ref="O13:O14"/>
    <mergeCell ref="O15:O16"/>
    <mergeCell ref="O17:O18"/>
    <mergeCell ref="O19:O20"/>
    <mergeCell ref="O21:O22"/>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I161:J161"/>
    <mergeCell ref="K161:L161"/>
    <mergeCell ref="A162:A163"/>
    <mergeCell ref="B162:B163"/>
    <mergeCell ref="D162:D163"/>
    <mergeCell ref="E162:G162"/>
    <mergeCell ref="I162:K162"/>
    <mergeCell ref="E163:G163"/>
    <mergeCell ref="J163:L163"/>
    <mergeCell ref="A159:A161"/>
    <mergeCell ref="B159:B161"/>
    <mergeCell ref="C159:C161"/>
    <mergeCell ref="D159:D161"/>
    <mergeCell ref="E159:J159"/>
    <mergeCell ref="K159:L160"/>
    <mergeCell ref="E160:E161"/>
    <mergeCell ref="F160:G160"/>
    <mergeCell ref="I160:J160"/>
    <mergeCell ref="F161:G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I130:J130"/>
    <mergeCell ref="K130:L130"/>
    <mergeCell ref="A131:A132"/>
    <mergeCell ref="B131:B132"/>
    <mergeCell ref="D131:D132"/>
    <mergeCell ref="E131:G131"/>
    <mergeCell ref="I131:K131"/>
    <mergeCell ref="E132:G132"/>
    <mergeCell ref="J132:L132"/>
    <mergeCell ref="A128:A130"/>
    <mergeCell ref="B128:B130"/>
    <mergeCell ref="C128:C130"/>
    <mergeCell ref="D128:D130"/>
    <mergeCell ref="E128:J128"/>
    <mergeCell ref="K128:L129"/>
    <mergeCell ref="E129:E130"/>
    <mergeCell ref="F129:G129"/>
    <mergeCell ref="I129:J129"/>
    <mergeCell ref="F130:G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I99:J99"/>
    <mergeCell ref="K99:L99"/>
    <mergeCell ref="A100:A101"/>
    <mergeCell ref="B100:B101"/>
    <mergeCell ref="D100:D101"/>
    <mergeCell ref="E100:G100"/>
    <mergeCell ref="I100:K100"/>
    <mergeCell ref="E101:G101"/>
    <mergeCell ref="J101:L101"/>
    <mergeCell ref="A97:A99"/>
    <mergeCell ref="B97:B99"/>
    <mergeCell ref="C97:C99"/>
    <mergeCell ref="D97:D99"/>
    <mergeCell ref="E97:J97"/>
    <mergeCell ref="K97:L98"/>
    <mergeCell ref="E98:E99"/>
    <mergeCell ref="F98:G98"/>
    <mergeCell ref="I98:J98"/>
    <mergeCell ref="F99:G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I68:J68"/>
    <mergeCell ref="K68:L68"/>
    <mergeCell ref="A69:A70"/>
    <mergeCell ref="B69:B70"/>
    <mergeCell ref="D69:D70"/>
    <mergeCell ref="E69:G69"/>
    <mergeCell ref="I69:K69"/>
    <mergeCell ref="E70:G70"/>
    <mergeCell ref="J70:L70"/>
    <mergeCell ref="A66:A68"/>
    <mergeCell ref="B66:B68"/>
    <mergeCell ref="C66:C68"/>
    <mergeCell ref="D66:D68"/>
    <mergeCell ref="E66:J66"/>
    <mergeCell ref="K66:L67"/>
    <mergeCell ref="E67:E68"/>
    <mergeCell ref="F67:G67"/>
    <mergeCell ref="I67:J67"/>
    <mergeCell ref="F68:G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I37:J37"/>
    <mergeCell ref="K37:L37"/>
    <mergeCell ref="A38:A39"/>
    <mergeCell ref="B38:B39"/>
    <mergeCell ref="D38:D39"/>
    <mergeCell ref="E38:G38"/>
    <mergeCell ref="I38:K38"/>
    <mergeCell ref="E39:G39"/>
    <mergeCell ref="J39:L39"/>
    <mergeCell ref="A35:A37"/>
    <mergeCell ref="B35:B37"/>
    <mergeCell ref="C35:C37"/>
    <mergeCell ref="D35:D37"/>
    <mergeCell ref="E35:J35"/>
    <mergeCell ref="K35:L36"/>
    <mergeCell ref="E36:E37"/>
    <mergeCell ref="F36:G36"/>
    <mergeCell ref="I36:J36"/>
    <mergeCell ref="F37:G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I9:K9"/>
    <mergeCell ref="E10:G1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I6:J6"/>
    <mergeCell ref="K6:L6"/>
    <mergeCell ref="A7:A8"/>
    <mergeCell ref="B7:B8"/>
    <mergeCell ref="D7:D8"/>
    <mergeCell ref="E7:G7"/>
    <mergeCell ref="I7:K7"/>
    <mergeCell ref="E8:G8"/>
    <mergeCell ref="J8:L8"/>
    <mergeCell ref="A4:A6"/>
    <mergeCell ref="B4:B6"/>
    <mergeCell ref="C4:C6"/>
    <mergeCell ref="D4:D6"/>
    <mergeCell ref="E4:J4"/>
    <mergeCell ref="K4:L5"/>
    <mergeCell ref="E5:E6"/>
    <mergeCell ref="F5:G5"/>
    <mergeCell ref="I5:J5"/>
    <mergeCell ref="F6:G6"/>
    <mergeCell ref="A9:A10"/>
    <mergeCell ref="B9:B10"/>
    <mergeCell ref="D9:D10"/>
    <mergeCell ref="E9:G9"/>
    <mergeCell ref="D13:D14"/>
    <mergeCell ref="E13:G13"/>
    <mergeCell ref="I13:K13"/>
    <mergeCell ref="E14:G14"/>
    <mergeCell ref="J14:L14"/>
    <mergeCell ref="A11:A12"/>
    <mergeCell ref="B11:B12"/>
    <mergeCell ref="D11:D12"/>
    <mergeCell ref="E11:G11"/>
    <mergeCell ref="I11:K11"/>
    <mergeCell ref="E12:G12"/>
    <mergeCell ref="J12:L12"/>
    <mergeCell ref="J10:L10"/>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No. 18009/2014&amp;CTHIS IS A TRANSLATION OF THE ORIGINAL SLOVAK DOCUMENT.&amp;RPage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3"/>
  <sheetViews>
    <sheetView zoomScaleNormal="100" zoomScaleSheetLayoutView="100" workbookViewId="0">
      <selection activeCell="B211" sqref="B211"/>
    </sheetView>
  </sheetViews>
  <sheetFormatPr defaultColWidth="9.1796875" defaultRowHeight="11"/>
  <cols>
    <col min="1" max="1" width="5.54296875" style="502" customWidth="1"/>
    <col min="2" max="2" width="18.7265625" style="502" customWidth="1"/>
    <col min="3" max="3" width="3.7265625" style="502" customWidth="1"/>
    <col min="4" max="4" width="3.54296875" style="502" customWidth="1"/>
    <col min="5" max="5" width="12.453125" style="502" customWidth="1"/>
    <col min="6" max="6" width="12.1796875" style="502" customWidth="1"/>
    <col min="7" max="7" width="14.7265625" style="502" customWidth="1"/>
    <col min="8" max="8" width="3.54296875" style="502" customWidth="1"/>
    <col min="9" max="9" width="10.54296875" style="502" customWidth="1"/>
    <col min="10" max="10" width="14.453125" style="502" customWidth="1"/>
    <col min="11" max="16384" width="9.1796875" style="502"/>
  </cols>
  <sheetData>
    <row r="1" spans="1:13" ht="7.5" customHeight="1">
      <c r="A1" s="501"/>
      <c r="F1" s="445"/>
      <c r="G1" s="445"/>
      <c r="H1" s="445"/>
      <c r="I1" s="445"/>
    </row>
    <row r="2" spans="1:13" ht="17.25" customHeight="1">
      <c r="A2" s="501"/>
      <c r="B2" s="2544" t="s">
        <v>1412</v>
      </c>
      <c r="C2" s="2545"/>
      <c r="E2" s="445"/>
      <c r="F2" s="525" t="s">
        <v>1445</v>
      </c>
      <c r="G2" s="2546"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H2" s="2547"/>
      <c r="I2" s="2548"/>
    </row>
    <row r="3" spans="1:13" ht="7.5" customHeight="1" thickBot="1">
      <c r="A3" s="501"/>
    </row>
    <row r="4" spans="1:13" s="519" customFormat="1" ht="11.25" customHeight="1">
      <c r="A4" s="2549" t="s">
        <v>1446</v>
      </c>
      <c r="B4" s="2550" t="s">
        <v>1447</v>
      </c>
      <c r="C4" s="2551" t="s">
        <v>1448</v>
      </c>
      <c r="D4" s="2369" t="s">
        <v>1449</v>
      </c>
      <c r="E4" s="2428"/>
      <c r="F4" s="2428"/>
      <c r="G4" s="2428"/>
      <c r="H4" s="2373"/>
      <c r="I4" s="2431" t="s">
        <v>1450</v>
      </c>
      <c r="J4" s="2432"/>
    </row>
    <row r="5" spans="1:13" s="519" customFormat="1" ht="11.25" customHeight="1">
      <c r="A5" s="2518"/>
      <c r="B5" s="2519"/>
      <c r="C5" s="2520"/>
      <c r="D5" s="2411">
        <v>1</v>
      </c>
      <c r="E5" s="2379" t="s">
        <v>1451</v>
      </c>
      <c r="F5" s="2439"/>
      <c r="G5" s="2435" t="s">
        <v>1452</v>
      </c>
      <c r="H5" s="2437"/>
      <c r="I5" s="2371"/>
      <c r="J5" s="2372"/>
    </row>
    <row r="6" spans="1:13" s="519" customFormat="1" ht="12" customHeight="1">
      <c r="A6" s="2381"/>
      <c r="B6" s="2389"/>
      <c r="C6" s="2391"/>
      <c r="D6" s="2521"/>
      <c r="E6" s="2379" t="s">
        <v>1453</v>
      </c>
      <c r="F6" s="2439"/>
      <c r="G6" s="2371"/>
      <c r="H6" s="2374"/>
      <c r="I6" s="2379" t="s">
        <v>1454</v>
      </c>
      <c r="J6" s="2380"/>
    </row>
    <row r="7" spans="1:13" s="521" customFormat="1" ht="28" customHeight="1">
      <c r="A7" s="2541"/>
      <c r="B7" s="2543" t="s">
        <v>1455</v>
      </c>
      <c r="C7" s="2401" t="s">
        <v>522</v>
      </c>
      <c r="D7" s="2367">
        <f>'BS old'!D10</f>
        <v>0</v>
      </c>
      <c r="E7" s="2367"/>
      <c r="F7" s="2367"/>
      <c r="G7" s="2364">
        <f>'BS old'!F10</f>
        <v>0</v>
      </c>
      <c r="H7" s="2365"/>
      <c r="I7" s="2366"/>
      <c r="J7" s="520"/>
    </row>
    <row r="8" spans="1:13" s="521" customFormat="1" ht="28" customHeight="1">
      <c r="A8" s="2542"/>
      <c r="B8" s="2398"/>
      <c r="C8" s="2401"/>
      <c r="D8" s="2367">
        <f>'BS old'!E10</f>
        <v>0</v>
      </c>
      <c r="E8" s="2367"/>
      <c r="F8" s="2367"/>
      <c r="G8" s="802"/>
      <c r="H8" s="2364">
        <f>'BS old'!G10</f>
        <v>0</v>
      </c>
      <c r="I8" s="2365"/>
      <c r="J8" s="2368"/>
      <c r="M8" s="521" t="s">
        <v>1093</v>
      </c>
    </row>
    <row r="9" spans="1:13" s="521" customFormat="1" ht="28" customHeight="1">
      <c r="A9" s="2516" t="s">
        <v>523</v>
      </c>
      <c r="B9" s="2398" t="s">
        <v>1456</v>
      </c>
      <c r="C9" s="2401" t="s">
        <v>525</v>
      </c>
      <c r="D9" s="2367">
        <f>'BS old'!D11</f>
        <v>0</v>
      </c>
      <c r="E9" s="2367"/>
      <c r="F9" s="2367"/>
      <c r="G9" s="2364">
        <f>'BS old'!F11</f>
        <v>0</v>
      </c>
      <c r="H9" s="2365"/>
      <c r="I9" s="2366"/>
      <c r="J9" s="520"/>
    </row>
    <row r="10" spans="1:13" s="521" customFormat="1" ht="28" customHeight="1">
      <c r="A10" s="2517"/>
      <c r="B10" s="2398"/>
      <c r="C10" s="2401"/>
      <c r="D10" s="2367">
        <f>'BS old'!E11</f>
        <v>0</v>
      </c>
      <c r="E10" s="2367"/>
      <c r="F10" s="2367"/>
      <c r="G10" s="802"/>
      <c r="H10" s="2364">
        <f>'BS old'!G11</f>
        <v>0</v>
      </c>
      <c r="I10" s="2365"/>
      <c r="J10" s="2368"/>
    </row>
    <row r="11" spans="1:13" s="521" customFormat="1" ht="28" customHeight="1">
      <c r="A11" s="2516" t="s">
        <v>526</v>
      </c>
      <c r="B11" s="2398" t="s">
        <v>1457</v>
      </c>
      <c r="C11" s="2401" t="s">
        <v>528</v>
      </c>
      <c r="D11" s="2367">
        <f>'BS old'!D12</f>
        <v>0</v>
      </c>
      <c r="E11" s="2367"/>
      <c r="F11" s="2367"/>
      <c r="G11" s="2364">
        <f>'BS old'!F12</f>
        <v>0</v>
      </c>
      <c r="H11" s="2365"/>
      <c r="I11" s="2366"/>
      <c r="J11" s="836"/>
    </row>
    <row r="12" spans="1:13" s="521" customFormat="1" ht="28" customHeight="1">
      <c r="A12" s="2517"/>
      <c r="B12" s="2398"/>
      <c r="C12" s="2401"/>
      <c r="D12" s="2367">
        <f>'BS old'!E12</f>
        <v>0</v>
      </c>
      <c r="E12" s="2367"/>
      <c r="F12" s="2367"/>
      <c r="G12" s="802"/>
      <c r="H12" s="2364">
        <f>'BS old'!G12</f>
        <v>0</v>
      </c>
      <c r="I12" s="2365"/>
      <c r="J12" s="2368"/>
    </row>
    <row r="13" spans="1:13" s="519" customFormat="1" ht="28" customHeight="1">
      <c r="A13" s="2528" t="s">
        <v>529</v>
      </c>
      <c r="B13" s="2386" t="s">
        <v>1458</v>
      </c>
      <c r="C13" s="2535" t="s">
        <v>531</v>
      </c>
      <c r="D13" s="2367">
        <f>'BS old'!D13</f>
        <v>0</v>
      </c>
      <c r="E13" s="2367"/>
      <c r="F13" s="2367"/>
      <c r="G13" s="2364">
        <f>'BS old'!F13</f>
        <v>0</v>
      </c>
      <c r="H13" s="2365"/>
      <c r="I13" s="2366"/>
      <c r="J13" s="520"/>
    </row>
    <row r="14" spans="1:13" s="519" customFormat="1" ht="28" customHeight="1">
      <c r="A14" s="2529"/>
      <c r="B14" s="2386"/>
      <c r="C14" s="2387"/>
      <c r="D14" s="2367">
        <f>'BS old'!E13</f>
        <v>0</v>
      </c>
      <c r="E14" s="2367"/>
      <c r="F14" s="2367"/>
      <c r="G14" s="802"/>
      <c r="H14" s="2364">
        <f>'BS old'!G13</f>
        <v>0</v>
      </c>
      <c r="I14" s="2365"/>
      <c r="J14" s="2368"/>
    </row>
    <row r="15" spans="1:13" s="519" customFormat="1" ht="28" customHeight="1">
      <c r="A15" s="2512" t="s">
        <v>532</v>
      </c>
      <c r="B15" s="2386" t="s">
        <v>1459</v>
      </c>
      <c r="C15" s="2535" t="s">
        <v>534</v>
      </c>
      <c r="D15" s="2367">
        <f>'BS old'!D14</f>
        <v>0</v>
      </c>
      <c r="E15" s="2367"/>
      <c r="F15" s="2367"/>
      <c r="G15" s="2364">
        <f>'BS old'!F14</f>
        <v>0</v>
      </c>
      <c r="H15" s="2365"/>
      <c r="I15" s="2366"/>
      <c r="J15" s="520"/>
    </row>
    <row r="16" spans="1:13" s="519" customFormat="1" ht="28" customHeight="1">
      <c r="A16" s="2383"/>
      <c r="B16" s="2386"/>
      <c r="C16" s="2387"/>
      <c r="D16" s="2367">
        <f>'BS old'!E14</f>
        <v>0</v>
      </c>
      <c r="E16" s="2367"/>
      <c r="F16" s="2367"/>
      <c r="G16" s="802"/>
      <c r="H16" s="2364">
        <f>'BS old'!G14</f>
        <v>0</v>
      </c>
      <c r="I16" s="2365"/>
      <c r="J16" s="2368"/>
    </row>
    <row r="17" spans="1:10" s="519" customFormat="1" ht="28" customHeight="1">
      <c r="A17" s="2512" t="s">
        <v>535</v>
      </c>
      <c r="B17" s="2386" t="s">
        <v>1460</v>
      </c>
      <c r="C17" s="2535" t="s">
        <v>537</v>
      </c>
      <c r="D17" s="2367">
        <f>'BS old'!D15</f>
        <v>0</v>
      </c>
      <c r="E17" s="2367"/>
      <c r="F17" s="2367"/>
      <c r="G17" s="2364">
        <f>'BS old'!F15</f>
        <v>0</v>
      </c>
      <c r="H17" s="2365"/>
      <c r="I17" s="2366"/>
      <c r="J17" s="520"/>
    </row>
    <row r="18" spans="1:10" s="519" customFormat="1" ht="28" customHeight="1">
      <c r="A18" s="2383"/>
      <c r="B18" s="2386"/>
      <c r="C18" s="2387"/>
      <c r="D18" s="2367">
        <f>'BS old'!E15</f>
        <v>0</v>
      </c>
      <c r="E18" s="2367"/>
      <c r="F18" s="2367"/>
      <c r="G18" s="802"/>
      <c r="H18" s="2364">
        <f>'BS old'!G15</f>
        <v>0</v>
      </c>
      <c r="I18" s="2365"/>
      <c r="J18" s="2368"/>
    </row>
    <row r="19" spans="1:10" s="519" customFormat="1" ht="28" customHeight="1">
      <c r="A19" s="2512" t="s">
        <v>538</v>
      </c>
      <c r="B19" s="2386" t="s">
        <v>1227</v>
      </c>
      <c r="C19" s="2535" t="s">
        <v>540</v>
      </c>
      <c r="D19" s="2367">
        <f>'BS old'!D16</f>
        <v>0</v>
      </c>
      <c r="E19" s="2367"/>
      <c r="F19" s="2367"/>
      <c r="G19" s="2364">
        <f>'BS old'!F16</f>
        <v>0</v>
      </c>
      <c r="H19" s="2365"/>
      <c r="I19" s="2366"/>
      <c r="J19" s="520"/>
    </row>
    <row r="20" spans="1:10" s="519" customFormat="1" ht="28" customHeight="1">
      <c r="A20" s="2383"/>
      <c r="B20" s="2386"/>
      <c r="C20" s="2387"/>
      <c r="D20" s="2367">
        <f>'BS old'!E16</f>
        <v>0</v>
      </c>
      <c r="E20" s="2367"/>
      <c r="F20" s="2367"/>
      <c r="G20" s="802"/>
      <c r="H20" s="2364">
        <f>'BS old'!G16</f>
        <v>0</v>
      </c>
      <c r="I20" s="2365"/>
      <c r="J20" s="2368"/>
    </row>
    <row r="21" spans="1:10" s="519" customFormat="1" ht="28" customHeight="1">
      <c r="A21" s="2512" t="s">
        <v>541</v>
      </c>
      <c r="B21" s="2386" t="s">
        <v>1461</v>
      </c>
      <c r="C21" s="2535" t="s">
        <v>543</v>
      </c>
      <c r="D21" s="2367">
        <f>'BS old'!D17</f>
        <v>0</v>
      </c>
      <c r="E21" s="2367"/>
      <c r="F21" s="2367"/>
      <c r="G21" s="2364">
        <f>'BS old'!F17</f>
        <v>0</v>
      </c>
      <c r="H21" s="2365"/>
      <c r="I21" s="2366"/>
      <c r="J21" s="520"/>
    </row>
    <row r="22" spans="1:10" s="519" customFormat="1" ht="28" customHeight="1">
      <c r="A22" s="2383"/>
      <c r="B22" s="2386"/>
      <c r="C22" s="2387"/>
      <c r="D22" s="2367">
        <f>'BS old'!E17</f>
        <v>0</v>
      </c>
      <c r="E22" s="2367"/>
      <c r="F22" s="2367"/>
      <c r="G22" s="802"/>
      <c r="H22" s="2364">
        <f>'BS old'!G17</f>
        <v>0</v>
      </c>
      <c r="I22" s="2365"/>
      <c r="J22" s="2368"/>
    </row>
    <row r="23" spans="1:10" s="519" customFormat="1" ht="28" customHeight="1">
      <c r="A23" s="2512" t="s">
        <v>544</v>
      </c>
      <c r="B23" s="2386" t="s">
        <v>1462</v>
      </c>
      <c r="C23" s="2535" t="s">
        <v>546</v>
      </c>
      <c r="D23" s="2367">
        <f>'BS old'!D18</f>
        <v>0</v>
      </c>
      <c r="E23" s="2367"/>
      <c r="F23" s="2367"/>
      <c r="G23" s="2364">
        <f>'BS old'!F18</f>
        <v>0</v>
      </c>
      <c r="H23" s="2365"/>
      <c r="I23" s="2366"/>
      <c r="J23" s="520"/>
    </row>
    <row r="24" spans="1:10" s="519" customFormat="1" ht="28" customHeight="1">
      <c r="A24" s="2383"/>
      <c r="B24" s="2386"/>
      <c r="C24" s="2387"/>
      <c r="D24" s="2367">
        <f>'BS old'!E18</f>
        <v>0</v>
      </c>
      <c r="E24" s="2367"/>
      <c r="F24" s="2367"/>
      <c r="G24" s="802"/>
      <c r="H24" s="2364">
        <f>'BS old'!G18</f>
        <v>0</v>
      </c>
      <c r="I24" s="2365"/>
      <c r="J24" s="2368"/>
    </row>
    <row r="25" spans="1:10" s="519" customFormat="1" ht="28" customHeight="1">
      <c r="A25" s="2512" t="s">
        <v>547</v>
      </c>
      <c r="B25" s="2386" t="s">
        <v>1463</v>
      </c>
      <c r="C25" s="2535" t="s">
        <v>549</v>
      </c>
      <c r="D25" s="2367">
        <f>'BS old'!D19</f>
        <v>0</v>
      </c>
      <c r="E25" s="2367"/>
      <c r="F25" s="2367"/>
      <c r="G25" s="2364">
        <f>'BS old'!F19</f>
        <v>0</v>
      </c>
      <c r="H25" s="2365"/>
      <c r="I25" s="2366"/>
      <c r="J25" s="520"/>
    </row>
    <row r="26" spans="1:10" s="519" customFormat="1" ht="28" customHeight="1">
      <c r="A26" s="2383"/>
      <c r="B26" s="2386"/>
      <c r="C26" s="2387"/>
      <c r="D26" s="2367">
        <f>'BS old'!E19</f>
        <v>0</v>
      </c>
      <c r="E26" s="2367"/>
      <c r="F26" s="2367"/>
      <c r="G26" s="802"/>
      <c r="H26" s="2364">
        <f>'BS old'!G19</f>
        <v>0</v>
      </c>
      <c r="I26" s="2365"/>
      <c r="J26" s="2368"/>
    </row>
    <row r="27" spans="1:10" s="521" customFormat="1" ht="28" customHeight="1">
      <c r="A27" s="2530" t="s">
        <v>550</v>
      </c>
      <c r="B27" s="2398" t="s">
        <v>551</v>
      </c>
      <c r="C27" s="2539" t="s">
        <v>552</v>
      </c>
      <c r="D27" s="2367">
        <f>'BS old'!D20</f>
        <v>0</v>
      </c>
      <c r="E27" s="2367"/>
      <c r="F27" s="2367"/>
      <c r="G27" s="2364">
        <f>'BS old'!F20</f>
        <v>0</v>
      </c>
      <c r="H27" s="2365"/>
      <c r="I27" s="2366"/>
      <c r="J27" s="520"/>
    </row>
    <row r="28" spans="1:10" s="521" customFormat="1" ht="28" customHeight="1">
      <c r="A28" s="2531"/>
      <c r="B28" s="2398"/>
      <c r="C28" s="2540"/>
      <c r="D28" s="2367">
        <f>'BS old'!E20</f>
        <v>0</v>
      </c>
      <c r="E28" s="2367"/>
      <c r="F28" s="2367"/>
      <c r="G28" s="802"/>
      <c r="H28" s="2364">
        <f>'BS old'!G20</f>
        <v>0</v>
      </c>
      <c r="I28" s="2365"/>
      <c r="J28" s="2368"/>
    </row>
    <row r="29" spans="1:10" s="519" customFormat="1" ht="28" customHeight="1">
      <c r="A29" s="2528" t="s">
        <v>553</v>
      </c>
      <c r="B29" s="2386" t="s">
        <v>1464</v>
      </c>
      <c r="C29" s="2535" t="s">
        <v>555</v>
      </c>
      <c r="D29" s="2367">
        <f>'BS old'!D21</f>
        <v>0</v>
      </c>
      <c r="E29" s="2367"/>
      <c r="F29" s="2367"/>
      <c r="G29" s="2364">
        <f>'BS old'!F21</f>
        <v>0</v>
      </c>
      <c r="H29" s="2365"/>
      <c r="I29" s="2366"/>
      <c r="J29" s="520"/>
    </row>
    <row r="30" spans="1:10" s="519" customFormat="1" ht="28" customHeight="1">
      <c r="A30" s="2529"/>
      <c r="B30" s="2386"/>
      <c r="C30" s="2387"/>
      <c r="D30" s="2367">
        <f>'BS old'!E21</f>
        <v>0</v>
      </c>
      <c r="E30" s="2367"/>
      <c r="F30" s="2367"/>
      <c r="G30" s="802"/>
      <c r="H30" s="2364">
        <f>'BS old'!G21</f>
        <v>0</v>
      </c>
      <c r="I30" s="2365"/>
      <c r="J30" s="2368"/>
    </row>
    <row r="31" spans="1:10" s="519" customFormat="1" ht="28" customHeight="1">
      <c r="A31" s="2512" t="s">
        <v>532</v>
      </c>
      <c r="B31" s="2386" t="s">
        <v>1465</v>
      </c>
      <c r="C31" s="2535" t="s">
        <v>557</v>
      </c>
      <c r="D31" s="2367">
        <f>'BS old'!D22</f>
        <v>0</v>
      </c>
      <c r="E31" s="2367"/>
      <c r="F31" s="2367"/>
      <c r="G31" s="2536">
        <f>'BS old'!F22</f>
        <v>0</v>
      </c>
      <c r="H31" s="2537"/>
      <c r="I31" s="2538"/>
      <c r="J31" s="520"/>
    </row>
    <row r="32" spans="1:10" s="519" customFormat="1" ht="28" customHeight="1" thickBot="1">
      <c r="A32" s="2383"/>
      <c r="B32" s="2386"/>
      <c r="C32" s="2387"/>
      <c r="D32" s="2367">
        <f>'BS old'!E22</f>
        <v>0</v>
      </c>
      <c r="E32" s="2367"/>
      <c r="F32" s="2367"/>
      <c r="G32" s="802"/>
      <c r="H32" s="2364">
        <f>'BS old'!G22</f>
        <v>0</v>
      </c>
      <c r="I32" s="2365"/>
      <c r="J32" s="2368"/>
    </row>
    <row r="33" spans="1:10" s="519" customFormat="1" ht="11.25" customHeight="1">
      <c r="A33" s="2518" t="s">
        <v>1446</v>
      </c>
      <c r="B33" s="2519" t="s">
        <v>1447</v>
      </c>
      <c r="C33" s="2520" t="s">
        <v>1448</v>
      </c>
      <c r="D33" s="2369" t="s">
        <v>1449</v>
      </c>
      <c r="E33" s="2428"/>
      <c r="F33" s="2428"/>
      <c r="G33" s="2428"/>
      <c r="H33" s="2373"/>
      <c r="I33" s="2431" t="s">
        <v>1450</v>
      </c>
      <c r="J33" s="2432"/>
    </row>
    <row r="34" spans="1:10" s="519" customFormat="1" ht="11.25" customHeight="1">
      <c r="A34" s="2518"/>
      <c r="B34" s="2519"/>
      <c r="C34" s="2520"/>
      <c r="D34" s="2411">
        <v>1</v>
      </c>
      <c r="E34" s="2379" t="s">
        <v>1451</v>
      </c>
      <c r="F34" s="2439"/>
      <c r="G34" s="2435" t="s">
        <v>1452</v>
      </c>
      <c r="H34" s="2437"/>
      <c r="I34" s="2371"/>
      <c r="J34" s="2372"/>
    </row>
    <row r="35" spans="1:10" s="519" customFormat="1" ht="12" customHeight="1">
      <c r="A35" s="2381"/>
      <c r="B35" s="2389"/>
      <c r="C35" s="2391"/>
      <c r="D35" s="2521"/>
      <c r="E35" s="2379" t="s">
        <v>1453</v>
      </c>
      <c r="F35" s="2439"/>
      <c r="G35" s="2371"/>
      <c r="H35" s="2374"/>
      <c r="I35" s="2379" t="s">
        <v>1454</v>
      </c>
      <c r="J35" s="2380"/>
    </row>
    <row r="36" spans="1:10" ht="28" customHeight="1">
      <c r="A36" s="2512" t="s">
        <v>535</v>
      </c>
      <c r="B36" s="2385" t="s">
        <v>1466</v>
      </c>
      <c r="C36" s="2387" t="s">
        <v>559</v>
      </c>
      <c r="D36" s="2523">
        <f>'BS old'!D23</f>
        <v>0</v>
      </c>
      <c r="E36" s="2523"/>
      <c r="F36" s="2523"/>
      <c r="G36" s="2433">
        <f>'BS old'!F23</f>
        <v>0</v>
      </c>
      <c r="H36" s="2434"/>
      <c r="I36" s="2534"/>
      <c r="J36" s="837"/>
    </row>
    <row r="37" spans="1:10" ht="28" customHeight="1">
      <c r="A37" s="2383"/>
      <c r="B37" s="2386"/>
      <c r="C37" s="2388"/>
      <c r="D37" s="2367">
        <f>'BS old'!E23</f>
        <v>0</v>
      </c>
      <c r="E37" s="2367"/>
      <c r="F37" s="2367"/>
      <c r="G37" s="838"/>
      <c r="H37" s="2364">
        <f>'BS old'!G23</f>
        <v>0</v>
      </c>
      <c r="I37" s="2365"/>
      <c r="J37" s="2368"/>
    </row>
    <row r="38" spans="1:10" ht="28" customHeight="1">
      <c r="A38" s="2512" t="s">
        <v>538</v>
      </c>
      <c r="B38" s="2386" t="s">
        <v>1467</v>
      </c>
      <c r="C38" s="2388" t="s">
        <v>561</v>
      </c>
      <c r="D38" s="2367">
        <f>'BS old'!D24</f>
        <v>0</v>
      </c>
      <c r="E38" s="2367"/>
      <c r="F38" s="2367"/>
      <c r="G38" s="2364">
        <f>'BS old'!F24</f>
        <v>0</v>
      </c>
      <c r="H38" s="2365"/>
      <c r="I38" s="2366"/>
      <c r="J38" s="837"/>
    </row>
    <row r="39" spans="1:10" ht="28" customHeight="1">
      <c r="A39" s="2383"/>
      <c r="B39" s="2386"/>
      <c r="C39" s="2388"/>
      <c r="D39" s="2367">
        <f>'BS old'!E24</f>
        <v>0</v>
      </c>
      <c r="E39" s="2367"/>
      <c r="F39" s="2367"/>
      <c r="G39" s="838"/>
      <c r="H39" s="2364">
        <f>'BS old'!G24</f>
        <v>0</v>
      </c>
      <c r="I39" s="2365"/>
      <c r="J39" s="2368"/>
    </row>
    <row r="40" spans="1:10" ht="28" customHeight="1">
      <c r="A40" s="2512" t="s">
        <v>541</v>
      </c>
      <c r="B40" s="2386" t="s">
        <v>1468</v>
      </c>
      <c r="C40" s="2387" t="s">
        <v>563</v>
      </c>
      <c r="D40" s="2367">
        <f>'BS old'!D25</f>
        <v>0</v>
      </c>
      <c r="E40" s="2367"/>
      <c r="F40" s="2367"/>
      <c r="G40" s="2364">
        <f>'BS old'!F25</f>
        <v>0</v>
      </c>
      <c r="H40" s="2365"/>
      <c r="I40" s="2366"/>
      <c r="J40" s="837"/>
    </row>
    <row r="41" spans="1:10" ht="28" customHeight="1">
      <c r="A41" s="2383"/>
      <c r="B41" s="2386"/>
      <c r="C41" s="2388"/>
      <c r="D41" s="2367">
        <f>'BS old'!E25</f>
        <v>0</v>
      </c>
      <c r="E41" s="2367"/>
      <c r="F41" s="2367"/>
      <c r="G41" s="838"/>
      <c r="H41" s="2364">
        <f>'BS old'!G25</f>
        <v>0</v>
      </c>
      <c r="I41" s="2365"/>
      <c r="J41" s="2368"/>
    </row>
    <row r="42" spans="1:10" ht="28" customHeight="1">
      <c r="A42" s="2512" t="s">
        <v>544</v>
      </c>
      <c r="B42" s="2386" t="s">
        <v>1469</v>
      </c>
      <c r="C42" s="2388" t="s">
        <v>565</v>
      </c>
      <c r="D42" s="2367">
        <f>'BS old'!D26</f>
        <v>0</v>
      </c>
      <c r="E42" s="2367"/>
      <c r="F42" s="2367"/>
      <c r="G42" s="2364">
        <f>'BS old'!F26</f>
        <v>0</v>
      </c>
      <c r="H42" s="2365"/>
      <c r="I42" s="2366"/>
      <c r="J42" s="837"/>
    </row>
    <row r="43" spans="1:10" ht="28" customHeight="1">
      <c r="A43" s="2383"/>
      <c r="B43" s="2386"/>
      <c r="C43" s="2388"/>
      <c r="D43" s="2367">
        <f>'BS old'!E26</f>
        <v>0</v>
      </c>
      <c r="E43" s="2367"/>
      <c r="F43" s="2367"/>
      <c r="G43" s="838"/>
      <c r="H43" s="2364">
        <f>'BS old'!G26</f>
        <v>0</v>
      </c>
      <c r="I43" s="2365"/>
      <c r="J43" s="2368"/>
    </row>
    <row r="44" spans="1:10" ht="28" customHeight="1">
      <c r="A44" s="2512" t="s">
        <v>547</v>
      </c>
      <c r="B44" s="2386" t="s">
        <v>1470</v>
      </c>
      <c r="C44" s="2387" t="s">
        <v>567</v>
      </c>
      <c r="D44" s="2367">
        <f>'BS old'!D27</f>
        <v>0</v>
      </c>
      <c r="E44" s="2367"/>
      <c r="F44" s="2367"/>
      <c r="G44" s="2364">
        <f>'BS old'!F27</f>
        <v>0</v>
      </c>
      <c r="H44" s="2365"/>
      <c r="I44" s="2366"/>
      <c r="J44" s="837"/>
    </row>
    <row r="45" spans="1:10" ht="28" customHeight="1">
      <c r="A45" s="2383"/>
      <c r="B45" s="2386"/>
      <c r="C45" s="2388"/>
      <c r="D45" s="2367">
        <f>'BS old'!E27</f>
        <v>0</v>
      </c>
      <c r="E45" s="2367"/>
      <c r="F45" s="2367"/>
      <c r="G45" s="838"/>
      <c r="H45" s="2364">
        <f>'BS old'!G27</f>
        <v>0</v>
      </c>
      <c r="I45" s="2365"/>
      <c r="J45" s="2368"/>
    </row>
    <row r="46" spans="1:10" ht="28" customHeight="1">
      <c r="A46" s="2512" t="s">
        <v>568</v>
      </c>
      <c r="B46" s="2386" t="s">
        <v>1471</v>
      </c>
      <c r="C46" s="2388" t="s">
        <v>570</v>
      </c>
      <c r="D46" s="2367">
        <f>'BS old'!D28</f>
        <v>0</v>
      </c>
      <c r="E46" s="2367"/>
      <c r="F46" s="2367"/>
      <c r="G46" s="2364">
        <f>'BS old'!F28</f>
        <v>0</v>
      </c>
      <c r="H46" s="2365"/>
      <c r="I46" s="2366"/>
      <c r="J46" s="837"/>
    </row>
    <row r="47" spans="1:10" ht="28" customHeight="1">
      <c r="A47" s="2383"/>
      <c r="B47" s="2386"/>
      <c r="C47" s="2388"/>
      <c r="D47" s="2367">
        <f>'BS old'!E28</f>
        <v>0</v>
      </c>
      <c r="E47" s="2367"/>
      <c r="F47" s="2367"/>
      <c r="G47" s="838"/>
      <c r="H47" s="2364">
        <f>'BS old'!G28</f>
        <v>0</v>
      </c>
      <c r="I47" s="2365"/>
      <c r="J47" s="2368"/>
    </row>
    <row r="48" spans="1:10" ht="28" customHeight="1">
      <c r="A48" s="2512" t="s">
        <v>571</v>
      </c>
      <c r="B48" s="2386" t="s">
        <v>1472</v>
      </c>
      <c r="C48" s="2387" t="s">
        <v>573</v>
      </c>
      <c r="D48" s="2367">
        <f>'BS old'!D29</f>
        <v>0</v>
      </c>
      <c r="E48" s="2367"/>
      <c r="F48" s="2367"/>
      <c r="G48" s="2364">
        <f>'BS old'!F29</f>
        <v>0</v>
      </c>
      <c r="H48" s="2365"/>
      <c r="I48" s="2366"/>
      <c r="J48" s="837"/>
    </row>
    <row r="49" spans="1:10" ht="28" customHeight="1">
      <c r="A49" s="2383"/>
      <c r="B49" s="2386"/>
      <c r="C49" s="2388"/>
      <c r="D49" s="2367">
        <f>'BS old'!E29</f>
        <v>0</v>
      </c>
      <c r="E49" s="2367"/>
      <c r="F49" s="2367"/>
      <c r="G49" s="839"/>
      <c r="H49" s="2364">
        <f>'BS old'!G29</f>
        <v>0</v>
      </c>
      <c r="I49" s="2365"/>
      <c r="J49" s="2368"/>
    </row>
    <row r="50" spans="1:10" ht="28" customHeight="1">
      <c r="A50" s="2530" t="s">
        <v>574</v>
      </c>
      <c r="B50" s="2398" t="s">
        <v>1473</v>
      </c>
      <c r="C50" s="2388" t="s">
        <v>576</v>
      </c>
      <c r="D50" s="2367">
        <f>'BS old'!D30</f>
        <v>0</v>
      </c>
      <c r="E50" s="2367"/>
      <c r="F50" s="2367"/>
      <c r="G50" s="2364">
        <f>'BS old'!F30</f>
        <v>0</v>
      </c>
      <c r="H50" s="2365"/>
      <c r="I50" s="2366"/>
      <c r="J50" s="837"/>
    </row>
    <row r="51" spans="1:10" ht="28" customHeight="1">
      <c r="A51" s="2531"/>
      <c r="B51" s="2398"/>
      <c r="C51" s="2388"/>
      <c r="D51" s="2367">
        <f>'BS old'!E30</f>
        <v>0</v>
      </c>
      <c r="E51" s="2367"/>
      <c r="F51" s="2367"/>
      <c r="G51" s="839"/>
      <c r="H51" s="2364">
        <f>'BS old'!G30</f>
        <v>0</v>
      </c>
      <c r="I51" s="2365"/>
      <c r="J51" s="2368"/>
    </row>
    <row r="52" spans="1:10" s="450" customFormat="1" ht="28" customHeight="1">
      <c r="A52" s="2532" t="s">
        <v>577</v>
      </c>
      <c r="B52" s="2386" t="s">
        <v>1474</v>
      </c>
      <c r="C52" s="2387" t="s">
        <v>579</v>
      </c>
      <c r="D52" s="2367">
        <f>'BS old'!D31</f>
        <v>0</v>
      </c>
      <c r="E52" s="2367"/>
      <c r="F52" s="2367"/>
      <c r="G52" s="2364">
        <f>'BS old'!F31</f>
        <v>0</v>
      </c>
      <c r="H52" s="2365"/>
      <c r="I52" s="2366"/>
      <c r="J52" s="837"/>
    </row>
    <row r="53" spans="1:10" s="450" customFormat="1" ht="28" customHeight="1">
      <c r="A53" s="2533"/>
      <c r="B53" s="2386"/>
      <c r="C53" s="2388"/>
      <c r="D53" s="2367">
        <f>'BS old'!E31</f>
        <v>0</v>
      </c>
      <c r="E53" s="2367"/>
      <c r="F53" s="2367"/>
      <c r="G53" s="839"/>
      <c r="H53" s="2364">
        <f>'BS old'!G31</f>
        <v>0</v>
      </c>
      <c r="I53" s="2365"/>
      <c r="J53" s="2368"/>
    </row>
    <row r="54" spans="1:10" ht="28" customHeight="1">
      <c r="A54" s="2512" t="s">
        <v>532</v>
      </c>
      <c r="B54" s="2386" t="s">
        <v>1475</v>
      </c>
      <c r="C54" s="2388" t="s">
        <v>581</v>
      </c>
      <c r="D54" s="2367">
        <f>'BS old'!D32</f>
        <v>0</v>
      </c>
      <c r="E54" s="2367"/>
      <c r="F54" s="2367"/>
      <c r="G54" s="2364">
        <f>'BS old'!F32</f>
        <v>0</v>
      </c>
      <c r="H54" s="2365"/>
      <c r="I54" s="2366"/>
      <c r="J54" s="837"/>
    </row>
    <row r="55" spans="1:10" ht="28" customHeight="1">
      <c r="A55" s="2383"/>
      <c r="B55" s="2386"/>
      <c r="C55" s="2388"/>
      <c r="D55" s="2367">
        <f>'BS old'!E32</f>
        <v>0</v>
      </c>
      <c r="E55" s="2367"/>
      <c r="F55" s="2367"/>
      <c r="G55" s="839"/>
      <c r="H55" s="2364">
        <f>'BS old'!G32</f>
        <v>0</v>
      </c>
      <c r="I55" s="2365"/>
      <c r="J55" s="2368"/>
    </row>
    <row r="56" spans="1:10" ht="28" customHeight="1">
      <c r="A56" s="2512" t="s">
        <v>535</v>
      </c>
      <c r="B56" s="2386" t="s">
        <v>1476</v>
      </c>
      <c r="C56" s="2387" t="s">
        <v>583</v>
      </c>
      <c r="D56" s="2367">
        <f>'BS old'!D33</f>
        <v>0</v>
      </c>
      <c r="E56" s="2367"/>
      <c r="F56" s="2367"/>
      <c r="G56" s="2364">
        <f>'BS old'!F33</f>
        <v>0</v>
      </c>
      <c r="H56" s="2365"/>
      <c r="I56" s="2366"/>
      <c r="J56" s="837"/>
    </row>
    <row r="57" spans="1:10" ht="28" customHeight="1">
      <c r="A57" s="2383"/>
      <c r="B57" s="2386"/>
      <c r="C57" s="2388"/>
      <c r="D57" s="2367">
        <f>'BS old'!E33</f>
        <v>0</v>
      </c>
      <c r="E57" s="2367"/>
      <c r="F57" s="2367"/>
      <c r="G57" s="839"/>
      <c r="H57" s="2364">
        <f>'BS old'!G33</f>
        <v>0</v>
      </c>
      <c r="I57" s="2365"/>
      <c r="J57" s="2368"/>
    </row>
    <row r="58" spans="1:10" ht="28" customHeight="1">
      <c r="A58" s="2512" t="s">
        <v>538</v>
      </c>
      <c r="B58" s="2386" t="s">
        <v>1477</v>
      </c>
      <c r="C58" s="2388" t="s">
        <v>585</v>
      </c>
      <c r="D58" s="2367">
        <f>'BS old'!D34</f>
        <v>0</v>
      </c>
      <c r="E58" s="2367"/>
      <c r="F58" s="2367"/>
      <c r="G58" s="2364">
        <f>'BS old'!F34</f>
        <v>0</v>
      </c>
      <c r="H58" s="2365"/>
      <c r="I58" s="2366"/>
      <c r="J58" s="837"/>
    </row>
    <row r="59" spans="1:10" ht="28" customHeight="1">
      <c r="A59" s="2383"/>
      <c r="B59" s="2524"/>
      <c r="C59" s="2388"/>
      <c r="D59" s="2367">
        <f>'BS old'!E34</f>
        <v>0</v>
      </c>
      <c r="E59" s="2367"/>
      <c r="F59" s="2367"/>
      <c r="G59" s="839"/>
      <c r="H59" s="2364">
        <f>'BS old'!G34</f>
        <v>0</v>
      </c>
      <c r="I59" s="2365"/>
      <c r="J59" s="2368"/>
    </row>
    <row r="60" spans="1:10" ht="28" customHeight="1">
      <c r="A60" s="2512" t="s">
        <v>541</v>
      </c>
      <c r="B60" s="2386" t="s">
        <v>1478</v>
      </c>
      <c r="C60" s="2387" t="s">
        <v>587</v>
      </c>
      <c r="D60" s="2367">
        <f>'BS old'!D35</f>
        <v>0</v>
      </c>
      <c r="E60" s="2367"/>
      <c r="F60" s="2367"/>
      <c r="G60" s="2364">
        <f>'BS old'!F35</f>
        <v>0</v>
      </c>
      <c r="H60" s="2365"/>
      <c r="I60" s="2366"/>
      <c r="J60" s="837"/>
    </row>
    <row r="61" spans="1:10" ht="28" customHeight="1">
      <c r="A61" s="2383"/>
      <c r="B61" s="2386"/>
      <c r="C61" s="2388"/>
      <c r="D61" s="2367">
        <f>'BS old'!E35</f>
        <v>0</v>
      </c>
      <c r="E61" s="2367"/>
      <c r="F61" s="2367"/>
      <c r="G61" s="839"/>
      <c r="H61" s="2364">
        <f>'BS old'!G35</f>
        <v>0</v>
      </c>
      <c r="I61" s="2365"/>
      <c r="J61" s="2368"/>
    </row>
    <row r="62" spans="1:10" ht="28" customHeight="1">
      <c r="A62" s="2512" t="s">
        <v>544</v>
      </c>
      <c r="B62" s="2386" t="s">
        <v>1479</v>
      </c>
      <c r="C62" s="2388" t="s">
        <v>589</v>
      </c>
      <c r="D62" s="2367">
        <f>'BS old'!D36</f>
        <v>0</v>
      </c>
      <c r="E62" s="2367"/>
      <c r="F62" s="2367"/>
      <c r="G62" s="2364">
        <f>'BS old'!F36</f>
        <v>0</v>
      </c>
      <c r="H62" s="2365"/>
      <c r="I62" s="2366"/>
      <c r="J62" s="837"/>
    </row>
    <row r="63" spans="1:10" ht="28" customHeight="1">
      <c r="A63" s="2383"/>
      <c r="B63" s="2386"/>
      <c r="C63" s="2388"/>
      <c r="D63" s="2367">
        <f>'BS old'!E36</f>
        <v>0</v>
      </c>
      <c r="E63" s="2367"/>
      <c r="F63" s="2367"/>
      <c r="G63" s="802"/>
      <c r="H63" s="2364">
        <f>'BS old'!G36</f>
        <v>0</v>
      </c>
      <c r="I63" s="2365"/>
      <c r="J63" s="2368"/>
    </row>
    <row r="64" spans="1:10" ht="11.25" customHeight="1">
      <c r="A64" s="2518" t="s">
        <v>1446</v>
      </c>
      <c r="B64" s="2519" t="s">
        <v>1447</v>
      </c>
      <c r="C64" s="2520" t="s">
        <v>1448</v>
      </c>
      <c r="D64" s="2371" t="s">
        <v>1449</v>
      </c>
      <c r="E64" s="2393"/>
      <c r="F64" s="2393"/>
      <c r="G64" s="2393"/>
      <c r="H64" s="2374"/>
      <c r="I64" s="2375" t="s">
        <v>1450</v>
      </c>
      <c r="J64" s="2376"/>
    </row>
    <row r="65" spans="1:10" ht="11.25" customHeight="1">
      <c r="A65" s="2518"/>
      <c r="B65" s="2519"/>
      <c r="C65" s="2520"/>
      <c r="D65" s="2411">
        <v>1</v>
      </c>
      <c r="E65" s="2379" t="s">
        <v>1451</v>
      </c>
      <c r="F65" s="2439"/>
      <c r="G65" s="2435" t="s">
        <v>1452</v>
      </c>
      <c r="H65" s="2437"/>
      <c r="I65" s="2371"/>
      <c r="J65" s="2372"/>
    </row>
    <row r="66" spans="1:10" ht="11.25" customHeight="1">
      <c r="A66" s="2381"/>
      <c r="B66" s="2389"/>
      <c r="C66" s="2391"/>
      <c r="D66" s="2521"/>
      <c r="E66" s="2379" t="s">
        <v>1453</v>
      </c>
      <c r="F66" s="2439"/>
      <c r="G66" s="2371"/>
      <c r="H66" s="2374"/>
      <c r="I66" s="2379" t="s">
        <v>1454</v>
      </c>
      <c r="J66" s="2380"/>
    </row>
    <row r="67" spans="1:10" ht="28" customHeight="1">
      <c r="A67" s="2512" t="s">
        <v>547</v>
      </c>
      <c r="B67" s="2385" t="s">
        <v>1480</v>
      </c>
      <c r="C67" s="2388" t="s">
        <v>888</v>
      </c>
      <c r="D67" s="2367">
        <f>'BS old'!D37</f>
        <v>0</v>
      </c>
      <c r="E67" s="2367"/>
      <c r="F67" s="2364"/>
      <c r="G67" s="2364">
        <f>'BS old'!F37</f>
        <v>0</v>
      </c>
      <c r="H67" s="2365"/>
      <c r="I67" s="2366"/>
      <c r="J67" s="837"/>
    </row>
    <row r="68" spans="1:10" ht="28" customHeight="1">
      <c r="A68" s="2383"/>
      <c r="B68" s="2386"/>
      <c r="C68" s="2388"/>
      <c r="D68" s="2367">
        <f>'BS old'!E37</f>
        <v>0</v>
      </c>
      <c r="E68" s="2367"/>
      <c r="F68" s="2367"/>
      <c r="G68" s="840"/>
      <c r="H68" s="2364">
        <f>'BS old'!G37</f>
        <v>0</v>
      </c>
      <c r="I68" s="2365"/>
      <c r="J68" s="2368"/>
    </row>
    <row r="69" spans="1:10" ht="28" customHeight="1">
      <c r="A69" s="2512" t="s">
        <v>568</v>
      </c>
      <c r="B69" s="2386" t="s">
        <v>1481</v>
      </c>
      <c r="C69" s="2388" t="s">
        <v>891</v>
      </c>
      <c r="D69" s="2367">
        <f>'BS old'!D38</f>
        <v>0</v>
      </c>
      <c r="E69" s="2367"/>
      <c r="F69" s="2364"/>
      <c r="G69" s="2364">
        <f>'BS old'!F38</f>
        <v>0</v>
      </c>
      <c r="H69" s="2365"/>
      <c r="I69" s="2366"/>
      <c r="J69" s="837"/>
    </row>
    <row r="70" spans="1:10" ht="28" customHeight="1">
      <c r="A70" s="2383"/>
      <c r="B70" s="2386"/>
      <c r="C70" s="2388"/>
      <c r="D70" s="2367">
        <f>'BS old'!E38</f>
        <v>0</v>
      </c>
      <c r="E70" s="2367"/>
      <c r="F70" s="2367"/>
      <c r="G70" s="840"/>
      <c r="H70" s="2364">
        <f>'BS old'!G38</f>
        <v>0</v>
      </c>
      <c r="I70" s="2365"/>
      <c r="J70" s="2368"/>
    </row>
    <row r="71" spans="1:10" ht="28" customHeight="1">
      <c r="A71" s="2516" t="s">
        <v>594</v>
      </c>
      <c r="B71" s="2398" t="s">
        <v>1482</v>
      </c>
      <c r="C71" s="2388" t="s">
        <v>894</v>
      </c>
      <c r="D71" s="2367">
        <f>'BS old'!D39</f>
        <v>0</v>
      </c>
      <c r="E71" s="2367"/>
      <c r="F71" s="2364"/>
      <c r="G71" s="2364">
        <f>'BS old'!F39</f>
        <v>0</v>
      </c>
      <c r="H71" s="2365"/>
      <c r="I71" s="2366"/>
      <c r="J71" s="837"/>
    </row>
    <row r="72" spans="1:10" ht="28" customHeight="1">
      <c r="A72" s="2517"/>
      <c r="B72" s="2398"/>
      <c r="C72" s="2388"/>
      <c r="D72" s="2367">
        <f>'BS old'!E39</f>
        <v>0</v>
      </c>
      <c r="E72" s="2367"/>
      <c r="F72" s="2367"/>
      <c r="G72" s="840"/>
      <c r="H72" s="2364">
        <f>'BS old'!G39</f>
        <v>0</v>
      </c>
      <c r="I72" s="2365"/>
      <c r="J72" s="2368"/>
    </row>
    <row r="73" spans="1:10" s="450" customFormat="1" ht="28" customHeight="1">
      <c r="A73" s="2530" t="s">
        <v>597</v>
      </c>
      <c r="B73" s="2398" t="s">
        <v>598</v>
      </c>
      <c r="C73" s="2388" t="s">
        <v>897</v>
      </c>
      <c r="D73" s="2367">
        <f>'BS old'!D40</f>
        <v>0</v>
      </c>
      <c r="E73" s="2367"/>
      <c r="F73" s="2364"/>
      <c r="G73" s="2364">
        <f>'BS old'!F40</f>
        <v>0</v>
      </c>
      <c r="H73" s="2365"/>
      <c r="I73" s="2366"/>
      <c r="J73" s="837"/>
    </row>
    <row r="74" spans="1:10" s="450" customFormat="1" ht="28" customHeight="1">
      <c r="A74" s="2531"/>
      <c r="B74" s="2398"/>
      <c r="C74" s="2388"/>
      <c r="D74" s="2367">
        <f>'BS old'!E40</f>
        <v>0</v>
      </c>
      <c r="E74" s="2367"/>
      <c r="F74" s="2367"/>
      <c r="G74" s="840"/>
      <c r="H74" s="2364">
        <f>'BS old'!G40</f>
        <v>0</v>
      </c>
      <c r="I74" s="2365"/>
      <c r="J74" s="2368"/>
    </row>
    <row r="75" spans="1:10" s="450" customFormat="1" ht="28" customHeight="1">
      <c r="A75" s="2528" t="s">
        <v>600</v>
      </c>
      <c r="B75" s="2386" t="s">
        <v>1483</v>
      </c>
      <c r="C75" s="2388" t="s">
        <v>900</v>
      </c>
      <c r="D75" s="2367">
        <f>'BS old'!D41</f>
        <v>0</v>
      </c>
      <c r="E75" s="2367"/>
      <c r="F75" s="2364"/>
      <c r="G75" s="2364">
        <f>'BS old'!F41</f>
        <v>0</v>
      </c>
      <c r="H75" s="2365"/>
      <c r="I75" s="2366"/>
      <c r="J75" s="837"/>
    </row>
    <row r="76" spans="1:10" s="450" customFormat="1" ht="28" customHeight="1">
      <c r="A76" s="2529"/>
      <c r="B76" s="2386"/>
      <c r="C76" s="2388"/>
      <c r="D76" s="2367">
        <f>'BS old'!E41</f>
        <v>0</v>
      </c>
      <c r="E76" s="2367"/>
      <c r="F76" s="2367"/>
      <c r="G76" s="840"/>
      <c r="H76" s="2364">
        <f>'BS old'!G41</f>
        <v>0</v>
      </c>
      <c r="I76" s="2365"/>
      <c r="J76" s="2368"/>
    </row>
    <row r="77" spans="1:10" ht="28" customHeight="1">
      <c r="A77" s="2512" t="s">
        <v>532</v>
      </c>
      <c r="B77" s="2386" t="s">
        <v>1484</v>
      </c>
      <c r="C77" s="2388" t="s">
        <v>903</v>
      </c>
      <c r="D77" s="2367">
        <f>'BS old'!D42</f>
        <v>0</v>
      </c>
      <c r="E77" s="2367"/>
      <c r="F77" s="2364"/>
      <c r="G77" s="2364">
        <f>'BS old'!F42</f>
        <v>0</v>
      </c>
      <c r="H77" s="2365"/>
      <c r="I77" s="2366"/>
      <c r="J77" s="837"/>
    </row>
    <row r="78" spans="1:10" ht="28" customHeight="1">
      <c r="A78" s="2383"/>
      <c r="B78" s="2386"/>
      <c r="C78" s="2388"/>
      <c r="D78" s="2367">
        <f>'BS old'!E42</f>
        <v>0</v>
      </c>
      <c r="E78" s="2367"/>
      <c r="F78" s="2367"/>
      <c r="G78" s="840"/>
      <c r="H78" s="2364">
        <f>'BS old'!G42</f>
        <v>0</v>
      </c>
      <c r="I78" s="2365"/>
      <c r="J78" s="2368"/>
    </row>
    <row r="79" spans="1:10" ht="28" customHeight="1">
      <c r="A79" s="2512" t="s">
        <v>535</v>
      </c>
      <c r="B79" s="2386" t="s">
        <v>1485</v>
      </c>
      <c r="C79" s="2388" t="s">
        <v>906</v>
      </c>
      <c r="D79" s="2367">
        <f>'BS old'!D43</f>
        <v>0</v>
      </c>
      <c r="E79" s="2367"/>
      <c r="F79" s="2364"/>
      <c r="G79" s="2364">
        <f>'BS old'!F43</f>
        <v>0</v>
      </c>
      <c r="H79" s="2365"/>
      <c r="I79" s="2366"/>
      <c r="J79" s="837"/>
    </row>
    <row r="80" spans="1:10" ht="28" customHeight="1">
      <c r="A80" s="2383"/>
      <c r="B80" s="2386"/>
      <c r="C80" s="2388"/>
      <c r="D80" s="2367">
        <f>'BS old'!E43</f>
        <v>0</v>
      </c>
      <c r="E80" s="2367"/>
      <c r="F80" s="2367"/>
      <c r="G80" s="840"/>
      <c r="H80" s="2364">
        <f>'BS old'!G43</f>
        <v>0</v>
      </c>
      <c r="I80" s="2365"/>
      <c r="J80" s="2368"/>
    </row>
    <row r="81" spans="1:10" ht="28" customHeight="1">
      <c r="A81" s="2512" t="s">
        <v>538</v>
      </c>
      <c r="B81" s="2386" t="s">
        <v>1486</v>
      </c>
      <c r="C81" s="2388" t="s">
        <v>909</v>
      </c>
      <c r="D81" s="2367">
        <f>'BS old'!D44</f>
        <v>0</v>
      </c>
      <c r="E81" s="2367"/>
      <c r="F81" s="2364"/>
      <c r="G81" s="2364">
        <f>'BS old'!F44</f>
        <v>0</v>
      </c>
      <c r="H81" s="2365"/>
      <c r="I81" s="2366"/>
      <c r="J81" s="837"/>
    </row>
    <row r="82" spans="1:10" ht="28" customHeight="1">
      <c r="A82" s="2383"/>
      <c r="B82" s="2386"/>
      <c r="C82" s="2388"/>
      <c r="D82" s="2367">
        <f>'BS old'!E44</f>
        <v>0</v>
      </c>
      <c r="E82" s="2367"/>
      <c r="F82" s="2367"/>
      <c r="G82" s="840"/>
      <c r="H82" s="2364">
        <f>'BS old'!G44</f>
        <v>0</v>
      </c>
      <c r="I82" s="2365"/>
      <c r="J82" s="2368"/>
    </row>
    <row r="83" spans="1:10" ht="28" customHeight="1">
      <c r="A83" s="2512" t="s">
        <v>541</v>
      </c>
      <c r="B83" s="2386" t="s">
        <v>1487</v>
      </c>
      <c r="C83" s="2388" t="s">
        <v>912</v>
      </c>
      <c r="D83" s="2367">
        <f>'BS old'!D45</f>
        <v>0</v>
      </c>
      <c r="E83" s="2367"/>
      <c r="F83" s="2364"/>
      <c r="G83" s="2364">
        <f>'BS old'!F45</f>
        <v>0</v>
      </c>
      <c r="H83" s="2365"/>
      <c r="I83" s="2366"/>
      <c r="J83" s="837"/>
    </row>
    <row r="84" spans="1:10" ht="28" customHeight="1">
      <c r="A84" s="2383"/>
      <c r="B84" s="2386"/>
      <c r="C84" s="2388"/>
      <c r="D84" s="2367">
        <f>'BS old'!E45</f>
        <v>0</v>
      </c>
      <c r="E84" s="2367"/>
      <c r="F84" s="2367"/>
      <c r="G84" s="840"/>
      <c r="H84" s="2364">
        <f>'BS old'!G45</f>
        <v>0</v>
      </c>
      <c r="I84" s="2365"/>
      <c r="J84" s="2368"/>
    </row>
    <row r="85" spans="1:10" ht="28" customHeight="1">
      <c r="A85" s="2512" t="s">
        <v>544</v>
      </c>
      <c r="B85" s="2386" t="s">
        <v>1488</v>
      </c>
      <c r="C85" s="2388" t="s">
        <v>915</v>
      </c>
      <c r="D85" s="2367">
        <f>'BS old'!D46</f>
        <v>0</v>
      </c>
      <c r="E85" s="2367"/>
      <c r="F85" s="2364"/>
      <c r="G85" s="2364">
        <f>'BS old'!F46</f>
        <v>0</v>
      </c>
      <c r="H85" s="2365"/>
      <c r="I85" s="2366"/>
      <c r="J85" s="837"/>
    </row>
    <row r="86" spans="1:10" ht="28" customHeight="1">
      <c r="A86" s="2383"/>
      <c r="B86" s="2386"/>
      <c r="C86" s="2388"/>
      <c r="D86" s="2367">
        <f>'BS old'!E46</f>
        <v>0</v>
      </c>
      <c r="E86" s="2367"/>
      <c r="F86" s="2367"/>
      <c r="G86" s="840"/>
      <c r="H86" s="2364">
        <f>'BS old'!G46</f>
        <v>0</v>
      </c>
      <c r="I86" s="2365"/>
      <c r="J86" s="2368"/>
    </row>
    <row r="87" spans="1:10" ht="28" customHeight="1">
      <c r="A87" s="2530" t="s">
        <v>613</v>
      </c>
      <c r="B87" s="2398" t="s">
        <v>614</v>
      </c>
      <c r="C87" s="2388" t="s">
        <v>918</v>
      </c>
      <c r="D87" s="2367">
        <f>'BS old'!D47</f>
        <v>0</v>
      </c>
      <c r="E87" s="2367"/>
      <c r="F87" s="2364"/>
      <c r="G87" s="2364">
        <f>'BS old'!F47</f>
        <v>0</v>
      </c>
      <c r="H87" s="2365"/>
      <c r="I87" s="2366"/>
      <c r="J87" s="837"/>
    </row>
    <row r="88" spans="1:10" ht="28" customHeight="1">
      <c r="A88" s="2531"/>
      <c r="B88" s="2398"/>
      <c r="C88" s="2388"/>
      <c r="D88" s="2367">
        <f>'BS old'!E47</f>
        <v>0</v>
      </c>
      <c r="E88" s="2367"/>
      <c r="F88" s="2367"/>
      <c r="G88" s="840"/>
      <c r="H88" s="2364">
        <f>'BS old'!G47</f>
        <v>0</v>
      </c>
      <c r="I88" s="2365"/>
      <c r="J88" s="2368"/>
    </row>
    <row r="89" spans="1:10" s="450" customFormat="1" ht="28" customHeight="1">
      <c r="A89" s="2528" t="s">
        <v>616</v>
      </c>
      <c r="B89" s="2386" t="s">
        <v>1489</v>
      </c>
      <c r="C89" s="2388" t="s">
        <v>921</v>
      </c>
      <c r="D89" s="2367">
        <f>'BS old'!D48</f>
        <v>0</v>
      </c>
      <c r="E89" s="2367"/>
      <c r="F89" s="2364"/>
      <c r="G89" s="2364">
        <f>'BS old'!F48</f>
        <v>0</v>
      </c>
      <c r="H89" s="2365"/>
      <c r="I89" s="2366"/>
      <c r="J89" s="837"/>
    </row>
    <row r="90" spans="1:10" s="450" customFormat="1" ht="28" customHeight="1">
      <c r="A90" s="2529"/>
      <c r="B90" s="2524"/>
      <c r="C90" s="2388"/>
      <c r="D90" s="2367">
        <f>'BS old'!E48</f>
        <v>0</v>
      </c>
      <c r="E90" s="2367"/>
      <c r="F90" s="2367"/>
      <c r="G90" s="840"/>
      <c r="H90" s="2364">
        <f>'BS old'!G48</f>
        <v>0</v>
      </c>
      <c r="I90" s="2365"/>
      <c r="J90" s="2368"/>
    </row>
    <row r="91" spans="1:10" s="450" customFormat="1" ht="28" customHeight="1">
      <c r="A91" s="2512" t="s">
        <v>532</v>
      </c>
      <c r="B91" s="2524" t="s">
        <v>619</v>
      </c>
      <c r="C91" s="2388" t="s">
        <v>924</v>
      </c>
      <c r="D91" s="2367">
        <f>'BS old'!D49</f>
        <v>0</v>
      </c>
      <c r="E91" s="2367"/>
      <c r="F91" s="2364"/>
      <c r="G91" s="2364">
        <f>'BS old'!F49</f>
        <v>0</v>
      </c>
      <c r="H91" s="2365"/>
      <c r="I91" s="2366"/>
      <c r="J91" s="837"/>
    </row>
    <row r="92" spans="1:10" s="450" customFormat="1" ht="28" customHeight="1">
      <c r="A92" s="2383"/>
      <c r="B92" s="2385"/>
      <c r="C92" s="2388"/>
      <c r="D92" s="2367">
        <f>'BS old'!E49</f>
        <v>0</v>
      </c>
      <c r="E92" s="2367"/>
      <c r="F92" s="2367"/>
      <c r="G92" s="840"/>
      <c r="H92" s="2364">
        <f>'BS old'!G49</f>
        <v>0</v>
      </c>
      <c r="I92" s="2365"/>
      <c r="J92" s="2368"/>
    </row>
    <row r="93" spans="1:10" ht="28" customHeight="1">
      <c r="A93" s="2512" t="s">
        <v>535</v>
      </c>
      <c r="B93" s="2524" t="s">
        <v>1490</v>
      </c>
      <c r="C93" s="2388" t="s">
        <v>927</v>
      </c>
      <c r="D93" s="2367">
        <f>'BS old'!D50</f>
        <v>0</v>
      </c>
      <c r="E93" s="2367"/>
      <c r="F93" s="2364"/>
      <c r="G93" s="2364">
        <f>'BS old'!F50</f>
        <v>0</v>
      </c>
      <c r="H93" s="2365"/>
      <c r="I93" s="2366"/>
      <c r="J93" s="837"/>
    </row>
    <row r="94" spans="1:10" ht="28" customHeight="1">
      <c r="A94" s="2383"/>
      <c r="B94" s="2385"/>
      <c r="C94" s="2388"/>
      <c r="D94" s="2367">
        <f>'BS old'!E50</f>
        <v>0</v>
      </c>
      <c r="E94" s="2367"/>
      <c r="F94" s="2367"/>
      <c r="G94" s="792"/>
      <c r="H94" s="2364">
        <f>'BS old'!G50</f>
        <v>0</v>
      </c>
      <c r="I94" s="2365"/>
      <c r="J94" s="2368"/>
    </row>
    <row r="95" spans="1:10" ht="11.25" customHeight="1">
      <c r="A95" s="2518" t="s">
        <v>1446</v>
      </c>
      <c r="B95" s="2519" t="s">
        <v>1447</v>
      </c>
      <c r="C95" s="2520" t="s">
        <v>1448</v>
      </c>
      <c r="D95" s="2371" t="s">
        <v>1449</v>
      </c>
      <c r="E95" s="2393"/>
      <c r="F95" s="2393"/>
      <c r="G95" s="2393"/>
      <c r="H95" s="2374"/>
      <c r="I95" s="2375" t="s">
        <v>1450</v>
      </c>
      <c r="J95" s="2376"/>
    </row>
    <row r="96" spans="1:10" ht="11.25" customHeight="1">
      <c r="A96" s="2518"/>
      <c r="B96" s="2519"/>
      <c r="C96" s="2520"/>
      <c r="D96" s="2411">
        <v>1</v>
      </c>
      <c r="E96" s="2379" t="s">
        <v>1451</v>
      </c>
      <c r="F96" s="2439"/>
      <c r="G96" s="2435" t="s">
        <v>1452</v>
      </c>
      <c r="H96" s="2437"/>
      <c r="I96" s="2371"/>
      <c r="J96" s="2372"/>
    </row>
    <row r="97" spans="1:12" ht="12" customHeight="1">
      <c r="A97" s="2381"/>
      <c r="B97" s="2389"/>
      <c r="C97" s="2391"/>
      <c r="D97" s="2521"/>
      <c r="E97" s="2379" t="s">
        <v>1453</v>
      </c>
      <c r="F97" s="2439"/>
      <c r="G97" s="2371"/>
      <c r="H97" s="2374"/>
      <c r="I97" s="2379" t="s">
        <v>1454</v>
      </c>
      <c r="J97" s="2380"/>
    </row>
    <row r="98" spans="1:12" ht="28" customHeight="1">
      <c r="A98" s="2512" t="s">
        <v>538</v>
      </c>
      <c r="B98" s="2527" t="s">
        <v>1491</v>
      </c>
      <c r="C98" s="2387" t="s">
        <v>930</v>
      </c>
      <c r="D98" s="2367">
        <f>'BS old'!D51</f>
        <v>0</v>
      </c>
      <c r="E98" s="2367"/>
      <c r="F98" s="2367"/>
      <c r="G98" s="2364">
        <f>'BS old'!F51</f>
        <v>0</v>
      </c>
      <c r="H98" s="2365"/>
      <c r="I98" s="2366"/>
      <c r="J98" s="837"/>
      <c r="L98" s="502" t="s">
        <v>1093</v>
      </c>
    </row>
    <row r="99" spans="1:12" ht="28" customHeight="1">
      <c r="A99" s="2383"/>
      <c r="B99" s="2385"/>
      <c r="C99" s="2388"/>
      <c r="D99" s="2367">
        <f>'BS old'!E51</f>
        <v>0</v>
      </c>
      <c r="E99" s="2367"/>
      <c r="F99" s="2367"/>
      <c r="G99" s="838"/>
      <c r="H99" s="2364">
        <f>'BS old'!G51</f>
        <v>0</v>
      </c>
      <c r="I99" s="2365"/>
      <c r="J99" s="2368"/>
    </row>
    <row r="100" spans="1:12" ht="28" customHeight="1">
      <c r="A100" s="2512" t="s">
        <v>541</v>
      </c>
      <c r="B100" s="2386" t="s">
        <v>1492</v>
      </c>
      <c r="C100" s="2388" t="s">
        <v>933</v>
      </c>
      <c r="D100" s="2367">
        <f>'BS old'!D52</f>
        <v>0</v>
      </c>
      <c r="E100" s="2367"/>
      <c r="F100" s="2367"/>
      <c r="G100" s="2364">
        <f>'BS old'!F52</f>
        <v>0</v>
      </c>
      <c r="H100" s="2365"/>
      <c r="I100" s="2366"/>
      <c r="J100" s="837"/>
    </row>
    <row r="101" spans="1:12" ht="28" customHeight="1">
      <c r="A101" s="2383"/>
      <c r="B101" s="2386"/>
      <c r="C101" s="2388"/>
      <c r="D101" s="2367">
        <f>'BS old'!E52</f>
        <v>0</v>
      </c>
      <c r="E101" s="2367"/>
      <c r="F101" s="2367"/>
      <c r="G101" s="838"/>
      <c r="H101" s="2364">
        <f>'BS old'!G52</f>
        <v>0</v>
      </c>
      <c r="I101" s="2365"/>
      <c r="J101" s="2368"/>
    </row>
    <row r="102" spans="1:12" ht="28" customHeight="1">
      <c r="A102" s="2512" t="s">
        <v>544</v>
      </c>
      <c r="B102" s="2386" t="s">
        <v>1493</v>
      </c>
      <c r="C102" s="2387" t="s">
        <v>936</v>
      </c>
      <c r="D102" s="2367">
        <f>'BS old'!D53</f>
        <v>0</v>
      </c>
      <c r="E102" s="2367"/>
      <c r="F102" s="2367"/>
      <c r="G102" s="2364">
        <f>'BS old'!F53</f>
        <v>0</v>
      </c>
      <c r="H102" s="2365"/>
      <c r="I102" s="2366"/>
      <c r="J102" s="837"/>
    </row>
    <row r="103" spans="1:12" ht="28" customHeight="1">
      <c r="A103" s="2383"/>
      <c r="B103" s="2386"/>
      <c r="C103" s="2388"/>
      <c r="D103" s="2367">
        <f>'BS old'!E53</f>
        <v>0</v>
      </c>
      <c r="E103" s="2367"/>
      <c r="F103" s="2367"/>
      <c r="G103" s="838"/>
      <c r="H103" s="2364">
        <f>'BS old'!G53</f>
        <v>0</v>
      </c>
      <c r="I103" s="2365"/>
      <c r="J103" s="2368"/>
    </row>
    <row r="104" spans="1:12" ht="28" customHeight="1">
      <c r="A104" s="2512" t="s">
        <v>547</v>
      </c>
      <c r="B104" s="2386" t="s">
        <v>1494</v>
      </c>
      <c r="C104" s="2388" t="s">
        <v>939</v>
      </c>
      <c r="D104" s="2367">
        <f>'BS old'!D54</f>
        <v>0</v>
      </c>
      <c r="E104" s="2367"/>
      <c r="F104" s="2367"/>
      <c r="G104" s="2364">
        <f>'BS old'!F54</f>
        <v>0</v>
      </c>
      <c r="H104" s="2365"/>
      <c r="I104" s="2366"/>
      <c r="J104" s="837"/>
    </row>
    <row r="105" spans="1:12" ht="28" customHeight="1">
      <c r="A105" s="2383"/>
      <c r="B105" s="2386"/>
      <c r="C105" s="2388"/>
      <c r="D105" s="2367">
        <f>'BS old'!E54</f>
        <v>0</v>
      </c>
      <c r="E105" s="2367"/>
      <c r="F105" s="2367"/>
      <c r="G105" s="838"/>
      <c r="H105" s="2364">
        <f>'BS old'!G54</f>
        <v>0</v>
      </c>
      <c r="I105" s="2365"/>
      <c r="J105" s="2368"/>
    </row>
    <row r="106" spans="1:12" ht="28" customHeight="1">
      <c r="A106" s="2522" t="s">
        <v>631</v>
      </c>
      <c r="B106" s="2398" t="s">
        <v>632</v>
      </c>
      <c r="C106" s="2387" t="s">
        <v>941</v>
      </c>
      <c r="D106" s="2367">
        <f>'BS old'!D55</f>
        <v>0</v>
      </c>
      <c r="E106" s="2367"/>
      <c r="F106" s="2367"/>
      <c r="G106" s="2364">
        <f>'BS old'!F55</f>
        <v>0</v>
      </c>
      <c r="H106" s="2365"/>
      <c r="I106" s="2366"/>
      <c r="J106" s="837"/>
    </row>
    <row r="107" spans="1:12" ht="28" customHeight="1">
      <c r="A107" s="2399"/>
      <c r="B107" s="2398"/>
      <c r="C107" s="2388"/>
      <c r="D107" s="2367">
        <f>'BS old'!E55</f>
        <v>0</v>
      </c>
      <c r="E107" s="2367"/>
      <c r="F107" s="2367"/>
      <c r="G107" s="838"/>
      <c r="H107" s="2364">
        <f>'BS old'!G55</f>
        <v>0</v>
      </c>
      <c r="I107" s="2365"/>
      <c r="J107" s="2368"/>
    </row>
    <row r="108" spans="1:12" s="450" customFormat="1" ht="28" customHeight="1">
      <c r="A108" s="2525" t="s">
        <v>634</v>
      </c>
      <c r="B108" s="2386" t="s">
        <v>1495</v>
      </c>
      <c r="C108" s="2388" t="s">
        <v>944</v>
      </c>
      <c r="D108" s="2367">
        <f>'BS old'!D56</f>
        <v>0</v>
      </c>
      <c r="E108" s="2367"/>
      <c r="F108" s="2367"/>
      <c r="G108" s="2364">
        <f>'BS old'!F56</f>
        <v>0</v>
      </c>
      <c r="H108" s="2365"/>
      <c r="I108" s="2366"/>
      <c r="J108" s="837"/>
    </row>
    <row r="109" spans="1:12" s="450" customFormat="1" ht="28" customHeight="1">
      <c r="A109" s="2526"/>
      <c r="B109" s="2386"/>
      <c r="C109" s="2388"/>
      <c r="D109" s="2367">
        <f>'BS old'!E56</f>
        <v>0</v>
      </c>
      <c r="E109" s="2367"/>
      <c r="F109" s="2367"/>
      <c r="G109" s="838"/>
      <c r="H109" s="2364">
        <f>'BS old'!G56</f>
        <v>0</v>
      </c>
      <c r="I109" s="2365"/>
      <c r="J109" s="2368"/>
    </row>
    <row r="110" spans="1:12" s="450" customFormat="1" ht="28" customHeight="1">
      <c r="A110" s="2512" t="s">
        <v>532</v>
      </c>
      <c r="B110" s="2386" t="s">
        <v>619</v>
      </c>
      <c r="C110" s="2387" t="s">
        <v>947</v>
      </c>
      <c r="D110" s="2367">
        <f>'BS old'!D57</f>
        <v>0</v>
      </c>
      <c r="E110" s="2367"/>
      <c r="F110" s="2367"/>
      <c r="G110" s="2364">
        <f>'BS old'!F57</f>
        <v>0</v>
      </c>
      <c r="H110" s="2365"/>
      <c r="I110" s="2366"/>
      <c r="J110" s="837"/>
    </row>
    <row r="111" spans="1:12" s="450" customFormat="1" ht="28" customHeight="1">
      <c r="A111" s="2383"/>
      <c r="B111" s="2386"/>
      <c r="C111" s="2388"/>
      <c r="D111" s="2367">
        <f>'BS old'!E57</f>
        <v>0</v>
      </c>
      <c r="E111" s="2367"/>
      <c r="F111" s="2367"/>
      <c r="G111" s="838"/>
      <c r="H111" s="2364">
        <f>'BS old'!G57</f>
        <v>0</v>
      </c>
      <c r="I111" s="2365"/>
      <c r="J111" s="2368"/>
    </row>
    <row r="112" spans="1:12" ht="28" customHeight="1">
      <c r="A112" s="2512" t="s">
        <v>535</v>
      </c>
      <c r="B112" s="2386" t="s">
        <v>1496</v>
      </c>
      <c r="C112" s="2388" t="s">
        <v>950</v>
      </c>
      <c r="D112" s="2367">
        <f>'BS old'!D58</f>
        <v>0</v>
      </c>
      <c r="E112" s="2367"/>
      <c r="F112" s="2367"/>
      <c r="G112" s="2364">
        <f>'BS old'!F58</f>
        <v>0</v>
      </c>
      <c r="H112" s="2365"/>
      <c r="I112" s="2366"/>
      <c r="J112" s="837"/>
    </row>
    <row r="113" spans="1:10" ht="28" customHeight="1">
      <c r="A113" s="2383"/>
      <c r="B113" s="2386"/>
      <c r="C113" s="2388"/>
      <c r="D113" s="2367">
        <f>'BS old'!E58</f>
        <v>0</v>
      </c>
      <c r="E113" s="2367"/>
      <c r="F113" s="2367"/>
      <c r="G113" s="838"/>
      <c r="H113" s="2364">
        <f>'BS old'!G58</f>
        <v>0</v>
      </c>
      <c r="I113" s="2365"/>
      <c r="J113" s="2368"/>
    </row>
    <row r="114" spans="1:10" ht="28" customHeight="1">
      <c r="A114" s="2512" t="s">
        <v>538</v>
      </c>
      <c r="B114" s="2386" t="s">
        <v>1491</v>
      </c>
      <c r="C114" s="2387" t="s">
        <v>952</v>
      </c>
      <c r="D114" s="2367">
        <f>'BS old'!D59</f>
        <v>0</v>
      </c>
      <c r="E114" s="2367"/>
      <c r="F114" s="2367"/>
      <c r="G114" s="2364">
        <f>'BS old'!F59</f>
        <v>0</v>
      </c>
      <c r="H114" s="2365"/>
      <c r="I114" s="2366"/>
      <c r="J114" s="837"/>
    </row>
    <row r="115" spans="1:10" ht="28" customHeight="1">
      <c r="A115" s="2383"/>
      <c r="B115" s="2386"/>
      <c r="C115" s="2388"/>
      <c r="D115" s="2367">
        <f>'BS old'!E59</f>
        <v>0</v>
      </c>
      <c r="E115" s="2367"/>
      <c r="F115" s="2367"/>
      <c r="G115" s="838"/>
      <c r="H115" s="2364">
        <f>'BS old'!G59</f>
        <v>0</v>
      </c>
      <c r="I115" s="2365"/>
      <c r="J115" s="2368"/>
    </row>
    <row r="116" spans="1:10" ht="28" customHeight="1">
      <c r="A116" s="2512" t="s">
        <v>541</v>
      </c>
      <c r="B116" s="2386" t="s">
        <v>1497</v>
      </c>
      <c r="C116" s="2388" t="s">
        <v>954</v>
      </c>
      <c r="D116" s="2367">
        <f>'BS old'!D60</f>
        <v>0</v>
      </c>
      <c r="E116" s="2367"/>
      <c r="F116" s="2367"/>
      <c r="G116" s="2364">
        <f>'BS old'!F60</f>
        <v>0</v>
      </c>
      <c r="H116" s="2365"/>
      <c r="I116" s="2366"/>
      <c r="J116" s="837"/>
    </row>
    <row r="117" spans="1:10" ht="28" customHeight="1">
      <c r="A117" s="2383"/>
      <c r="B117" s="2386"/>
      <c r="C117" s="2388"/>
      <c r="D117" s="2367">
        <f>'BS old'!E60</f>
        <v>0</v>
      </c>
      <c r="E117" s="2367"/>
      <c r="F117" s="2367"/>
      <c r="G117" s="838"/>
      <c r="H117" s="2364">
        <f>'BS old'!G60</f>
        <v>0</v>
      </c>
      <c r="I117" s="2365"/>
      <c r="J117" s="2368"/>
    </row>
    <row r="118" spans="1:10" ht="28" customHeight="1">
      <c r="A118" s="2512" t="s">
        <v>544</v>
      </c>
      <c r="B118" s="2386" t="s">
        <v>1498</v>
      </c>
      <c r="C118" s="2387" t="s">
        <v>957</v>
      </c>
      <c r="D118" s="2367">
        <f>'BS old'!D61</f>
        <v>0</v>
      </c>
      <c r="E118" s="2367"/>
      <c r="F118" s="2367"/>
      <c r="G118" s="2364">
        <f>'BS old'!F61</f>
        <v>0</v>
      </c>
      <c r="H118" s="2365"/>
      <c r="I118" s="2366"/>
      <c r="J118" s="837"/>
    </row>
    <row r="119" spans="1:10" ht="28" customHeight="1">
      <c r="A119" s="2383"/>
      <c r="B119" s="2386"/>
      <c r="C119" s="2388"/>
      <c r="D119" s="2367">
        <f>'BS old'!E61</f>
        <v>0</v>
      </c>
      <c r="E119" s="2367"/>
      <c r="F119" s="2367"/>
      <c r="G119" s="838"/>
      <c r="H119" s="2364">
        <f>'BS old'!G61</f>
        <v>0</v>
      </c>
      <c r="I119" s="2365"/>
      <c r="J119" s="2368"/>
    </row>
    <row r="120" spans="1:10" ht="28" customHeight="1">
      <c r="A120" s="2512" t="s">
        <v>547</v>
      </c>
      <c r="B120" s="2386" t="s">
        <v>1499</v>
      </c>
      <c r="C120" s="2388" t="s">
        <v>960</v>
      </c>
      <c r="D120" s="2367">
        <f>'BS old'!D62</f>
        <v>0</v>
      </c>
      <c r="E120" s="2367"/>
      <c r="F120" s="2367"/>
      <c r="G120" s="2364">
        <f>'BS old'!F62</f>
        <v>0</v>
      </c>
      <c r="H120" s="2365"/>
      <c r="I120" s="2366"/>
      <c r="J120" s="837"/>
    </row>
    <row r="121" spans="1:10" ht="28" customHeight="1">
      <c r="A121" s="2383"/>
      <c r="B121" s="2386"/>
      <c r="C121" s="2388"/>
      <c r="D121" s="2367">
        <f>'BS old'!E62</f>
        <v>0</v>
      </c>
      <c r="E121" s="2367"/>
      <c r="F121" s="2367"/>
      <c r="G121" s="838"/>
      <c r="H121" s="2364">
        <f>'BS old'!G62</f>
        <v>0</v>
      </c>
      <c r="I121" s="2365"/>
      <c r="J121" s="2368"/>
    </row>
    <row r="122" spans="1:10" ht="28" customHeight="1">
      <c r="A122" s="2512" t="s">
        <v>568</v>
      </c>
      <c r="B122" s="2386" t="s">
        <v>1493</v>
      </c>
      <c r="C122" s="2387" t="s">
        <v>962</v>
      </c>
      <c r="D122" s="2367">
        <f>'BS old'!D63</f>
        <v>0</v>
      </c>
      <c r="E122" s="2367"/>
      <c r="F122" s="2367"/>
      <c r="G122" s="2364">
        <f>'BS old'!F63</f>
        <v>0</v>
      </c>
      <c r="H122" s="2365"/>
      <c r="I122" s="2366"/>
      <c r="J122" s="837"/>
    </row>
    <row r="123" spans="1:10" ht="28" customHeight="1">
      <c r="A123" s="2383"/>
      <c r="B123" s="2524"/>
      <c r="C123" s="2388"/>
      <c r="D123" s="2367">
        <f>'BS old'!E63</f>
        <v>0</v>
      </c>
      <c r="E123" s="2367"/>
      <c r="F123" s="2367"/>
      <c r="G123" s="838"/>
      <c r="H123" s="2364">
        <f>'BS old'!G63</f>
        <v>0</v>
      </c>
      <c r="I123" s="2365"/>
      <c r="J123" s="2368"/>
    </row>
    <row r="124" spans="1:10" ht="28" customHeight="1">
      <c r="A124" s="2522" t="s">
        <v>649</v>
      </c>
      <c r="B124" s="2398" t="s">
        <v>650</v>
      </c>
      <c r="C124" s="2388" t="s">
        <v>965</v>
      </c>
      <c r="D124" s="2523">
        <f>'BS old'!D64</f>
        <v>0</v>
      </c>
      <c r="E124" s="2523"/>
      <c r="F124" s="2523"/>
      <c r="G124" s="2364">
        <f>'BS old'!F64</f>
        <v>0</v>
      </c>
      <c r="H124" s="2365"/>
      <c r="I124" s="2366"/>
      <c r="J124" s="837"/>
    </row>
    <row r="125" spans="1:10" ht="28" customHeight="1">
      <c r="A125" s="2399"/>
      <c r="B125" s="2398"/>
      <c r="C125" s="2388"/>
      <c r="D125" s="2367">
        <f>'BS old'!E64</f>
        <v>0</v>
      </c>
      <c r="E125" s="2367"/>
      <c r="F125" s="2367"/>
      <c r="G125" s="838"/>
      <c r="H125" s="2364">
        <f>'BS old'!G64</f>
        <v>0</v>
      </c>
      <c r="I125" s="2365"/>
      <c r="J125" s="2368"/>
    </row>
    <row r="126" spans="1:10" s="450" customFormat="1" ht="28" customHeight="1">
      <c r="A126" s="2514" t="s">
        <v>652</v>
      </c>
      <c r="B126" s="2386" t="s">
        <v>1500</v>
      </c>
      <c r="C126" s="2387" t="s">
        <v>968</v>
      </c>
      <c r="D126" s="2367">
        <f>'BS old'!D65</f>
        <v>0</v>
      </c>
      <c r="E126" s="2367"/>
      <c r="F126" s="2367"/>
      <c r="G126" s="2364">
        <f>'BS old'!F65</f>
        <v>0</v>
      </c>
      <c r="H126" s="2365"/>
      <c r="I126" s="2366"/>
      <c r="J126" s="837"/>
    </row>
    <row r="127" spans="1:10" s="450" customFormat="1" ht="28" customHeight="1">
      <c r="A127" s="2515"/>
      <c r="B127" s="2386"/>
      <c r="C127" s="2388"/>
      <c r="D127" s="2367">
        <f>'BS old'!E65</f>
        <v>0</v>
      </c>
      <c r="E127" s="2367"/>
      <c r="F127" s="2367"/>
      <c r="G127" s="802"/>
      <c r="H127" s="2364">
        <f>'BS old'!G65</f>
        <v>0</v>
      </c>
      <c r="I127" s="2365"/>
      <c r="J127" s="2368"/>
    </row>
    <row r="128" spans="1:10" ht="11.25" customHeight="1">
      <c r="A128" s="2518" t="s">
        <v>1446</v>
      </c>
      <c r="B128" s="2519" t="s">
        <v>1447</v>
      </c>
      <c r="C128" s="2520" t="s">
        <v>1448</v>
      </c>
      <c r="D128" s="2371" t="s">
        <v>1449</v>
      </c>
      <c r="E128" s="2393"/>
      <c r="F128" s="2393"/>
      <c r="G128" s="2393"/>
      <c r="H128" s="2374"/>
      <c r="I128" s="2375" t="s">
        <v>1450</v>
      </c>
      <c r="J128" s="2376"/>
    </row>
    <row r="129" spans="1:10" ht="11.25" customHeight="1">
      <c r="A129" s="2518"/>
      <c r="B129" s="2519"/>
      <c r="C129" s="2520"/>
      <c r="D129" s="2411">
        <v>1</v>
      </c>
      <c r="E129" s="2379" t="s">
        <v>1451</v>
      </c>
      <c r="F129" s="2439"/>
      <c r="G129" s="2435" t="s">
        <v>1452</v>
      </c>
      <c r="H129" s="2437"/>
      <c r="I129" s="2371"/>
      <c r="J129" s="2372"/>
    </row>
    <row r="130" spans="1:10" ht="11.25" customHeight="1">
      <c r="A130" s="2381"/>
      <c r="B130" s="2389"/>
      <c r="C130" s="2391"/>
      <c r="D130" s="2521"/>
      <c r="E130" s="2379" t="s">
        <v>1453</v>
      </c>
      <c r="F130" s="2439"/>
      <c r="G130" s="2371"/>
      <c r="H130" s="2374"/>
      <c r="I130" s="2379" t="s">
        <v>1454</v>
      </c>
      <c r="J130" s="2380"/>
    </row>
    <row r="131" spans="1:10" s="519" customFormat="1" ht="28" customHeight="1">
      <c r="A131" s="2512" t="s">
        <v>532</v>
      </c>
      <c r="B131" s="2385" t="s">
        <v>1501</v>
      </c>
      <c r="C131" s="2388" t="s">
        <v>656</v>
      </c>
      <c r="D131" s="2367">
        <f>'BS old'!D66</f>
        <v>0</v>
      </c>
      <c r="E131" s="2367"/>
      <c r="F131" s="2367"/>
      <c r="G131" s="2364">
        <f>'BS old'!F66</f>
        <v>0</v>
      </c>
      <c r="H131" s="2365"/>
      <c r="I131" s="2366"/>
      <c r="J131" s="520"/>
    </row>
    <row r="132" spans="1:10" s="519" customFormat="1" ht="28" customHeight="1">
      <c r="A132" s="2383"/>
      <c r="B132" s="2386"/>
      <c r="C132" s="2388"/>
      <c r="D132" s="2367">
        <f>'BS old'!E66</f>
        <v>0</v>
      </c>
      <c r="E132" s="2367"/>
      <c r="F132" s="2367"/>
      <c r="G132" s="839"/>
      <c r="H132" s="2364">
        <f>'BS old'!G66</f>
        <v>0</v>
      </c>
      <c r="I132" s="2365"/>
      <c r="J132" s="2368"/>
    </row>
    <row r="133" spans="1:10" s="519" customFormat="1" ht="28" customHeight="1">
      <c r="A133" s="2512" t="s">
        <v>535</v>
      </c>
      <c r="B133" s="2386" t="s">
        <v>1502</v>
      </c>
      <c r="C133" s="2388" t="s">
        <v>658</v>
      </c>
      <c r="D133" s="2367">
        <f>'BS old'!D67</f>
        <v>0</v>
      </c>
      <c r="E133" s="2367"/>
      <c r="F133" s="2367"/>
      <c r="G133" s="2364">
        <f>'BS old'!F67</f>
        <v>0</v>
      </c>
      <c r="H133" s="2365"/>
      <c r="I133" s="2366"/>
      <c r="J133" s="520"/>
    </row>
    <row r="134" spans="1:10" ht="28" customHeight="1">
      <c r="A134" s="2383"/>
      <c r="B134" s="2386"/>
      <c r="C134" s="2388"/>
      <c r="D134" s="2367">
        <f>'BS old'!E67</f>
        <v>0</v>
      </c>
      <c r="E134" s="2367"/>
      <c r="F134" s="2367"/>
      <c r="G134" s="839"/>
      <c r="H134" s="2364">
        <f>'BS old'!G67</f>
        <v>0</v>
      </c>
      <c r="I134" s="2365"/>
      <c r="J134" s="2368"/>
    </row>
    <row r="135" spans="1:10" ht="28" customHeight="1">
      <c r="A135" s="2512" t="s">
        <v>538</v>
      </c>
      <c r="B135" s="2386" t="s">
        <v>1503</v>
      </c>
      <c r="C135" s="2388" t="s">
        <v>660</v>
      </c>
      <c r="D135" s="2367">
        <f>'BS old'!D68</f>
        <v>0</v>
      </c>
      <c r="E135" s="2367"/>
      <c r="F135" s="2367"/>
      <c r="G135" s="2364">
        <f>'BS old'!F68</f>
        <v>0</v>
      </c>
      <c r="H135" s="2365"/>
      <c r="I135" s="2366"/>
      <c r="J135" s="837"/>
    </row>
    <row r="136" spans="1:10" ht="28" customHeight="1">
      <c r="A136" s="2383"/>
      <c r="B136" s="2386"/>
      <c r="C136" s="2388"/>
      <c r="D136" s="2367">
        <f>'BS old'!E68</f>
        <v>0</v>
      </c>
      <c r="E136" s="2367"/>
      <c r="F136" s="2367"/>
      <c r="G136" s="839"/>
      <c r="H136" s="2364">
        <f>'BS old'!G68</f>
        <v>0</v>
      </c>
      <c r="I136" s="2365"/>
      <c r="J136" s="2368"/>
    </row>
    <row r="137" spans="1:10" ht="28" customHeight="1">
      <c r="A137" s="2512" t="s">
        <v>541</v>
      </c>
      <c r="B137" s="2386" t="s">
        <v>1504</v>
      </c>
      <c r="C137" s="2388" t="s">
        <v>662</v>
      </c>
      <c r="D137" s="2367">
        <f>'BS old'!D69</f>
        <v>0</v>
      </c>
      <c r="E137" s="2367"/>
      <c r="F137" s="2367"/>
      <c r="G137" s="2364">
        <f>'BS old'!F69</f>
        <v>0</v>
      </c>
      <c r="H137" s="2365"/>
      <c r="I137" s="2366"/>
      <c r="J137" s="837"/>
    </row>
    <row r="138" spans="1:10" ht="28" customHeight="1">
      <c r="A138" s="2383"/>
      <c r="B138" s="2386"/>
      <c r="C138" s="2388"/>
      <c r="D138" s="2367">
        <f>'BS old'!E69</f>
        <v>0</v>
      </c>
      <c r="E138" s="2367"/>
      <c r="F138" s="2367"/>
      <c r="G138" s="839"/>
      <c r="H138" s="2364">
        <f>'BS old'!G69</f>
        <v>0</v>
      </c>
      <c r="I138" s="2365"/>
      <c r="J138" s="2368"/>
    </row>
    <row r="139" spans="1:10" ht="28" customHeight="1">
      <c r="A139" s="2516" t="s">
        <v>663</v>
      </c>
      <c r="B139" s="2398" t="s">
        <v>1505</v>
      </c>
      <c r="C139" s="2401" t="s">
        <v>665</v>
      </c>
      <c r="D139" s="2367">
        <f>'BS old'!D70</f>
        <v>0</v>
      </c>
      <c r="E139" s="2367"/>
      <c r="F139" s="2367"/>
      <c r="G139" s="2364">
        <f>'BS old'!F70</f>
        <v>0</v>
      </c>
      <c r="H139" s="2365"/>
      <c r="I139" s="2366"/>
      <c r="J139" s="837"/>
    </row>
    <row r="140" spans="1:10" ht="28" customHeight="1">
      <c r="A140" s="2517"/>
      <c r="B140" s="2398"/>
      <c r="C140" s="2401"/>
      <c r="D140" s="2367">
        <f>'BS old'!E70</f>
        <v>0</v>
      </c>
      <c r="E140" s="2367"/>
      <c r="F140" s="2367"/>
      <c r="G140" s="839"/>
      <c r="H140" s="2364">
        <f>'BS old'!G70</f>
        <v>0</v>
      </c>
      <c r="I140" s="2365"/>
      <c r="J140" s="2368"/>
    </row>
    <row r="141" spans="1:10" ht="28" customHeight="1">
      <c r="A141" s="2514" t="s">
        <v>666</v>
      </c>
      <c r="B141" s="2513" t="s">
        <v>1506</v>
      </c>
      <c r="C141" s="2388" t="s">
        <v>668</v>
      </c>
      <c r="D141" s="2367">
        <f>'BS old'!D71</f>
        <v>0</v>
      </c>
      <c r="E141" s="2367"/>
      <c r="F141" s="2367"/>
      <c r="G141" s="2364">
        <f>'BS old'!F71</f>
        <v>0</v>
      </c>
      <c r="H141" s="2365"/>
      <c r="I141" s="2366"/>
      <c r="J141" s="837"/>
    </row>
    <row r="142" spans="1:10" ht="28" customHeight="1">
      <c r="A142" s="2515"/>
      <c r="B142" s="2386"/>
      <c r="C142" s="2388"/>
      <c r="D142" s="2367">
        <f>'BS old'!E71</f>
        <v>0</v>
      </c>
      <c r="E142" s="2367"/>
      <c r="F142" s="2367"/>
      <c r="G142" s="839"/>
      <c r="H142" s="2364">
        <f>'BS old'!G71</f>
        <v>0</v>
      </c>
      <c r="I142" s="2365"/>
      <c r="J142" s="2368"/>
    </row>
    <row r="143" spans="1:10" ht="28" customHeight="1">
      <c r="A143" s="2512" t="s">
        <v>532</v>
      </c>
      <c r="B143" s="2513" t="s">
        <v>1507</v>
      </c>
      <c r="C143" s="2388" t="s">
        <v>670</v>
      </c>
      <c r="D143" s="2367">
        <f>'BS old'!D72</f>
        <v>0</v>
      </c>
      <c r="E143" s="2367"/>
      <c r="F143" s="2367"/>
      <c r="G143" s="2364">
        <f>'BS old'!F72</f>
        <v>0</v>
      </c>
      <c r="H143" s="2365"/>
      <c r="I143" s="2366"/>
      <c r="J143" s="837"/>
    </row>
    <row r="144" spans="1:10" s="450" customFormat="1" ht="28" customHeight="1">
      <c r="A144" s="2383"/>
      <c r="B144" s="2386"/>
      <c r="C144" s="2388"/>
      <c r="D144" s="2367">
        <f>'BS old'!E72</f>
        <v>0</v>
      </c>
      <c r="E144" s="2367"/>
      <c r="F144" s="2367"/>
      <c r="G144" s="839"/>
      <c r="H144" s="2364">
        <f>'BS old'!G72</f>
        <v>0</v>
      </c>
      <c r="I144" s="2365"/>
      <c r="J144" s="2368"/>
    </row>
    <row r="145" spans="1:10" s="450" customFormat="1" ht="28" customHeight="1">
      <c r="A145" s="2512" t="s">
        <v>535</v>
      </c>
      <c r="B145" s="2513" t="s">
        <v>1508</v>
      </c>
      <c r="C145" s="2388" t="s">
        <v>672</v>
      </c>
      <c r="D145" s="2367">
        <f>'BS old'!D73</f>
        <v>0</v>
      </c>
      <c r="E145" s="2367"/>
      <c r="F145" s="2367"/>
      <c r="G145" s="2364">
        <f>'BS old'!F73</f>
        <v>0</v>
      </c>
      <c r="H145" s="2365"/>
      <c r="I145" s="2366"/>
      <c r="J145" s="837"/>
    </row>
    <row r="146" spans="1:10" ht="28" customHeight="1">
      <c r="A146" s="2383"/>
      <c r="B146" s="2386"/>
      <c r="C146" s="2388"/>
      <c r="D146" s="2367">
        <f>'BS old'!E73</f>
        <v>0</v>
      </c>
      <c r="E146" s="2367"/>
      <c r="F146" s="2367"/>
      <c r="G146" s="839"/>
      <c r="H146" s="2364">
        <f>'BS old'!G73</f>
        <v>0</v>
      </c>
      <c r="I146" s="2365"/>
      <c r="J146" s="2368"/>
    </row>
    <row r="147" spans="1:10" ht="28" customHeight="1">
      <c r="A147" s="2512" t="s">
        <v>538</v>
      </c>
      <c r="B147" s="2513" t="s">
        <v>1509</v>
      </c>
      <c r="C147" s="2388" t="s">
        <v>674</v>
      </c>
      <c r="D147" s="2367">
        <f>'BS old'!D74</f>
        <v>0</v>
      </c>
      <c r="E147" s="2367"/>
      <c r="F147" s="2367"/>
      <c r="G147" s="2364">
        <f>'BS old'!F74</f>
        <v>0</v>
      </c>
      <c r="H147" s="2365"/>
      <c r="I147" s="2366"/>
      <c r="J147" s="837"/>
    </row>
    <row r="148" spans="1:10" s="515" customFormat="1" ht="28" customHeight="1">
      <c r="A148" s="2383"/>
      <c r="B148" s="2386"/>
      <c r="C148" s="2388"/>
      <c r="D148" s="2367">
        <f>'BS old'!E74</f>
        <v>0</v>
      </c>
      <c r="E148" s="2367"/>
      <c r="F148" s="2367"/>
      <c r="G148" s="802"/>
      <c r="H148" s="2364">
        <f>'BS old'!G74</f>
        <v>0</v>
      </c>
      <c r="I148" s="2365"/>
      <c r="J148" s="2368"/>
    </row>
    <row r="149" spans="1:10" s="515" customFormat="1" ht="30" customHeight="1">
      <c r="A149" s="794" t="s">
        <v>1446</v>
      </c>
      <c r="B149" s="2509" t="s">
        <v>1510</v>
      </c>
      <c r="C149" s="2510"/>
      <c r="D149" s="2510"/>
      <c r="E149" s="2511"/>
      <c r="F149" s="800" t="s">
        <v>1448</v>
      </c>
      <c r="G149" s="2371" t="s">
        <v>1511</v>
      </c>
      <c r="H149" s="2374"/>
      <c r="I149" s="2371" t="s">
        <v>1512</v>
      </c>
      <c r="J149" s="2372"/>
    </row>
    <row r="150" spans="1:10" s="515" customFormat="1" ht="27.75" customHeight="1">
      <c r="A150" s="516"/>
      <c r="B150" s="2506" t="s">
        <v>1513</v>
      </c>
      <c r="C150" s="2507"/>
      <c r="D150" s="2507"/>
      <c r="E150" s="2508"/>
      <c r="F150" s="804" t="s">
        <v>681</v>
      </c>
      <c r="G150" s="2364">
        <f>'BS old'!D81</f>
        <v>0</v>
      </c>
      <c r="H150" s="2366"/>
      <c r="I150" s="2364">
        <f>'BS old'!E81</f>
        <v>0</v>
      </c>
      <c r="J150" s="2368"/>
    </row>
    <row r="151" spans="1:10" s="515" customFormat="1" ht="27.75" customHeight="1">
      <c r="A151" s="805" t="s">
        <v>523</v>
      </c>
      <c r="B151" s="2506" t="s">
        <v>1514</v>
      </c>
      <c r="C151" s="2507"/>
      <c r="D151" s="2507"/>
      <c r="E151" s="2508"/>
      <c r="F151" s="804" t="s">
        <v>683</v>
      </c>
      <c r="G151" s="2364">
        <f>'BS old'!D82</f>
        <v>0</v>
      </c>
      <c r="H151" s="2366"/>
      <c r="I151" s="2364">
        <f>'BS old'!E82</f>
        <v>0</v>
      </c>
      <c r="J151" s="2368"/>
    </row>
    <row r="152" spans="1:10" ht="27.75" customHeight="1">
      <c r="A152" s="805" t="s">
        <v>526</v>
      </c>
      <c r="B152" s="2506" t="s">
        <v>684</v>
      </c>
      <c r="C152" s="2507"/>
      <c r="D152" s="2507"/>
      <c r="E152" s="2508"/>
      <c r="F152" s="804" t="s">
        <v>685</v>
      </c>
      <c r="G152" s="2364">
        <f>'BS old'!D83</f>
        <v>0</v>
      </c>
      <c r="H152" s="2366"/>
      <c r="I152" s="2364">
        <f>'BS old'!E83</f>
        <v>0</v>
      </c>
      <c r="J152" s="2368"/>
    </row>
    <row r="153" spans="1:10" s="450" customFormat="1" ht="27.75" customHeight="1">
      <c r="A153" s="803" t="s">
        <v>529</v>
      </c>
      <c r="B153" s="2497" t="s">
        <v>686</v>
      </c>
      <c r="C153" s="2498"/>
      <c r="D153" s="2498"/>
      <c r="E153" s="2499"/>
      <c r="F153" s="798" t="s">
        <v>687</v>
      </c>
      <c r="G153" s="2364">
        <f>'BS old'!D84</f>
        <v>0</v>
      </c>
      <c r="H153" s="2366"/>
      <c r="I153" s="2364">
        <f>'BS old'!E84</f>
        <v>0</v>
      </c>
      <c r="J153" s="2368"/>
    </row>
    <row r="154" spans="1:10" s="450" customFormat="1" ht="27.75" customHeight="1">
      <c r="A154" s="796" t="s">
        <v>532</v>
      </c>
      <c r="B154" s="2497" t="s">
        <v>688</v>
      </c>
      <c r="C154" s="2498"/>
      <c r="D154" s="2498"/>
      <c r="E154" s="2499"/>
      <c r="F154" s="798" t="s">
        <v>689</v>
      </c>
      <c r="G154" s="2364">
        <f>'BS old'!D85</f>
        <v>0</v>
      </c>
      <c r="H154" s="2366"/>
      <c r="I154" s="2364">
        <f>'BS old'!E85</f>
        <v>0</v>
      </c>
      <c r="J154" s="2368"/>
    </row>
    <row r="155" spans="1:10" s="450" customFormat="1" ht="27.75" customHeight="1">
      <c r="A155" s="796" t="s">
        <v>535</v>
      </c>
      <c r="B155" s="2497" t="s">
        <v>690</v>
      </c>
      <c r="C155" s="2498"/>
      <c r="D155" s="2498"/>
      <c r="E155" s="2499"/>
      <c r="F155" s="798" t="s">
        <v>691</v>
      </c>
      <c r="G155" s="2364">
        <f>'BS old'!D86</f>
        <v>0</v>
      </c>
      <c r="H155" s="2366"/>
      <c r="I155" s="2364">
        <f>'BS old'!E86</f>
        <v>0</v>
      </c>
      <c r="J155" s="2368"/>
    </row>
    <row r="156" spans="1:10" ht="27.75" customHeight="1">
      <c r="A156" s="796" t="s">
        <v>538</v>
      </c>
      <c r="B156" s="2497" t="s">
        <v>692</v>
      </c>
      <c r="C156" s="2498"/>
      <c r="D156" s="2498"/>
      <c r="E156" s="2499"/>
      <c r="F156" s="798" t="s">
        <v>693</v>
      </c>
      <c r="G156" s="2364">
        <f>'BS old'!D87</f>
        <v>0</v>
      </c>
      <c r="H156" s="2366"/>
      <c r="I156" s="2364">
        <f>'BS old'!E87</f>
        <v>0</v>
      </c>
      <c r="J156" s="2368"/>
    </row>
    <row r="157" spans="1:10" ht="27.75" customHeight="1">
      <c r="A157" s="805" t="s">
        <v>550</v>
      </c>
      <c r="B157" s="2506" t="s">
        <v>694</v>
      </c>
      <c r="C157" s="2507"/>
      <c r="D157" s="2507"/>
      <c r="E157" s="2508"/>
      <c r="F157" s="804" t="s">
        <v>695</v>
      </c>
      <c r="G157" s="2364">
        <f>'BS old'!D88</f>
        <v>0</v>
      </c>
      <c r="H157" s="2366"/>
      <c r="I157" s="2364">
        <f>'BS old'!E88</f>
        <v>0</v>
      </c>
      <c r="J157" s="2368"/>
    </row>
    <row r="158" spans="1:10" ht="27.75" customHeight="1">
      <c r="A158" s="803" t="s">
        <v>553</v>
      </c>
      <c r="B158" s="2497" t="s">
        <v>696</v>
      </c>
      <c r="C158" s="2498"/>
      <c r="D158" s="2498"/>
      <c r="E158" s="2499"/>
      <c r="F158" s="798" t="s">
        <v>697</v>
      </c>
      <c r="G158" s="2364">
        <f>'BS old'!D89</f>
        <v>0</v>
      </c>
      <c r="H158" s="2366"/>
      <c r="I158" s="2364">
        <f>'BS old'!E89</f>
        <v>0</v>
      </c>
      <c r="J158" s="2368"/>
    </row>
    <row r="159" spans="1:10" ht="27.75" customHeight="1">
      <c r="A159" s="796" t="s">
        <v>532</v>
      </c>
      <c r="B159" s="2497" t="s">
        <v>698</v>
      </c>
      <c r="C159" s="2498"/>
      <c r="D159" s="2498"/>
      <c r="E159" s="2499"/>
      <c r="F159" s="798" t="s">
        <v>699</v>
      </c>
      <c r="G159" s="2364">
        <f>'BS old'!D90</f>
        <v>0</v>
      </c>
      <c r="H159" s="2366"/>
      <c r="I159" s="2364">
        <f>'BS old'!E90</f>
        <v>0</v>
      </c>
      <c r="J159" s="2368"/>
    </row>
    <row r="160" spans="1:10" s="450" customFormat="1" ht="27.75" customHeight="1">
      <c r="A160" s="796" t="s">
        <v>535</v>
      </c>
      <c r="B160" s="2497" t="s">
        <v>700</v>
      </c>
      <c r="C160" s="2498"/>
      <c r="D160" s="2498"/>
      <c r="E160" s="2499"/>
      <c r="F160" s="798" t="s">
        <v>701</v>
      </c>
      <c r="G160" s="2364">
        <f>'BS old'!D91</f>
        <v>0</v>
      </c>
      <c r="H160" s="2366"/>
      <c r="I160" s="2364">
        <f>'BS old'!E91</f>
        <v>0</v>
      </c>
      <c r="J160" s="2368"/>
    </row>
    <row r="161" spans="1:10" ht="27.75" customHeight="1">
      <c r="A161" s="796" t="s">
        <v>538</v>
      </c>
      <c r="B161" s="2497" t="s">
        <v>1515</v>
      </c>
      <c r="C161" s="2498"/>
      <c r="D161" s="2498"/>
      <c r="E161" s="2499"/>
      <c r="F161" s="798" t="s">
        <v>703</v>
      </c>
      <c r="G161" s="2364">
        <f>'BS old'!D92</f>
        <v>0</v>
      </c>
      <c r="H161" s="2366"/>
      <c r="I161" s="2364">
        <f>'BS old'!E92</f>
        <v>0</v>
      </c>
      <c r="J161" s="2368"/>
    </row>
    <row r="162" spans="1:10" ht="27.75" customHeight="1">
      <c r="A162" s="796" t="s">
        <v>541</v>
      </c>
      <c r="B162" s="2497" t="s">
        <v>704</v>
      </c>
      <c r="C162" s="2498"/>
      <c r="D162" s="2498"/>
      <c r="E162" s="2499"/>
      <c r="F162" s="798" t="s">
        <v>705</v>
      </c>
      <c r="G162" s="2364">
        <f>'BS old'!D93</f>
        <v>0</v>
      </c>
      <c r="H162" s="2366"/>
      <c r="I162" s="2364">
        <f>'BS old'!E93</f>
        <v>0</v>
      </c>
      <c r="J162" s="2368"/>
    </row>
    <row r="163" spans="1:10" ht="27.75" customHeight="1">
      <c r="A163" s="796" t="s">
        <v>544</v>
      </c>
      <c r="B163" s="2497" t="s">
        <v>706</v>
      </c>
      <c r="C163" s="2498"/>
      <c r="D163" s="2498"/>
      <c r="E163" s="2499"/>
      <c r="F163" s="798" t="s">
        <v>707</v>
      </c>
      <c r="G163" s="2364">
        <f>'BS old'!D94</f>
        <v>0</v>
      </c>
      <c r="H163" s="2366"/>
      <c r="I163" s="2364">
        <f>'BS old'!E94</f>
        <v>0</v>
      </c>
      <c r="J163" s="2368"/>
    </row>
    <row r="164" spans="1:10" ht="27.75" customHeight="1">
      <c r="A164" s="805" t="s">
        <v>574</v>
      </c>
      <c r="B164" s="2506" t="s">
        <v>708</v>
      </c>
      <c r="C164" s="2507"/>
      <c r="D164" s="2507"/>
      <c r="E164" s="2508"/>
      <c r="F164" s="804" t="s">
        <v>709</v>
      </c>
      <c r="G164" s="2364">
        <f>'BS old'!D95</f>
        <v>0</v>
      </c>
      <c r="H164" s="2366"/>
      <c r="I164" s="2364">
        <f>'BS old'!E95</f>
        <v>0</v>
      </c>
      <c r="J164" s="2368"/>
    </row>
    <row r="165" spans="1:10" ht="27.75" customHeight="1">
      <c r="A165" s="796" t="s">
        <v>577</v>
      </c>
      <c r="B165" s="2497" t="s">
        <v>710</v>
      </c>
      <c r="C165" s="2498"/>
      <c r="D165" s="2498"/>
      <c r="E165" s="2499"/>
      <c r="F165" s="798" t="s">
        <v>711</v>
      </c>
      <c r="G165" s="2364">
        <f>'BS old'!D96</f>
        <v>0</v>
      </c>
      <c r="H165" s="2366"/>
      <c r="I165" s="2364">
        <f>'BS old'!E96</f>
        <v>0</v>
      </c>
      <c r="J165" s="2368"/>
    </row>
    <row r="166" spans="1:10" ht="27.75" customHeight="1">
      <c r="A166" s="796" t="s">
        <v>532</v>
      </c>
      <c r="B166" s="2497" t="s">
        <v>712</v>
      </c>
      <c r="C166" s="2498"/>
      <c r="D166" s="2498"/>
      <c r="E166" s="2499"/>
      <c r="F166" s="798" t="s">
        <v>713</v>
      </c>
      <c r="G166" s="2364">
        <f>'BS old'!D97</f>
        <v>0</v>
      </c>
      <c r="H166" s="2366"/>
      <c r="I166" s="2364">
        <f>'BS old'!E97</f>
        <v>0</v>
      </c>
      <c r="J166" s="2368"/>
    </row>
    <row r="167" spans="1:10" s="450" customFormat="1" ht="27.75" customHeight="1">
      <c r="A167" s="796" t="s">
        <v>535</v>
      </c>
      <c r="B167" s="2497" t="s">
        <v>714</v>
      </c>
      <c r="C167" s="2498"/>
      <c r="D167" s="2498"/>
      <c r="E167" s="2499"/>
      <c r="F167" s="798" t="s">
        <v>715</v>
      </c>
      <c r="G167" s="2364">
        <f>'BS old'!D98</f>
        <v>0</v>
      </c>
      <c r="H167" s="2366"/>
      <c r="I167" s="2364">
        <f>'BS old'!E98</f>
        <v>0</v>
      </c>
      <c r="J167" s="2368"/>
    </row>
    <row r="168" spans="1:10" ht="27.75" customHeight="1">
      <c r="A168" s="805" t="s">
        <v>716</v>
      </c>
      <c r="B168" s="2506" t="s">
        <v>717</v>
      </c>
      <c r="C168" s="2507"/>
      <c r="D168" s="2507"/>
      <c r="E168" s="2508"/>
      <c r="F168" s="804" t="s">
        <v>718</v>
      </c>
      <c r="G168" s="2364">
        <f>'BS old'!D99</f>
        <v>0</v>
      </c>
      <c r="H168" s="2366"/>
      <c r="I168" s="2364">
        <f>'BS old'!E99</f>
        <v>0</v>
      </c>
      <c r="J168" s="2368"/>
    </row>
    <row r="169" spans="1:10" ht="27.75" customHeight="1">
      <c r="A169" s="514" t="s">
        <v>719</v>
      </c>
      <c r="B169" s="2497" t="s">
        <v>720</v>
      </c>
      <c r="C169" s="2498"/>
      <c r="D169" s="2498"/>
      <c r="E169" s="2499"/>
      <c r="F169" s="798" t="s">
        <v>721</v>
      </c>
      <c r="G169" s="2364">
        <f>'BS old'!D100</f>
        <v>0</v>
      </c>
      <c r="H169" s="2366"/>
      <c r="I169" s="2364">
        <f>'BS old'!E100</f>
        <v>0</v>
      </c>
      <c r="J169" s="2368"/>
    </row>
    <row r="170" spans="1:10" ht="27.75" customHeight="1">
      <c r="A170" s="796" t="s">
        <v>532</v>
      </c>
      <c r="B170" s="2497" t="s">
        <v>722</v>
      </c>
      <c r="C170" s="2498"/>
      <c r="D170" s="2498"/>
      <c r="E170" s="2499"/>
      <c r="F170" s="798" t="s">
        <v>723</v>
      </c>
      <c r="G170" s="2364">
        <f>'BS old'!D101</f>
        <v>0</v>
      </c>
      <c r="H170" s="2366"/>
      <c r="I170" s="2364">
        <f>'BS old'!E101</f>
        <v>0</v>
      </c>
      <c r="J170" s="2368"/>
    </row>
    <row r="171" spans="1:10" s="450" customFormat="1" ht="31.5" customHeight="1">
      <c r="A171" s="805" t="s">
        <v>724</v>
      </c>
      <c r="B171" s="2506" t="s">
        <v>2212</v>
      </c>
      <c r="C171" s="2507"/>
      <c r="D171" s="2507"/>
      <c r="E171" s="2508"/>
      <c r="F171" s="804" t="s">
        <v>726</v>
      </c>
      <c r="G171" s="2364">
        <f>'BS old'!D102</f>
        <v>0</v>
      </c>
      <c r="H171" s="2366"/>
      <c r="I171" s="2364">
        <f>'BS old'!E102</f>
        <v>0</v>
      </c>
      <c r="J171" s="2368"/>
    </row>
    <row r="172" spans="1:10" ht="27.75" customHeight="1">
      <c r="A172" s="805" t="s">
        <v>594</v>
      </c>
      <c r="B172" s="2506" t="s">
        <v>727</v>
      </c>
      <c r="C172" s="2507"/>
      <c r="D172" s="2507"/>
      <c r="E172" s="2508"/>
      <c r="F172" s="804" t="s">
        <v>728</v>
      </c>
      <c r="G172" s="2364">
        <f>'BS old'!D103</f>
        <v>0</v>
      </c>
      <c r="H172" s="2366"/>
      <c r="I172" s="2364">
        <f>'BS old'!E103</f>
        <v>0</v>
      </c>
      <c r="J172" s="2368"/>
    </row>
    <row r="173" spans="1:10" ht="27.75" customHeight="1">
      <c r="A173" s="805" t="s">
        <v>597</v>
      </c>
      <c r="B173" s="2506" t="s">
        <v>729</v>
      </c>
      <c r="C173" s="2507"/>
      <c r="D173" s="2507"/>
      <c r="E173" s="2508"/>
      <c r="F173" s="804" t="s">
        <v>730</v>
      </c>
      <c r="G173" s="2364">
        <f>'BS old'!D104</f>
        <v>0</v>
      </c>
      <c r="H173" s="2366"/>
      <c r="I173" s="2364">
        <f>'BS old'!E104</f>
        <v>0</v>
      </c>
      <c r="J173" s="2368"/>
    </row>
    <row r="174" spans="1:10" s="450" customFormat="1" ht="27.75" customHeight="1">
      <c r="A174" s="803" t="s">
        <v>600</v>
      </c>
      <c r="B174" s="2497" t="s">
        <v>731</v>
      </c>
      <c r="C174" s="2498"/>
      <c r="D174" s="2498"/>
      <c r="E174" s="2499"/>
      <c r="F174" s="798" t="s">
        <v>732</v>
      </c>
      <c r="G174" s="2364">
        <f>'BS old'!D105</f>
        <v>0</v>
      </c>
      <c r="H174" s="2366"/>
      <c r="I174" s="2364">
        <f>'BS old'!E105</f>
        <v>0</v>
      </c>
      <c r="J174" s="2368"/>
    </row>
    <row r="175" spans="1:10" s="450" customFormat="1" ht="27.75" customHeight="1">
      <c r="A175" s="796" t="s">
        <v>532</v>
      </c>
      <c r="B175" s="2497" t="s">
        <v>733</v>
      </c>
      <c r="C175" s="2498"/>
      <c r="D175" s="2498"/>
      <c r="E175" s="2499"/>
      <c r="F175" s="798" t="s">
        <v>734</v>
      </c>
      <c r="G175" s="2364">
        <f>'BS old'!D106</f>
        <v>0</v>
      </c>
      <c r="H175" s="2366"/>
      <c r="I175" s="2364">
        <f>'BS old'!E106</f>
        <v>0</v>
      </c>
      <c r="J175" s="2368"/>
    </row>
    <row r="176" spans="1:10" s="450" customFormat="1" ht="27.75" customHeight="1">
      <c r="A176" s="796" t="s">
        <v>535</v>
      </c>
      <c r="B176" s="2497" t="s">
        <v>735</v>
      </c>
      <c r="C176" s="2498"/>
      <c r="D176" s="2498"/>
      <c r="E176" s="2499"/>
      <c r="F176" s="798" t="s">
        <v>736</v>
      </c>
      <c r="G176" s="2364">
        <f>'BS old'!D107</f>
        <v>0</v>
      </c>
      <c r="H176" s="2366"/>
      <c r="I176" s="2364">
        <f>'BS old'!E107</f>
        <v>0</v>
      </c>
      <c r="J176" s="2368"/>
    </row>
    <row r="177" spans="1:10" ht="27.75" customHeight="1">
      <c r="A177" s="796" t="s">
        <v>538</v>
      </c>
      <c r="B177" s="2497" t="s">
        <v>737</v>
      </c>
      <c r="C177" s="2498"/>
      <c r="D177" s="2498"/>
      <c r="E177" s="2499"/>
      <c r="F177" s="798" t="s">
        <v>738</v>
      </c>
      <c r="G177" s="2364">
        <f>'BS old'!D108</f>
        <v>0</v>
      </c>
      <c r="H177" s="2366"/>
      <c r="I177" s="2364">
        <f>'BS old'!E108</f>
        <v>0</v>
      </c>
      <c r="J177" s="2368"/>
    </row>
    <row r="178" spans="1:10" ht="25.5" customHeight="1" thickBot="1">
      <c r="A178" s="512" t="s">
        <v>613</v>
      </c>
      <c r="B178" s="2506" t="s">
        <v>739</v>
      </c>
      <c r="C178" s="2507"/>
      <c r="D178" s="2507"/>
      <c r="E178" s="2508"/>
      <c r="F178" s="511" t="s">
        <v>740</v>
      </c>
      <c r="G178" s="2503">
        <f>'BS old'!D109</f>
        <v>0</v>
      </c>
      <c r="H178" s="2504"/>
      <c r="I178" s="2503">
        <f>'BS old'!E109</f>
        <v>0</v>
      </c>
      <c r="J178" s="2505"/>
    </row>
    <row r="179" spans="1:10" ht="30" customHeight="1">
      <c r="A179" s="794" t="s">
        <v>1446</v>
      </c>
      <c r="B179" s="2509" t="s">
        <v>1510</v>
      </c>
      <c r="C179" s="2510"/>
      <c r="D179" s="2510"/>
      <c r="E179" s="2511"/>
      <c r="F179" s="800" t="s">
        <v>1448</v>
      </c>
      <c r="G179" s="2371" t="s">
        <v>1511</v>
      </c>
      <c r="H179" s="2374"/>
      <c r="I179" s="2371" t="s">
        <v>1512</v>
      </c>
      <c r="J179" s="2372"/>
    </row>
    <row r="180" spans="1:10" ht="27.75" customHeight="1">
      <c r="A180" s="803" t="s">
        <v>616</v>
      </c>
      <c r="B180" s="2506" t="s">
        <v>741</v>
      </c>
      <c r="C180" s="2507"/>
      <c r="D180" s="2507"/>
      <c r="E180" s="2508"/>
      <c r="F180" s="798" t="s">
        <v>742</v>
      </c>
      <c r="G180" s="2364">
        <f>'BS old'!D110</f>
        <v>0</v>
      </c>
      <c r="H180" s="2366"/>
      <c r="I180" s="2364">
        <f>'BS old'!E110</f>
        <v>0</v>
      </c>
      <c r="J180" s="2368"/>
    </row>
    <row r="181" spans="1:10" ht="27.75" customHeight="1">
      <c r="A181" s="796" t="s">
        <v>532</v>
      </c>
      <c r="B181" s="2497" t="s">
        <v>619</v>
      </c>
      <c r="C181" s="2498"/>
      <c r="D181" s="2498"/>
      <c r="E181" s="2499"/>
      <c r="F181" s="798" t="s">
        <v>743</v>
      </c>
      <c r="G181" s="2364">
        <f>'BS old'!D111</f>
        <v>0</v>
      </c>
      <c r="H181" s="2366"/>
      <c r="I181" s="2364">
        <f>'BS old'!E111</f>
        <v>0</v>
      </c>
      <c r="J181" s="2368"/>
    </row>
    <row r="182" spans="1:10" s="450" customFormat="1" ht="27.75" customHeight="1">
      <c r="A182" s="796" t="s">
        <v>535</v>
      </c>
      <c r="B182" s="2497" t="s">
        <v>744</v>
      </c>
      <c r="C182" s="2498"/>
      <c r="D182" s="2498"/>
      <c r="E182" s="2499"/>
      <c r="F182" s="798" t="s">
        <v>745</v>
      </c>
      <c r="G182" s="2364">
        <f>'BS old'!D112</f>
        <v>0</v>
      </c>
      <c r="H182" s="2366"/>
      <c r="I182" s="2364">
        <f>'BS old'!E112</f>
        <v>0</v>
      </c>
      <c r="J182" s="2368"/>
    </row>
    <row r="183" spans="1:10" ht="27.75" customHeight="1">
      <c r="A183" s="796" t="s">
        <v>538</v>
      </c>
      <c r="B183" s="2497" t="s">
        <v>746</v>
      </c>
      <c r="C183" s="2498"/>
      <c r="D183" s="2498"/>
      <c r="E183" s="2499"/>
      <c r="F183" s="798" t="s">
        <v>747</v>
      </c>
      <c r="G183" s="2364">
        <f>'BS old'!D113</f>
        <v>0</v>
      </c>
      <c r="H183" s="2366"/>
      <c r="I183" s="2364">
        <f>'BS old'!E113</f>
        <v>0</v>
      </c>
      <c r="J183" s="2368"/>
    </row>
    <row r="184" spans="1:10" ht="27.75" customHeight="1">
      <c r="A184" s="796" t="s">
        <v>541</v>
      </c>
      <c r="B184" s="2497" t="s">
        <v>748</v>
      </c>
      <c r="C184" s="2498"/>
      <c r="D184" s="2498"/>
      <c r="E184" s="2499"/>
      <c r="F184" s="798" t="s">
        <v>749</v>
      </c>
      <c r="G184" s="2364">
        <f>'BS old'!D114</f>
        <v>0</v>
      </c>
      <c r="H184" s="2366"/>
      <c r="I184" s="2364">
        <f>'BS old'!E114</f>
        <v>0</v>
      </c>
      <c r="J184" s="2368"/>
    </row>
    <row r="185" spans="1:10" ht="27.75" customHeight="1">
      <c r="A185" s="796" t="s">
        <v>544</v>
      </c>
      <c r="B185" s="2497" t="s">
        <v>2213</v>
      </c>
      <c r="C185" s="2498"/>
      <c r="D185" s="2498"/>
      <c r="E185" s="2499"/>
      <c r="F185" s="798" t="s">
        <v>751</v>
      </c>
      <c r="G185" s="2364">
        <f>'BS old'!D115</f>
        <v>0</v>
      </c>
      <c r="H185" s="2366"/>
      <c r="I185" s="2364">
        <f>'BS old'!E115</f>
        <v>0</v>
      </c>
      <c r="J185" s="2368"/>
    </row>
    <row r="186" spans="1:10" ht="27.75" customHeight="1">
      <c r="A186" s="796" t="s">
        <v>547</v>
      </c>
      <c r="B186" s="2497" t="s">
        <v>752</v>
      </c>
      <c r="C186" s="2498"/>
      <c r="D186" s="2498"/>
      <c r="E186" s="2499"/>
      <c r="F186" s="798" t="s">
        <v>753</v>
      </c>
      <c r="G186" s="2364">
        <f>'BS old'!D116</f>
        <v>0</v>
      </c>
      <c r="H186" s="2366"/>
      <c r="I186" s="2364">
        <f>'BS old'!E116</f>
        <v>0</v>
      </c>
      <c r="J186" s="2368"/>
    </row>
    <row r="187" spans="1:10" ht="27.75" customHeight="1">
      <c r="A187" s="796" t="s">
        <v>568</v>
      </c>
      <c r="B187" s="2497" t="s">
        <v>754</v>
      </c>
      <c r="C187" s="2498"/>
      <c r="D187" s="2498"/>
      <c r="E187" s="2499"/>
      <c r="F187" s="798" t="s">
        <v>755</v>
      </c>
      <c r="G187" s="2364">
        <f>'BS old'!D117</f>
        <v>0</v>
      </c>
      <c r="H187" s="2366"/>
      <c r="I187" s="2364">
        <f>'BS old'!E117</f>
        <v>0</v>
      </c>
      <c r="J187" s="2368"/>
    </row>
    <row r="188" spans="1:10" ht="27.75" customHeight="1">
      <c r="A188" s="796" t="s">
        <v>571</v>
      </c>
      <c r="B188" s="2497" t="s">
        <v>756</v>
      </c>
      <c r="C188" s="2498"/>
      <c r="D188" s="2498"/>
      <c r="E188" s="2499"/>
      <c r="F188" s="798" t="s">
        <v>757</v>
      </c>
      <c r="G188" s="2364">
        <f>'BS old'!D118</f>
        <v>0</v>
      </c>
      <c r="H188" s="2366"/>
      <c r="I188" s="2364">
        <f>'BS old'!E118</f>
        <v>0</v>
      </c>
      <c r="J188" s="2368"/>
    </row>
    <row r="189" spans="1:10" ht="27.75" customHeight="1">
      <c r="A189" s="796" t="s">
        <v>758</v>
      </c>
      <c r="B189" s="2497" t="s">
        <v>1516</v>
      </c>
      <c r="C189" s="2498"/>
      <c r="D189" s="2498"/>
      <c r="E189" s="2499"/>
      <c r="F189" s="798" t="s">
        <v>760</v>
      </c>
      <c r="G189" s="2364">
        <f>'BS old'!D119</f>
        <v>0</v>
      </c>
      <c r="H189" s="2366"/>
      <c r="I189" s="2364">
        <f>'BS old'!E119</f>
        <v>0</v>
      </c>
      <c r="J189" s="2368"/>
    </row>
    <row r="190" spans="1:10" ht="27.75" customHeight="1">
      <c r="A190" s="796" t="s">
        <v>761</v>
      </c>
      <c r="B190" s="2497" t="s">
        <v>762</v>
      </c>
      <c r="C190" s="2498"/>
      <c r="D190" s="2498"/>
      <c r="E190" s="2499"/>
      <c r="F190" s="798" t="s">
        <v>763</v>
      </c>
      <c r="G190" s="2364">
        <f>'BS old'!D120</f>
        <v>0</v>
      </c>
      <c r="H190" s="2366"/>
      <c r="I190" s="2364">
        <f>'BS old'!E120</f>
        <v>0</v>
      </c>
      <c r="J190" s="2368"/>
    </row>
    <row r="191" spans="1:10" ht="27.75" customHeight="1">
      <c r="A191" s="805" t="s">
        <v>631</v>
      </c>
      <c r="B191" s="2506" t="s">
        <v>764</v>
      </c>
      <c r="C191" s="2507"/>
      <c r="D191" s="2507"/>
      <c r="E191" s="2508"/>
      <c r="F191" s="798" t="s">
        <v>765</v>
      </c>
      <c r="G191" s="2364">
        <f>'BS old'!D121</f>
        <v>0</v>
      </c>
      <c r="H191" s="2366"/>
      <c r="I191" s="2364">
        <f>'BS old'!E121</f>
        <v>0</v>
      </c>
      <c r="J191" s="2368"/>
    </row>
    <row r="192" spans="1:10" ht="27.75" customHeight="1">
      <c r="A192" s="796" t="s">
        <v>634</v>
      </c>
      <c r="B192" s="2497" t="s">
        <v>1517</v>
      </c>
      <c r="C192" s="2498"/>
      <c r="D192" s="2498"/>
      <c r="E192" s="2499"/>
      <c r="F192" s="798" t="s">
        <v>767</v>
      </c>
      <c r="G192" s="2364">
        <f>'BS old'!D122</f>
        <v>0</v>
      </c>
      <c r="H192" s="2366"/>
      <c r="I192" s="2364">
        <f>'BS old'!E122</f>
        <v>0</v>
      </c>
      <c r="J192" s="2368"/>
    </row>
    <row r="193" spans="1:10" ht="27.75" customHeight="1">
      <c r="A193" s="796" t="s">
        <v>532</v>
      </c>
      <c r="B193" s="2497" t="s">
        <v>619</v>
      </c>
      <c r="C193" s="2498"/>
      <c r="D193" s="2498"/>
      <c r="E193" s="2499"/>
      <c r="F193" s="798" t="s">
        <v>768</v>
      </c>
      <c r="G193" s="2364">
        <f>'BS old'!D123</f>
        <v>0</v>
      </c>
      <c r="H193" s="2366"/>
      <c r="I193" s="2364">
        <f>'BS old'!E123</f>
        <v>0</v>
      </c>
      <c r="J193" s="2368"/>
    </row>
    <row r="194" spans="1:10" ht="27.75" customHeight="1">
      <c r="A194" s="796" t="s">
        <v>535</v>
      </c>
      <c r="B194" s="2497" t="s">
        <v>769</v>
      </c>
      <c r="C194" s="2498"/>
      <c r="D194" s="2498"/>
      <c r="E194" s="2499"/>
      <c r="F194" s="798" t="s">
        <v>770</v>
      </c>
      <c r="G194" s="2364">
        <f>'BS old'!D124</f>
        <v>0</v>
      </c>
      <c r="H194" s="2366"/>
      <c r="I194" s="2364">
        <f>'BS old'!E124</f>
        <v>0</v>
      </c>
      <c r="J194" s="2368"/>
    </row>
    <row r="195" spans="1:10" s="450" customFormat="1" ht="27.75" customHeight="1">
      <c r="A195" s="796" t="s">
        <v>538</v>
      </c>
      <c r="B195" s="2497" t="s">
        <v>771</v>
      </c>
      <c r="C195" s="2498"/>
      <c r="D195" s="2498"/>
      <c r="E195" s="2499"/>
      <c r="F195" s="798" t="s">
        <v>772</v>
      </c>
      <c r="G195" s="2364">
        <f>'BS old'!D125</f>
        <v>0</v>
      </c>
      <c r="H195" s="2366"/>
      <c r="I195" s="2364">
        <f>'BS old'!E125</f>
        <v>0</v>
      </c>
      <c r="J195" s="2368"/>
    </row>
    <row r="196" spans="1:10" ht="27.75" customHeight="1">
      <c r="A196" s="796" t="s">
        <v>541</v>
      </c>
      <c r="B196" s="2497" t="s">
        <v>1518</v>
      </c>
      <c r="C196" s="2498"/>
      <c r="D196" s="2498"/>
      <c r="E196" s="2499"/>
      <c r="F196" s="798" t="s">
        <v>774</v>
      </c>
      <c r="G196" s="2364">
        <f>'BS old'!D126</f>
        <v>0</v>
      </c>
      <c r="H196" s="2366"/>
      <c r="I196" s="2364">
        <f>'BS old'!E126</f>
        <v>0</v>
      </c>
      <c r="J196" s="2368"/>
    </row>
    <row r="197" spans="1:10" ht="27.75" customHeight="1">
      <c r="A197" s="796" t="s">
        <v>544</v>
      </c>
      <c r="B197" s="2497" t="s">
        <v>775</v>
      </c>
      <c r="C197" s="2498"/>
      <c r="D197" s="2498"/>
      <c r="E197" s="2499"/>
      <c r="F197" s="798" t="s">
        <v>776</v>
      </c>
      <c r="G197" s="2364">
        <f>'BS old'!D127</f>
        <v>0</v>
      </c>
      <c r="H197" s="2366"/>
      <c r="I197" s="2364">
        <f>'BS old'!E127</f>
        <v>0</v>
      </c>
      <c r="J197" s="2368"/>
    </row>
    <row r="198" spans="1:10" ht="27.75" customHeight="1">
      <c r="A198" s="796" t="s">
        <v>547</v>
      </c>
      <c r="B198" s="2497" t="s">
        <v>777</v>
      </c>
      <c r="C198" s="2498"/>
      <c r="D198" s="2498"/>
      <c r="E198" s="2499"/>
      <c r="F198" s="798" t="s">
        <v>778</v>
      </c>
      <c r="G198" s="2364">
        <f>'BS old'!D128</f>
        <v>0</v>
      </c>
      <c r="H198" s="2366"/>
      <c r="I198" s="2364">
        <f>'BS old'!E128</f>
        <v>0</v>
      </c>
      <c r="J198" s="2368"/>
    </row>
    <row r="199" spans="1:10" ht="27.75" customHeight="1">
      <c r="A199" s="796" t="s">
        <v>568</v>
      </c>
      <c r="B199" s="2497" t="s">
        <v>779</v>
      </c>
      <c r="C199" s="2498"/>
      <c r="D199" s="2498"/>
      <c r="E199" s="2499"/>
      <c r="F199" s="798" t="s">
        <v>780</v>
      </c>
      <c r="G199" s="2364">
        <f>'BS old'!D129</f>
        <v>0</v>
      </c>
      <c r="H199" s="2366"/>
      <c r="I199" s="2364">
        <f>'BS old'!E129</f>
        <v>0</v>
      </c>
      <c r="J199" s="2368"/>
    </row>
    <row r="200" spans="1:10" ht="27.75" customHeight="1">
      <c r="A200" s="796" t="s">
        <v>571</v>
      </c>
      <c r="B200" s="2497" t="s">
        <v>1519</v>
      </c>
      <c r="C200" s="2498"/>
      <c r="D200" s="2498"/>
      <c r="E200" s="2499"/>
      <c r="F200" s="798" t="s">
        <v>782</v>
      </c>
      <c r="G200" s="2364">
        <f>'BS old'!D130</f>
        <v>0</v>
      </c>
      <c r="H200" s="2366"/>
      <c r="I200" s="2364">
        <f>'BS old'!E130</f>
        <v>0</v>
      </c>
      <c r="J200" s="2368"/>
    </row>
    <row r="201" spans="1:10" ht="27.75" customHeight="1">
      <c r="A201" s="796" t="s">
        <v>758</v>
      </c>
      <c r="B201" s="2497" t="s">
        <v>1520</v>
      </c>
      <c r="C201" s="2498"/>
      <c r="D201" s="2498"/>
      <c r="E201" s="2499"/>
      <c r="F201" s="798" t="s">
        <v>784</v>
      </c>
      <c r="G201" s="2364">
        <f>'BS old'!D131</f>
        <v>0</v>
      </c>
      <c r="H201" s="2366"/>
      <c r="I201" s="2364">
        <f>'BS old'!E131</f>
        <v>0</v>
      </c>
      <c r="J201" s="2368"/>
    </row>
    <row r="202" spans="1:10" ht="27.75" customHeight="1">
      <c r="A202" s="805" t="s">
        <v>649</v>
      </c>
      <c r="B202" s="2506" t="s">
        <v>785</v>
      </c>
      <c r="C202" s="2507"/>
      <c r="D202" s="2507"/>
      <c r="E202" s="2508"/>
      <c r="F202" s="798" t="s">
        <v>786</v>
      </c>
      <c r="G202" s="2364">
        <f>'BS old'!D132</f>
        <v>0</v>
      </c>
      <c r="H202" s="2366"/>
      <c r="I202" s="2364">
        <f>'BS old'!E132</f>
        <v>0</v>
      </c>
      <c r="J202" s="2368"/>
    </row>
    <row r="203" spans="1:10" ht="27.75" customHeight="1">
      <c r="A203" s="807" t="s">
        <v>787</v>
      </c>
      <c r="B203" s="2506" t="s">
        <v>788</v>
      </c>
      <c r="C203" s="2507"/>
      <c r="D203" s="2507"/>
      <c r="E203" s="2508"/>
      <c r="F203" s="798" t="s">
        <v>789</v>
      </c>
      <c r="G203" s="2364">
        <f>'BS old'!D133</f>
        <v>0</v>
      </c>
      <c r="H203" s="2366"/>
      <c r="I203" s="2364">
        <f>'BS old'!E133</f>
        <v>0</v>
      </c>
      <c r="J203" s="2368"/>
    </row>
    <row r="204" spans="1:10" ht="27.75" customHeight="1">
      <c r="A204" s="796" t="s">
        <v>790</v>
      </c>
      <c r="B204" s="2497" t="s">
        <v>791</v>
      </c>
      <c r="C204" s="2498"/>
      <c r="D204" s="2498"/>
      <c r="E204" s="2499"/>
      <c r="F204" s="798" t="s">
        <v>792</v>
      </c>
      <c r="G204" s="2364">
        <f>'BS old'!D134</f>
        <v>0</v>
      </c>
      <c r="H204" s="2366"/>
      <c r="I204" s="2364">
        <f>'BS old'!E134</f>
        <v>0</v>
      </c>
      <c r="J204" s="2368"/>
    </row>
    <row r="205" spans="1:10" s="450" customFormat="1" ht="27.75" customHeight="1">
      <c r="A205" s="796" t="s">
        <v>532</v>
      </c>
      <c r="B205" s="2497" t="s">
        <v>793</v>
      </c>
      <c r="C205" s="2498"/>
      <c r="D205" s="2498"/>
      <c r="E205" s="2499"/>
      <c r="F205" s="798" t="s">
        <v>794</v>
      </c>
      <c r="G205" s="2364">
        <f>'BS old'!D135</f>
        <v>0</v>
      </c>
      <c r="H205" s="2366"/>
      <c r="I205" s="2364">
        <f>'BS old'!E135</f>
        <v>0</v>
      </c>
      <c r="J205" s="2368"/>
    </row>
    <row r="206" spans="1:10" ht="27.75" customHeight="1">
      <c r="A206" s="805" t="s">
        <v>663</v>
      </c>
      <c r="B206" s="2506" t="s">
        <v>795</v>
      </c>
      <c r="C206" s="2507"/>
      <c r="D206" s="2507"/>
      <c r="E206" s="2508"/>
      <c r="F206" s="798" t="s">
        <v>796</v>
      </c>
      <c r="G206" s="2364">
        <f>'BS old'!D136</f>
        <v>0</v>
      </c>
      <c r="H206" s="2366"/>
      <c r="I206" s="2364">
        <f>'BS old'!E136</f>
        <v>0</v>
      </c>
      <c r="J206" s="2368"/>
    </row>
    <row r="207" spans="1:10" ht="27.75" customHeight="1">
      <c r="A207" s="803" t="s">
        <v>666</v>
      </c>
      <c r="B207" s="2497" t="s">
        <v>2214</v>
      </c>
      <c r="C207" s="2498"/>
      <c r="D207" s="2498"/>
      <c r="E207" s="2499"/>
      <c r="F207" s="798" t="s">
        <v>798</v>
      </c>
      <c r="G207" s="2364">
        <f>'BS old'!D137</f>
        <v>0</v>
      </c>
      <c r="H207" s="2366"/>
      <c r="I207" s="2364">
        <f>'BS old'!E137</f>
        <v>0</v>
      </c>
      <c r="J207" s="2368"/>
    </row>
    <row r="208" spans="1:10" ht="27.75" customHeight="1">
      <c r="A208" s="796" t="s">
        <v>532</v>
      </c>
      <c r="B208" s="2497" t="s">
        <v>2215</v>
      </c>
      <c r="C208" s="2498"/>
      <c r="D208" s="2498"/>
      <c r="E208" s="2499"/>
      <c r="F208" s="798" t="s">
        <v>800</v>
      </c>
      <c r="G208" s="2364">
        <f>'BS old'!D138</f>
        <v>0</v>
      </c>
      <c r="H208" s="2366"/>
      <c r="I208" s="2364">
        <f>'BS old'!E138</f>
        <v>0</v>
      </c>
      <c r="J208" s="2368"/>
    </row>
    <row r="209" spans="1:10" s="450" customFormat="1" ht="27.75" customHeight="1">
      <c r="A209" s="796" t="s">
        <v>535</v>
      </c>
      <c r="B209" s="2497" t="s">
        <v>2216</v>
      </c>
      <c r="C209" s="2498"/>
      <c r="D209" s="2498"/>
      <c r="E209" s="2499"/>
      <c r="F209" s="798" t="s">
        <v>802</v>
      </c>
      <c r="G209" s="2364">
        <f>'BS old'!D139</f>
        <v>0</v>
      </c>
      <c r="H209" s="2366"/>
      <c r="I209" s="2364">
        <f>'BS old'!E139</f>
        <v>0</v>
      </c>
      <c r="J209" s="2368"/>
    </row>
    <row r="210" spans="1:10" ht="27.75" customHeight="1" thickBot="1">
      <c r="A210" s="504" t="s">
        <v>538</v>
      </c>
      <c r="B210" s="2500" t="s">
        <v>2217</v>
      </c>
      <c r="C210" s="2501"/>
      <c r="D210" s="2501"/>
      <c r="E210" s="2502"/>
      <c r="F210" s="798" t="s">
        <v>804</v>
      </c>
      <c r="G210" s="2503">
        <f>'BS old'!D140</f>
        <v>0</v>
      </c>
      <c r="H210" s="2504"/>
      <c r="I210" s="2503">
        <f>'BS old'!E140</f>
        <v>0</v>
      </c>
      <c r="J210" s="2505"/>
    </row>
    <row r="211" spans="1:10" ht="24.75" customHeight="1"/>
    <row r="212" spans="1:10" ht="24.75" customHeight="1"/>
    <row r="213" spans="1:10" ht="24.75" customHeight="1"/>
  </sheetData>
  <mergeCells count="698">
    <mergeCell ref="B2:C2"/>
    <mergeCell ref="G2:I2"/>
    <mergeCell ref="A4:A6"/>
    <mergeCell ref="B4:B6"/>
    <mergeCell ref="C4:C6"/>
    <mergeCell ref="D4:H4"/>
    <mergeCell ref="I4:J5"/>
    <mergeCell ref="D5:D6"/>
    <mergeCell ref="E5:F5"/>
    <mergeCell ref="G5:H5"/>
    <mergeCell ref="E6:F6"/>
    <mergeCell ref="G6:H6"/>
    <mergeCell ref="I6:J6"/>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796875" defaultRowHeight="12.5"/>
  <cols>
    <col min="1" max="37" width="2.54296875" style="390" customWidth="1"/>
    <col min="38" max="38" width="0.1796875" style="390" customWidth="1"/>
    <col min="39" max="39" width="2.54296875" style="390" customWidth="1"/>
    <col min="40" max="40" width="0.26953125" style="390" customWidth="1"/>
    <col min="41" max="41" width="2.54296875" style="390" customWidth="1"/>
    <col min="42" max="42" width="9.1796875" style="390"/>
    <col min="43" max="45" width="2.54296875" style="390" customWidth="1"/>
    <col min="46" max="46" width="7.7265625" style="390" customWidth="1"/>
    <col min="47" max="61" width="2.54296875" style="390" customWidth="1"/>
    <col min="62" max="16384" width="9.1796875" style="390"/>
  </cols>
  <sheetData>
    <row r="1" spans="1:37" s="500" customFormat="1" ht="10.5" customHeight="1" thickBot="1">
      <c r="B1" s="817" t="s">
        <v>1234</v>
      </c>
      <c r="N1" s="2441" t="s">
        <v>1521</v>
      </c>
      <c r="O1" s="2441"/>
      <c r="P1" s="2441"/>
      <c r="Q1" s="2441"/>
      <c r="R1" s="2441"/>
      <c r="S1" s="2441"/>
      <c r="T1" s="2441"/>
      <c r="U1" s="2441"/>
      <c r="V1" s="2441"/>
      <c r="W1" s="2441"/>
      <c r="X1" s="2463"/>
    </row>
    <row r="2" spans="1:37" s="397" customFormat="1" ht="21" customHeight="1" thickBot="1">
      <c r="B2" s="819" t="s">
        <v>1522</v>
      </c>
      <c r="C2" s="820"/>
      <c r="D2" s="820"/>
      <c r="E2" s="820"/>
      <c r="F2" s="820"/>
      <c r="G2" s="820"/>
      <c r="H2" s="820"/>
      <c r="I2" s="820"/>
      <c r="J2" s="821"/>
      <c r="K2" s="820"/>
      <c r="L2" s="820"/>
      <c r="M2" s="822"/>
      <c r="N2" s="2441"/>
      <c r="O2" s="2441"/>
      <c r="P2" s="2441"/>
      <c r="Q2" s="2441"/>
      <c r="R2" s="2441"/>
      <c r="S2" s="2441"/>
      <c r="T2" s="2441"/>
      <c r="U2" s="2441"/>
      <c r="V2" s="2441"/>
      <c r="W2" s="2441"/>
      <c r="X2" s="2463"/>
    </row>
    <row r="3" spans="1:37" ht="13.5" customHeight="1" thickBot="1">
      <c r="N3" s="2442"/>
      <c r="O3" s="2442"/>
      <c r="P3" s="2442"/>
      <c r="Q3" s="2442"/>
      <c r="R3" s="2442"/>
      <c r="S3" s="2442"/>
      <c r="T3" s="2442"/>
      <c r="U3" s="2442"/>
      <c r="V3" s="2442"/>
      <c r="W3" s="2442"/>
      <c r="X3" s="2552"/>
    </row>
    <row r="4" spans="1:37" ht="28.5" customHeight="1" thickBot="1">
      <c r="J4" s="2466" t="s">
        <v>1413</v>
      </c>
      <c r="K4" s="2553" t="s">
        <v>1523</v>
      </c>
      <c r="L4" s="494" t="str">
        <f>+MID('Input data'!$B$11,1,1)</f>
        <v>3</v>
      </c>
      <c r="M4" s="494" t="str">
        <f>+MID('Input data'!$B$11,2,1)</f>
        <v>1</v>
      </c>
      <c r="N4" s="494" t="s">
        <v>1063</v>
      </c>
      <c r="O4" s="494" t="str">
        <f>LEFT('Input data'!B13,1)</f>
        <v>0</v>
      </c>
      <c r="P4" s="494" t="str">
        <f>RIGHT('Input data'!B13,1)</f>
        <v>3</v>
      </c>
      <c r="Q4" s="494" t="s">
        <v>1063</v>
      </c>
      <c r="R4" s="494" t="str">
        <f>+LEFT('Input data'!$B$14,1)</f>
        <v>2</v>
      </c>
      <c r="S4" s="494" t="str">
        <f>+MID('Input data'!$B$14,2,1)</f>
        <v>0</v>
      </c>
      <c r="T4" s="494" t="str">
        <f>+MID('Input data'!$B$14,3,1)</f>
        <v>1</v>
      </c>
      <c r="U4" s="494" t="str">
        <f>+MID('Input data'!$B$14,4,1)</f>
        <v>9</v>
      </c>
      <c r="V4" s="824"/>
      <c r="W4" s="492" t="s">
        <v>1414</v>
      </c>
      <c r="X4" s="492"/>
      <c r="Y4" s="492"/>
      <c r="Z4" s="492"/>
      <c r="AA4" s="491"/>
    </row>
    <row r="5" spans="1:37" ht="7.5" customHeight="1" thickBot="1"/>
    <row r="6" spans="1:37" s="487" customFormat="1" ht="14.25" customHeight="1">
      <c r="A6" s="490" t="s">
        <v>2219</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1524</v>
      </c>
      <c r="B7" s="402"/>
      <c r="C7" s="402"/>
      <c r="D7" s="402"/>
      <c r="E7" s="402"/>
      <c r="F7" s="402"/>
      <c r="G7" s="402"/>
      <c r="H7" s="402"/>
      <c r="I7" s="402"/>
      <c r="J7" s="402"/>
      <c r="K7" s="402"/>
      <c r="L7" s="402"/>
      <c r="M7" s="402"/>
      <c r="N7" s="402"/>
      <c r="O7" s="402"/>
      <c r="P7" s="402"/>
      <c r="Q7" s="402"/>
      <c r="R7" s="402"/>
      <c r="S7" s="402"/>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c r="AF9" s="465"/>
      <c r="AG9" s="465"/>
    </row>
    <row r="10" spans="1:37" s="462" customFormat="1" ht="14.25" customHeight="1">
      <c r="A10" s="464" t="s">
        <v>1416</v>
      </c>
      <c r="B10" s="463"/>
      <c r="C10" s="463"/>
      <c r="D10" s="463"/>
      <c r="E10" s="463"/>
      <c r="F10" s="463"/>
      <c r="G10" s="463"/>
      <c r="H10" s="463"/>
      <c r="I10" s="407"/>
      <c r="J10" s="841"/>
      <c r="K10" s="480" t="s">
        <v>1417</v>
      </c>
      <c r="L10" s="463"/>
      <c r="M10" s="481"/>
      <c r="N10" s="481"/>
      <c r="O10" s="481"/>
      <c r="P10" s="463"/>
      <c r="Q10" s="480" t="s">
        <v>1417</v>
      </c>
      <c r="R10" s="463"/>
      <c r="S10" s="407"/>
      <c r="T10" s="463"/>
      <c r="U10" s="463"/>
      <c r="V10" s="842"/>
      <c r="W10" s="463"/>
      <c r="X10" s="463"/>
      <c r="Y10" s="463"/>
      <c r="Z10" s="463"/>
      <c r="AA10" s="463"/>
      <c r="AB10" s="463"/>
      <c r="AC10" s="463"/>
      <c r="AD10" s="480" t="s">
        <v>1418</v>
      </c>
      <c r="AE10" s="480"/>
      <c r="AF10" s="480"/>
      <c r="AG10" s="480" t="s">
        <v>1419</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843" t="str">
        <f>MID('Input data'!$C$24,10,1)</f>
        <v>9</v>
      </c>
      <c r="K11" s="844"/>
      <c r="L11" s="465"/>
      <c r="M11" s="465"/>
      <c r="N11" s="465"/>
      <c r="O11" s="465"/>
      <c r="P11" s="465"/>
      <c r="Q11" s="465"/>
      <c r="R11" s="465"/>
      <c r="S11" s="465"/>
      <c r="T11" s="465"/>
      <c r="U11" s="465"/>
      <c r="V11" s="845"/>
      <c r="W11" s="470" t="s">
        <v>1420</v>
      </c>
      <c r="X11" s="465"/>
      <c r="Y11" s="465"/>
      <c r="Z11" s="465"/>
      <c r="AA11" s="465"/>
      <c r="AB11" s="470" t="s">
        <v>1421</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8</v>
      </c>
      <c r="AK11" s="471"/>
    </row>
    <row r="12" spans="1:37" s="462" customFormat="1" ht="19.5" customHeight="1">
      <c r="A12" s="403" t="s">
        <v>1422</v>
      </c>
      <c r="B12" s="465"/>
      <c r="C12" s="465"/>
      <c r="D12" s="465"/>
      <c r="E12" s="465"/>
      <c r="F12" s="465"/>
      <c r="G12" s="465"/>
      <c r="H12" s="399"/>
      <c r="I12" s="399"/>
      <c r="J12" s="527"/>
      <c r="K12" s="844"/>
      <c r="L12" s="478" t="str">
        <f>IF('Input data'!D7="x","x"," ")</f>
        <v>x</v>
      </c>
      <c r="M12" s="470" t="s">
        <v>1326</v>
      </c>
      <c r="N12" s="472"/>
      <c r="O12" s="472"/>
      <c r="P12" s="472"/>
      <c r="Q12" s="472"/>
      <c r="R12" s="478" t="str">
        <f>IF('Input data'!D17="x","x"," ")</f>
        <v>x</v>
      </c>
      <c r="S12" s="470" t="s">
        <v>1319</v>
      </c>
      <c r="T12" s="465"/>
      <c r="U12" s="465"/>
      <c r="V12" s="845"/>
      <c r="W12" s="825"/>
      <c r="X12" s="826"/>
      <c r="Y12" s="826"/>
      <c r="Z12" s="826"/>
      <c r="AA12" s="826"/>
      <c r="AB12" s="827" t="s">
        <v>1425</v>
      </c>
      <c r="AC12" s="826"/>
      <c r="AD12" s="828" t="str">
        <f>MID('Input data'!$B$13,1,1)</f>
        <v>0</v>
      </c>
      <c r="AE12" s="828" t="str">
        <f>MID('Input data'!$B$13,2,1)</f>
        <v>3</v>
      </c>
      <c r="AF12" s="828"/>
      <c r="AG12" s="828" t="str">
        <f>MID('Input data'!$B$14,1,1)</f>
        <v>2</v>
      </c>
      <c r="AH12" s="828" t="str">
        <f>MID('Input data'!$B$14,2,1)</f>
        <v>0</v>
      </c>
      <c r="AI12" s="828" t="str">
        <f>MID('Input data'!$B$14,3,1)</f>
        <v>1</v>
      </c>
      <c r="AJ12" s="828" t="str">
        <f>MID('Input data'!$B$14,4,1)</f>
        <v>9</v>
      </c>
      <c r="AK12" s="829"/>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527"/>
      <c r="K13" s="844"/>
      <c r="L13" s="399" t="str">
        <f>IF('Input data'!D8="x","x", "")</f>
        <v/>
      </c>
      <c r="M13" s="470" t="s">
        <v>1325</v>
      </c>
      <c r="N13" s="472"/>
      <c r="O13" s="472"/>
      <c r="P13" s="472"/>
      <c r="Q13" s="472"/>
      <c r="R13" s="472" t="str">
        <f>IF('Input data'!D18="x","x"," ")</f>
        <v xml:space="preserve"> </v>
      </c>
      <c r="S13" s="470" t="s">
        <v>1317</v>
      </c>
      <c r="T13" s="465"/>
      <c r="U13" s="465"/>
      <c r="V13" s="845"/>
      <c r="W13" s="2554" t="s">
        <v>1428</v>
      </c>
      <c r="X13" s="2458"/>
      <c r="Y13" s="2458"/>
      <c r="Z13" s="2458"/>
      <c r="AA13" s="2458"/>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527"/>
      <c r="K14" s="844"/>
      <c r="L14" s="399"/>
      <c r="M14" s="470"/>
      <c r="N14" s="472"/>
      <c r="O14" s="472"/>
      <c r="P14" s="472"/>
      <c r="Q14" s="472"/>
      <c r="R14" s="473" t="s">
        <v>1525</v>
      </c>
      <c r="S14" s="472"/>
      <c r="T14" s="465"/>
      <c r="U14" s="465"/>
      <c r="V14" s="845"/>
      <c r="W14" s="2555"/>
      <c r="X14" s="2460"/>
      <c r="Y14" s="2460"/>
      <c r="Z14" s="2460"/>
      <c r="AA14" s="2460"/>
      <c r="AB14" s="470" t="s">
        <v>1421</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7</v>
      </c>
      <c r="AK14" s="398"/>
    </row>
    <row r="15" spans="1:37" s="462" customFormat="1" ht="19.5" customHeight="1" thickBot="1">
      <c r="A15" s="469" t="str">
        <f>'BS-E Cover sheet'!A15</f>
        <v>2</v>
      </c>
      <c r="B15" s="394" t="str">
        <f>'BS-E Cover sheet'!B15</f>
        <v>7</v>
      </c>
      <c r="C15" s="467" t="str">
        <f>'BS-E Cover sheet'!C15</f>
        <v>.</v>
      </c>
      <c r="D15" s="394" t="str">
        <f>'BS-E Cover sheet'!D15</f>
        <v>3</v>
      </c>
      <c r="E15" s="394" t="str">
        <f>'BS-E Cover sheet'!E15</f>
        <v>1</v>
      </c>
      <c r="F15" s="846" t="str">
        <f>'BS-E Cover sheet'!F15</f>
        <v>.</v>
      </c>
      <c r="G15" s="394" t="str">
        <f>'BS-E Cover sheet'!G15</f>
        <v>0</v>
      </c>
      <c r="H15" s="394"/>
      <c r="I15" s="394"/>
      <c r="J15" s="847"/>
      <c r="K15" s="848"/>
      <c r="L15" s="394"/>
      <c r="M15" s="394"/>
      <c r="N15" s="394"/>
      <c r="O15" s="394"/>
      <c r="P15" s="394"/>
      <c r="Q15" s="394"/>
      <c r="R15" s="394"/>
      <c r="S15" s="394"/>
      <c r="T15" s="467"/>
      <c r="U15" s="467"/>
      <c r="V15" s="849"/>
      <c r="W15" s="2556"/>
      <c r="X15" s="2462"/>
      <c r="Y15" s="2462"/>
      <c r="Z15" s="2462"/>
      <c r="AA15" s="2462"/>
      <c r="AB15" s="466" t="s">
        <v>1425</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8</v>
      </c>
      <c r="AK15" s="393"/>
    </row>
    <row r="16" spans="1:37" s="462" customFormat="1" ht="4.5" customHeight="1">
      <c r="A16" s="465"/>
      <c r="B16" s="465"/>
      <c r="C16" s="465"/>
      <c r="D16" s="465"/>
      <c r="E16" s="465"/>
      <c r="F16" s="465"/>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43"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43" s="462" customFormat="1" ht="15.5">
      <c r="A18" s="464" t="s">
        <v>1430</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43" s="392" customFormat="1" ht="19.5" customHeight="1">
      <c r="A19" s="449" t="str">
        <f>+LEFT('Input data'!$F$3,1)</f>
        <v>F</v>
      </c>
      <c r="B19" s="441" t="str">
        <f>+MID('Input data'!$F$3,2,1)</f>
        <v>o</v>
      </c>
      <c r="C19" s="441" t="str">
        <f>+MID('Input data'!$F$3,3,1)</f>
        <v>s</v>
      </c>
      <c r="D19" s="441" t="str">
        <f>+MID('Input data'!$F$3,4,1)</f>
        <v>s</v>
      </c>
      <c r="E19" s="441" t="str">
        <f>+MID('Input data'!$F$3,5,1)</f>
        <v xml:space="preserve"> </v>
      </c>
      <c r="F19" s="441" t="str">
        <f>+MID('Input data'!$F$3,6,1)</f>
        <v>F</v>
      </c>
      <c r="G19" s="441" t="str">
        <f>+MID('Input data'!$F$3,7,1)</f>
        <v>i</v>
      </c>
      <c r="H19" s="441" t="str">
        <f>+MID('Input data'!$F$3,8,1)</f>
        <v>b</v>
      </c>
      <c r="I19" s="441" t="str">
        <f>+MID('Input data'!$F$3,9,1)</f>
        <v>r</v>
      </c>
      <c r="J19" s="441" t="str">
        <f>+MID('Input data'!$F$3,10,1)</f>
        <v>e</v>
      </c>
      <c r="K19" s="441" t="str">
        <f>+MID('Input data'!$F$3,11,1)</f>
        <v xml:space="preserve"> </v>
      </c>
      <c r="L19" s="441" t="str">
        <f>+MID('Input data'!$F$3,12,1)</f>
        <v>O</v>
      </c>
      <c r="M19" s="441" t="str">
        <f>+MID('Input data'!$F$3,13,1)</f>
        <v>p</v>
      </c>
      <c r="N19" s="441" t="str">
        <f>+MID('Input data'!$F$3,14,1)</f>
        <v>t</v>
      </c>
      <c r="O19" s="441" t="str">
        <f>+MID('Input data'!$F$3,15,1)</f>
        <v>i</v>
      </c>
      <c r="P19" s="441" t="str">
        <f>+MID('Input data'!$F$3,16,1)</f>
        <v>c</v>
      </c>
      <c r="Q19" s="441" t="str">
        <f>+MID('Input data'!$F$3,17,1)</f>
        <v>s</v>
      </c>
      <c r="R19" s="441" t="str">
        <f>+MID('Input data'!$F$3,18,1)</f>
        <v>,</v>
      </c>
      <c r="S19" s="441" t="str">
        <f>+MID('Input data'!$F$3,19,1)</f>
        <v xml:space="preserve"> </v>
      </c>
      <c r="T19" s="441" t="str">
        <f>+MID('Input data'!$F$3,20,1)</f>
        <v>s</v>
      </c>
      <c r="U19" s="441" t="str">
        <f>+MID('Input data'!$F$3,21,1)</f>
        <v>.</v>
      </c>
      <c r="V19" s="441" t="str">
        <f>+MID('Input data'!$F$3,22,1)</f>
        <v>r</v>
      </c>
      <c r="W19" s="441" t="str">
        <f>+MID('Input data'!$F$3,23,1)</f>
        <v>.</v>
      </c>
      <c r="X19" s="441" t="str">
        <f>+MID('Input data'!$F$3,24,1)</f>
        <v>o</v>
      </c>
      <c r="Y19" s="441" t="str">
        <f>+MID('Input data'!$F$3,25,1)</f>
        <v>.</v>
      </c>
      <c r="Z19" s="441" t="str">
        <f>+MID('Input data'!$F$3,26,1)</f>
        <v xml:space="preserve"> </v>
      </c>
      <c r="AA19" s="441" t="str">
        <f>+MID('Input data'!$F$3,27,1)</f>
        <v xml:space="preserve">
</v>
      </c>
      <c r="AB19" s="441" t="str">
        <f>+MID('Input data'!$F$3,28,1)</f>
        <v/>
      </c>
      <c r="AC19" s="441" t="str">
        <f>+MID('Input data'!$F$3,29,1)</f>
        <v/>
      </c>
      <c r="AD19" s="441" t="str">
        <f>+MID('Input data'!$F$3,30,1)</f>
        <v/>
      </c>
      <c r="AE19" s="441" t="str">
        <f>+MID('Input data'!$F$3,31,1)</f>
        <v/>
      </c>
      <c r="AF19" s="441" t="str">
        <f>+MID('Input data'!$F$3,32,1)</f>
        <v/>
      </c>
      <c r="AG19" s="441" t="str">
        <f>+MID('Input data'!$F$3,33,1)</f>
        <v/>
      </c>
      <c r="AH19" s="441" t="str">
        <f>+MID('Input data'!$F$3,34,1)</f>
        <v/>
      </c>
      <c r="AI19" s="441" t="str">
        <f>+MID('Input data'!$F$3,35,1)</f>
        <v/>
      </c>
      <c r="AJ19" s="441" t="str">
        <f>+MID('Input data'!$F$3,36,1)</f>
        <v/>
      </c>
      <c r="AK19" s="448" t="str">
        <f>+MID('Input data'!$F$3,37,1)</f>
        <v/>
      </c>
      <c r="AL19" s="462"/>
      <c r="AM19" s="462"/>
      <c r="AN19" s="462"/>
    </row>
    <row r="20" spans="1:43" s="531" customFormat="1" ht="19.5" customHeight="1">
      <c r="A20" s="449" t="str">
        <f>+MID('Input data'!$F$3,38,1)</f>
        <v/>
      </c>
      <c r="B20" s="441" t="str">
        <f>+MID('Input data'!$F$3,39,1)</f>
        <v/>
      </c>
      <c r="C20" s="441" t="str">
        <f>+MID('Input data'!$F$3,40,1)</f>
        <v/>
      </c>
      <c r="D20" s="441" t="str">
        <f>+MID('Input data'!$F$3,41,1)</f>
        <v/>
      </c>
      <c r="E20" s="441" t="str">
        <f>+MID('Input data'!$F$3,42,1)</f>
        <v/>
      </c>
      <c r="F20" s="441" t="str">
        <f>+MID('Input data'!$F$3,43,1)</f>
        <v/>
      </c>
      <c r="G20" s="441" t="str">
        <f>+MID('Input data'!$F$3,44,1)</f>
        <v/>
      </c>
      <c r="H20" s="441" t="str">
        <f>+MID('Input data'!$F$3,45,1)</f>
        <v/>
      </c>
      <c r="I20" s="441" t="str">
        <f>+MID('Input data'!$F$3,46,1)</f>
        <v/>
      </c>
      <c r="J20" s="441" t="str">
        <f>+MID('Input data'!$F$3,47,1)</f>
        <v/>
      </c>
      <c r="K20" s="441" t="str">
        <f>+MID('Input data'!$F$3,48,1)</f>
        <v/>
      </c>
      <c r="L20" s="441" t="str">
        <f>+MID('Input data'!$F$3,49,1)</f>
        <v/>
      </c>
      <c r="M20" s="441" t="str">
        <f>+MID('Input data'!$F$3,50,1)</f>
        <v/>
      </c>
      <c r="N20" s="441" t="str">
        <f>+MID('Input data'!$F$3,51,1)</f>
        <v/>
      </c>
      <c r="O20" s="441" t="str">
        <f>+MID('Input data'!$F$3,52,1)</f>
        <v/>
      </c>
      <c r="P20" s="441" t="str">
        <f>+MID('Input data'!$F$3,53,1)</f>
        <v/>
      </c>
      <c r="Q20" s="441" t="str">
        <f>+MID('Input data'!$F$3,54,1)</f>
        <v/>
      </c>
      <c r="R20" s="441" t="str">
        <f>+MID('Input data'!$F$3,55,1)</f>
        <v/>
      </c>
      <c r="S20" s="441" t="str">
        <f>+MID('Input data'!$F$3,56,1)</f>
        <v/>
      </c>
      <c r="T20" s="441" t="str">
        <f>+MID('Input data'!$F$3,57,1)</f>
        <v/>
      </c>
      <c r="U20" s="441" t="str">
        <f>+MID('Input data'!$F$3,58,1)</f>
        <v/>
      </c>
      <c r="V20" s="441" t="str">
        <f>+MID('Input data'!$F$3,59,1)</f>
        <v/>
      </c>
      <c r="W20" s="441" t="str">
        <f>+MID('Input data'!$F$3,60,1)</f>
        <v/>
      </c>
      <c r="X20" s="441" t="str">
        <f>+MID('Input data'!$F$3,61,1)</f>
        <v/>
      </c>
      <c r="Y20" s="441" t="str">
        <f>+MID('Input data'!$F$3,62,1)</f>
        <v/>
      </c>
      <c r="Z20" s="441" t="str">
        <f>+MID('Input data'!$F$3,63,1)</f>
        <v/>
      </c>
      <c r="AA20" s="441" t="str">
        <f>+MID('Input data'!$F$3,64,1)</f>
        <v/>
      </c>
      <c r="AB20" s="441" t="str">
        <f>+MID('Input data'!$F$3,65,1)</f>
        <v/>
      </c>
      <c r="AC20" s="441" t="str">
        <f>+MID('Input data'!$F$3,66,1)</f>
        <v/>
      </c>
      <c r="AD20" s="441" t="str">
        <f>+MID('Input data'!$F$3,67,1)</f>
        <v/>
      </c>
      <c r="AE20" s="441" t="str">
        <f>+MID('Input data'!$F$3,68,1)</f>
        <v/>
      </c>
      <c r="AF20" s="441" t="str">
        <f>+MID('Input data'!$F$3,69,1)</f>
        <v/>
      </c>
      <c r="AG20" s="441" t="str">
        <f>+MID('Input data'!$F$3,70,1)</f>
        <v/>
      </c>
      <c r="AH20" s="441" t="str">
        <f>+MID('Input data'!$F$3,71,1)</f>
        <v/>
      </c>
      <c r="AI20" s="441" t="str">
        <f>+MID('Input data'!$F$3,72,1)</f>
        <v/>
      </c>
      <c r="AJ20" s="441" t="str">
        <f>+MID('Input data'!$F$3,73,1)</f>
        <v/>
      </c>
      <c r="AK20" s="448" t="str">
        <f>+MID('Input data'!$F$3,74,1)</f>
        <v/>
      </c>
      <c r="AL20" s="390"/>
      <c r="AM20" s="390"/>
      <c r="AN20" s="390"/>
    </row>
    <row r="21" spans="1:43" s="450" customFormat="1" ht="14.25" customHeight="1">
      <c r="A21" s="454" t="s">
        <v>1431</v>
      </c>
      <c r="B21" s="453"/>
      <c r="C21" s="453"/>
      <c r="D21" s="453"/>
      <c r="E21" s="453"/>
      <c r="F21" s="453"/>
      <c r="G21" s="453"/>
      <c r="H21" s="453"/>
      <c r="I21" s="453"/>
      <c r="J21" s="453"/>
      <c r="K21" s="453"/>
      <c r="L21" s="453"/>
      <c r="M21" s="453"/>
      <c r="N21" s="453"/>
      <c r="O21" s="453"/>
      <c r="P21" s="453"/>
      <c r="Q21" s="453"/>
      <c r="R21" s="453"/>
      <c r="S21" s="453"/>
      <c r="T21" s="453"/>
      <c r="U21" s="453"/>
      <c r="V21" s="453"/>
      <c r="W21" s="452"/>
      <c r="X21" s="452"/>
      <c r="Y21" s="452"/>
      <c r="Z21" s="452"/>
      <c r="AA21" s="452"/>
      <c r="AB21" s="452"/>
      <c r="AC21" s="452"/>
      <c r="AD21" s="452"/>
      <c r="AE21" s="452"/>
      <c r="AF21" s="452"/>
      <c r="AG21" s="452"/>
      <c r="AH21" s="452"/>
      <c r="AI21" s="452"/>
      <c r="AJ21" s="452"/>
      <c r="AK21" s="451"/>
    </row>
    <row r="22" spans="1:43" ht="13">
      <c r="A22" s="446" t="s">
        <v>1432</v>
      </c>
      <c r="B22" s="404"/>
      <c r="C22" s="404"/>
      <c r="D22" s="404"/>
      <c r="E22" s="404"/>
      <c r="F22" s="404"/>
      <c r="G22" s="404"/>
      <c r="H22" s="404"/>
      <c r="I22" s="404"/>
      <c r="J22" s="404"/>
      <c r="K22" s="404"/>
      <c r="L22" s="404"/>
      <c r="M22" s="404"/>
      <c r="N22" s="404"/>
      <c r="O22" s="404"/>
      <c r="P22" s="404"/>
      <c r="Q22" s="404"/>
      <c r="R22" s="404"/>
      <c r="S22" s="404"/>
      <c r="T22" s="404"/>
      <c r="U22" s="404"/>
      <c r="V22" s="404"/>
      <c r="W22" s="399"/>
      <c r="X22" s="399"/>
      <c r="Y22" s="399"/>
      <c r="Z22" s="399"/>
      <c r="AA22" s="399"/>
      <c r="AB22" s="404"/>
      <c r="AC22" s="399"/>
      <c r="AD22" s="402" t="s">
        <v>1433</v>
      </c>
      <c r="AE22" s="399"/>
      <c r="AF22" s="399"/>
      <c r="AG22" s="399"/>
      <c r="AH22" s="399"/>
      <c r="AI22" s="399"/>
      <c r="AJ22" s="399"/>
      <c r="AK22" s="398"/>
    </row>
    <row r="23" spans="1:43" s="530" customFormat="1" ht="19.5" customHeight="1">
      <c r="A23" s="449" t="str">
        <f>+LEFT('Input data'!$C$28,1)</f>
        <v>O</v>
      </c>
      <c r="B23" s="441" t="str">
        <f>+MID('Input data'!$C$28,2,1)</f>
        <v>d</v>
      </c>
      <c r="C23" s="441" t="str">
        <f>+MID('Input data'!$C$28,3,1)</f>
        <v>b</v>
      </c>
      <c r="D23" s="441" t="str">
        <f>+MID('Input data'!$C$28,4,1)</f>
        <v>o</v>
      </c>
      <c r="E23" s="441" t="str">
        <f>+MID('Input data'!$C$28,5,1)</f>
        <v>r</v>
      </c>
      <c r="F23" s="441" t="str">
        <f>+MID('Input data'!$C$28,6,1)</f>
        <v>á</v>
      </c>
      <c r="G23" s="441" t="str">
        <f>+MID('Input data'!$C$28,7,1)</f>
        <v>r</v>
      </c>
      <c r="H23" s="441" t="str">
        <f>+MID('Input data'!$C$28,8,1)</f>
        <v>s</v>
      </c>
      <c r="I23" s="441" t="str">
        <f>+MID('Input data'!$C$28,9,1)</f>
        <v>k</v>
      </c>
      <c r="J23" s="441" t="str">
        <f>+MID('Input data'!$C$28,10,1)</f>
        <v>a</v>
      </c>
      <c r="K23" s="441" t="str">
        <f>+MID('Input data'!$C$28,11,1)</f>
        <v/>
      </c>
      <c r="L23" s="441" t="str">
        <f>+MID('Input data'!$C$28,12,1)</f>
        <v/>
      </c>
      <c r="M23" s="441" t="str">
        <f>+MID('Input data'!$C$28,13,1)</f>
        <v/>
      </c>
      <c r="N23" s="441" t="str">
        <f>+MID('Input data'!$C$28,14,1)</f>
        <v/>
      </c>
      <c r="O23" s="441" t="str">
        <f>+MID('Input data'!$C$28,15,1)</f>
        <v/>
      </c>
      <c r="P23" s="441" t="str">
        <f>+MID('Input data'!$C$28,16,1)</f>
        <v/>
      </c>
      <c r="Q23" s="441" t="str">
        <f>+MID('Input data'!$C$28,17,1)</f>
        <v/>
      </c>
      <c r="R23" s="441" t="str">
        <f>+MID('Input data'!$C$28,18,1)</f>
        <v/>
      </c>
      <c r="S23" s="441" t="str">
        <f>+MID('Input data'!$C$28,19,1)</f>
        <v/>
      </c>
      <c r="T23" s="441" t="str">
        <f>+MID('Input data'!$C$28,20,1)</f>
        <v/>
      </c>
      <c r="U23" s="441" t="str">
        <f>+MID('Input data'!$C$28,21,1)</f>
        <v/>
      </c>
      <c r="V23" s="441" t="str">
        <f>+MID('Input data'!$C$28,22,1)</f>
        <v/>
      </c>
      <c r="W23" s="441" t="str">
        <f>+MID('Input data'!$C$28,23,1)</f>
        <v/>
      </c>
      <c r="X23" s="441" t="str">
        <f>+MID('Input data'!$C$28,24,1)</f>
        <v/>
      </c>
      <c r="Y23" s="441" t="str">
        <f>+MID('Input data'!$C$28,25,1)</f>
        <v/>
      </c>
      <c r="Z23" s="441" t="str">
        <f>+MID('Input data'!$C$28,26,1)</f>
        <v/>
      </c>
      <c r="AA23" s="441" t="str">
        <f>+MID('Input data'!$C$28,27,1)</f>
        <v/>
      </c>
      <c r="AB23" s="441" t="str">
        <f>+MID('Input data'!$C$28,28,1)</f>
        <v/>
      </c>
      <c r="AC23" s="443"/>
      <c r="AD23" s="441" t="str">
        <f>+LEFT('Input data'!$C$30,1)</f>
        <v>5</v>
      </c>
      <c r="AE23" s="441" t="str">
        <f>+MID('Input data'!$C$30,2,1)</f>
        <v>2</v>
      </c>
      <c r="AF23" s="441" t="str">
        <f>+MID('Input data'!$C$30,3,1)</f>
        <v/>
      </c>
      <c r="AG23" s="441" t="str">
        <f>+MID('Input data'!$C$30,4,1)</f>
        <v/>
      </c>
      <c r="AH23" s="441" t="str">
        <f>+MID('Input data'!$C$30,5,1)</f>
        <v/>
      </c>
      <c r="AI23" s="441" t="str">
        <f>+MID('Input data'!$C$30,6,1)</f>
        <v/>
      </c>
      <c r="AJ23" s="441" t="str">
        <f>+MID('Input data'!$C$30,7,1)</f>
        <v/>
      </c>
      <c r="AK23" s="448" t="str">
        <f>+MID('Input data'!$C$30,8,1)</f>
        <v/>
      </c>
    </row>
    <row r="24" spans="1:43" ht="13">
      <c r="A24" s="446" t="s">
        <v>1434</v>
      </c>
      <c r="B24" s="404"/>
      <c r="C24" s="404"/>
      <c r="D24" s="404"/>
      <c r="E24" s="404"/>
      <c r="F24" s="404"/>
      <c r="G24" s="445" t="s">
        <v>1435</v>
      </c>
      <c r="H24" s="445"/>
      <c r="I24" s="445"/>
      <c r="J24" s="445"/>
      <c r="K24" s="445"/>
      <c r="L24" s="445"/>
      <c r="M24" s="445"/>
      <c r="N24" s="445"/>
      <c r="O24" s="445"/>
      <c r="P24" s="445"/>
      <c r="Q24" s="445"/>
      <c r="R24" s="445"/>
      <c r="S24" s="445"/>
      <c r="T24" s="445"/>
      <c r="U24" s="445"/>
      <c r="V24" s="445"/>
      <c r="W24" s="445"/>
      <c r="X24" s="445"/>
      <c r="Y24" s="445"/>
      <c r="Z24" s="445"/>
      <c r="AA24" s="445"/>
      <c r="AB24" s="445"/>
      <c r="AC24" s="445"/>
      <c r="AD24" s="445"/>
      <c r="AE24" s="399"/>
      <c r="AF24" s="399"/>
      <c r="AG24" s="399"/>
      <c r="AH24" s="399"/>
      <c r="AI24" s="399"/>
      <c r="AJ24" s="399"/>
      <c r="AK24" s="398"/>
    </row>
    <row r="25" spans="1:43" s="530" customFormat="1" ht="19.5" customHeight="1">
      <c r="A25" s="449" t="str">
        <f>+LEFT('Input data'!$C$32,1)</f>
        <v>8</v>
      </c>
      <c r="B25" s="441" t="str">
        <f>+MID('Input data'!$C$32,2,1)</f>
        <v>3</v>
      </c>
      <c r="C25" s="441" t="str">
        <f>+MID('Input data'!$C$32,3,1)</f>
        <v>1</v>
      </c>
      <c r="D25" s="441" t="str">
        <f>+MID('Input data'!$C$32,4,1)</f>
        <v xml:space="preserve"> </v>
      </c>
      <c r="E25" s="441" t="str">
        <f>+MID('Input data'!$C$32,5,1)</f>
        <v>0</v>
      </c>
      <c r="F25" s="441"/>
      <c r="G25" s="441" t="str">
        <f>+LEFT('Input data'!$C$34,1)</f>
        <v>B</v>
      </c>
      <c r="H25" s="441" t="str">
        <f>+MID('Input data'!$C$34,2,1)</f>
        <v>r</v>
      </c>
      <c r="I25" s="441" t="str">
        <f>+MID('Input data'!$C$34,3,1)</f>
        <v>a</v>
      </c>
      <c r="J25" s="441" t="str">
        <f>+MID('Input data'!$C$34,4,1)</f>
        <v>t</v>
      </c>
      <c r="K25" s="441" t="str">
        <f>+MID('Input data'!$C$34,5,1)</f>
        <v>i</v>
      </c>
      <c r="L25" s="441" t="str">
        <f>+MID('Input data'!$C$34,6,1)</f>
        <v>s</v>
      </c>
      <c r="M25" s="441" t="str">
        <f>+MID('Input data'!$C$34,7,1)</f>
        <v>l</v>
      </c>
      <c r="N25" s="441" t="str">
        <f>+MID('Input data'!$C$34,8,1)</f>
        <v>a</v>
      </c>
      <c r="O25" s="441" t="str">
        <f>+MID('Input data'!$C$34,9,1)</f>
        <v>v</v>
      </c>
      <c r="P25" s="441" t="str">
        <f>+MID('Input data'!$C$34,10,1)</f>
        <v>a</v>
      </c>
      <c r="Q25" s="441" t="str">
        <f>+MID('Input data'!$C$34,11,1)</f>
        <v xml:space="preserve"> </v>
      </c>
      <c r="R25" s="441" t="str">
        <f>+MID('Input data'!$C$34,12,1)</f>
        <v/>
      </c>
      <c r="S25" s="441" t="str">
        <f>+MID('Input data'!$C$34,13,1)</f>
        <v/>
      </c>
      <c r="T25" s="441" t="str">
        <f>+MID('Input data'!$C$34,14,1)</f>
        <v/>
      </c>
      <c r="U25" s="441" t="str">
        <f>+MID('Input data'!$C$34,15,1)</f>
        <v/>
      </c>
      <c r="V25" s="441" t="str">
        <f>+MID('Input data'!$C$34,16,1)</f>
        <v/>
      </c>
      <c r="W25" s="441" t="str">
        <f>+MID('Input data'!$C$34,17,1)</f>
        <v/>
      </c>
      <c r="X25" s="441" t="str">
        <f>+MID('Input data'!$C$34,18,1)</f>
        <v/>
      </c>
      <c r="Y25" s="441" t="str">
        <f>+MID('Input data'!$C$34,19,1)</f>
        <v/>
      </c>
      <c r="Z25" s="441" t="str">
        <f>+MID('Input data'!$C$34,20,1)</f>
        <v/>
      </c>
      <c r="AA25" s="441" t="str">
        <f>+MID('Input data'!$C$34,21,1)</f>
        <v/>
      </c>
      <c r="AB25" s="441" t="str">
        <f>+MID('Input data'!$C$34,22,1)</f>
        <v/>
      </c>
      <c r="AC25" s="441" t="str">
        <f>+MID('Input data'!$C$34,23,1)</f>
        <v/>
      </c>
      <c r="AD25" s="441" t="str">
        <f>+MID('Input data'!$C$34,24,1)</f>
        <v/>
      </c>
      <c r="AE25" s="441" t="str">
        <f>+MID('Input data'!$C$34,25,1)</f>
        <v/>
      </c>
      <c r="AF25" s="441" t="str">
        <f>+MID('Input data'!$C$34,26,1)</f>
        <v/>
      </c>
      <c r="AG25" s="441" t="str">
        <f>+MID('Input data'!$C$34,27,1)</f>
        <v/>
      </c>
      <c r="AH25" s="441" t="str">
        <f>+MID('Input data'!$C$34,28,1)</f>
        <v/>
      </c>
      <c r="AI25" s="441" t="str">
        <f>+MID('Input data'!$C$34,29,1)</f>
        <v/>
      </c>
      <c r="AJ25" s="441" t="str">
        <f>+MID('Input data'!$C$34,30,1)</f>
        <v/>
      </c>
      <c r="AK25" s="448" t="str">
        <f>+MID('Input data'!$C$34,31,1)</f>
        <v/>
      </c>
    </row>
    <row r="26" spans="1:43" ht="13">
      <c r="A26" s="446" t="s">
        <v>1436</v>
      </c>
      <c r="B26" s="404"/>
      <c r="C26" s="404"/>
      <c r="D26" s="404"/>
      <c r="E26" s="404"/>
      <c r="F26" s="404"/>
      <c r="G26" s="445"/>
      <c r="H26" s="445"/>
      <c r="I26" s="445"/>
      <c r="J26" s="445"/>
      <c r="K26" s="445"/>
      <c r="L26" s="445"/>
      <c r="M26" s="445"/>
      <c r="N26" s="404"/>
      <c r="O26" s="445" t="s">
        <v>1437</v>
      </c>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43" s="530" customFormat="1" ht="19.5" customHeight="1">
      <c r="A27" s="444">
        <v>0</v>
      </c>
      <c r="B27" s="441" t="str">
        <f>+LEFT('Input data'!$C$36,1)</f>
        <v>2</v>
      </c>
      <c r="C27" s="441" t="str">
        <f>+MID('Input data'!$C$36,2,1)</f>
        <v/>
      </c>
      <c r="D27" s="441" t="str">
        <f>+MID('Input data'!$C$36,3,1)</f>
        <v/>
      </c>
      <c r="E27" s="441" t="s">
        <v>1092</v>
      </c>
      <c r="F27" s="441" t="str">
        <f>+LEFT('Input data'!$C$38,1)</f>
        <v>4</v>
      </c>
      <c r="G27" s="441" t="str">
        <f>+MID('Input data'!$C$38,2,1)</f>
        <v>8</v>
      </c>
      <c r="H27" s="441" t="str">
        <f>+MID('Input data'!$C$38,3,1)</f>
        <v>2</v>
      </c>
      <c r="I27" s="441" t="str">
        <f>+MID('Input data'!$C$38,4,1)</f>
        <v>0</v>
      </c>
      <c r="J27" s="441" t="str">
        <f>+MID('Input data'!$C$38,5,1)</f>
        <v>5</v>
      </c>
      <c r="K27" s="441" t="str">
        <f>+MID('Input data'!$C$38,6,1)</f>
        <v>2</v>
      </c>
      <c r="L27" s="441" t="str">
        <f>+MID('Input data'!$C$38,7,1)</f>
        <v>0</v>
      </c>
      <c r="M27" s="441" t="str">
        <f>+MID('Input data'!$C$38,8,1)</f>
        <v>0</v>
      </c>
      <c r="N27" s="443"/>
      <c r="O27" s="442">
        <v>0</v>
      </c>
      <c r="P27" s="441" t="str">
        <f>+LEFT('Input data'!$C$36,1)</f>
        <v>2</v>
      </c>
      <c r="Q27" s="441" t="str">
        <f>+MID('Input data'!$C$36,2,1)</f>
        <v/>
      </c>
      <c r="R27" s="441" t="str">
        <f>+MID('Input data'!$C$36,3,1)</f>
        <v/>
      </c>
      <c r="S27" s="441" t="s">
        <v>1092</v>
      </c>
      <c r="T27" s="441" t="str">
        <f>+LEFT('Input data'!$C$40,1)</f>
        <v/>
      </c>
      <c r="U27" s="441" t="str">
        <f>+MID('Input data'!$C$40,2,1)</f>
        <v/>
      </c>
      <c r="V27" s="441" t="str">
        <f>+MID('Input data'!$C$40,3,1)</f>
        <v/>
      </c>
      <c r="W27" s="441" t="str">
        <f>+MID('Input data'!$C$40,4,1)</f>
        <v/>
      </c>
      <c r="X27" s="441" t="str">
        <f>+MID('Input data'!$C$40,5,1)</f>
        <v/>
      </c>
      <c r="Y27" s="441" t="str">
        <f>+MID('Input data'!$C$40,6,1)</f>
        <v/>
      </c>
      <c r="Z27" s="441" t="str">
        <f>+MID('Input data'!$C$40,7,1)</f>
        <v/>
      </c>
      <c r="AA27" s="441" t="str">
        <f>+MID('Input data'!$C$40,8,1)</f>
        <v/>
      </c>
      <c r="AB27" s="441"/>
      <c r="AC27" s="441"/>
      <c r="AD27" s="441"/>
      <c r="AE27" s="399"/>
      <c r="AF27" s="399"/>
      <c r="AG27" s="399"/>
      <c r="AH27" s="399"/>
      <c r="AI27" s="399"/>
      <c r="AJ27" s="399"/>
      <c r="AK27" s="398"/>
      <c r="AQ27" s="530" t="s">
        <v>1093</v>
      </c>
    </row>
    <row r="28" spans="1:43" s="391" customFormat="1" ht="13">
      <c r="A28" s="403" t="s">
        <v>1438</v>
      </c>
      <c r="B28" s="402"/>
      <c r="C28" s="402"/>
      <c r="D28" s="402"/>
      <c r="E28" s="402"/>
      <c r="F28" s="402"/>
      <c r="G28" s="402"/>
      <c r="H28" s="402"/>
      <c r="I28" s="402"/>
      <c r="J28" s="402"/>
      <c r="K28" s="402"/>
      <c r="L28" s="402"/>
      <c r="M28" s="402"/>
      <c r="N28" s="402"/>
      <c r="O28" s="402"/>
      <c r="P28" s="402"/>
      <c r="Q28" s="402"/>
      <c r="R28" s="402"/>
      <c r="S28" s="402"/>
      <c r="T28" s="402"/>
      <c r="U28" s="402"/>
      <c r="V28" s="402"/>
      <c r="W28" s="399"/>
      <c r="X28" s="399"/>
      <c r="Y28" s="399"/>
      <c r="Z28" s="399"/>
      <c r="AA28" s="399"/>
      <c r="AB28" s="399"/>
      <c r="AC28" s="399"/>
      <c r="AD28" s="399"/>
      <c r="AE28" s="399"/>
      <c r="AF28" s="399"/>
      <c r="AG28" s="399"/>
      <c r="AH28" s="399"/>
      <c r="AI28" s="399"/>
      <c r="AJ28" s="399"/>
      <c r="AK28" s="398"/>
    </row>
    <row r="29" spans="1:43" s="530" customFormat="1" ht="19.5" customHeight="1" thickBot="1">
      <c r="A29" s="440" t="str">
        <f>+LEFT('Input data'!$B$42,1)</f>
        <v>o</v>
      </c>
      <c r="B29" s="439" t="str">
        <f>+MID('Input data'!$B$42,2,1)</f>
        <v>f</v>
      </c>
      <c r="C29" s="439" t="str">
        <f>+MID('Input data'!$B$42,3,1)</f>
        <v>f</v>
      </c>
      <c r="D29" s="439" t="str">
        <f>+MID('Input data'!$B$42,4,1)</f>
        <v>i</v>
      </c>
      <c r="E29" s="439" t="str">
        <f>+MID('Input data'!$B$42,5,1)</f>
        <v>c</v>
      </c>
      <c r="F29" s="439" t="str">
        <f>+MID('Input data'!$B$42,6,1)</f>
        <v>e</v>
      </c>
      <c r="G29" s="439" t="str">
        <f>+MID('Input data'!$B$42,7,1)</f>
        <v>.</v>
      </c>
      <c r="H29" s="439" t="str">
        <f>+MID('Input data'!$B$42,8,1)</f>
        <v>s</v>
      </c>
      <c r="I29" s="439" t="str">
        <f>+MID('Input data'!$B$42,9,1)</f>
        <v>k</v>
      </c>
      <c r="J29" s="439" t="str">
        <f>+MID('Input data'!$B$42,10,1)</f>
        <v>@</v>
      </c>
      <c r="K29" s="439" t="str">
        <f>+MID('Input data'!$B$42,11,1)</f>
        <v>f</v>
      </c>
      <c r="L29" s="439" t="str">
        <f>+MID('Input data'!$B$42,12,1)</f>
        <v>o</v>
      </c>
      <c r="M29" s="439" t="str">
        <f>+MID('Input data'!$B$42,13,1)</f>
        <v>s</v>
      </c>
      <c r="N29" s="439" t="str">
        <f>+MID('Input data'!$B$42,14,1)</f>
        <v>s</v>
      </c>
      <c r="O29" s="439" t="str">
        <f>+MID('Input data'!$B$42,15,1)</f>
        <v>f</v>
      </c>
      <c r="P29" s="439" t="str">
        <f>+MID('Input data'!$B$42,16,1)</f>
        <v>i</v>
      </c>
      <c r="Q29" s="439" t="str">
        <f>+MID('Input data'!$B$42,17,1)</f>
        <v>b</v>
      </c>
      <c r="R29" s="439" t="str">
        <f>+MID('Input data'!$B$42,18,1)</f>
        <v>r</v>
      </c>
      <c r="S29" s="439" t="str">
        <f>+MID('Input data'!$B$42,19,1)</f>
        <v>e</v>
      </c>
      <c r="T29" s="439" t="str">
        <f>+MID('Input data'!$B$42,20,1)</f>
        <v>o</v>
      </c>
      <c r="U29" s="439" t="str">
        <f>+MID('Input data'!$B$42,21,1)</f>
        <v>p</v>
      </c>
      <c r="V29" s="439" t="str">
        <f>+MID('Input data'!$B$42,22,1)</f>
        <v>t</v>
      </c>
      <c r="W29" s="439" t="str">
        <f>+MID('Input data'!$B$42,23,1)</f>
        <v>i</v>
      </c>
      <c r="X29" s="439" t="str">
        <f>+MID('Input data'!$B$42,24,1)</f>
        <v>c</v>
      </c>
      <c r="Y29" s="439" t="str">
        <f>+MID('Input data'!$B$42,25,1)</f>
        <v>s</v>
      </c>
      <c r="Z29" s="439" t="str">
        <f>+MID('Input data'!$B$42,26,1)</f>
        <v>.</v>
      </c>
      <c r="AA29" s="439" t="str">
        <f>+MID('Input data'!$B$42,27,1)</f>
        <v>c</v>
      </c>
      <c r="AB29" s="439" t="str">
        <f>+MID('Input data'!$B$42,28,1)</f>
        <v>o</v>
      </c>
      <c r="AC29" s="439" t="str">
        <f>+MID('Input data'!$B$42,29,1)</f>
        <v>m</v>
      </c>
      <c r="AD29" s="439" t="str">
        <f>+MID('Input data'!$B$42,30,1)</f>
        <v/>
      </c>
      <c r="AE29" s="439" t="str">
        <f>+MID('Input data'!$B$42,31,1)</f>
        <v/>
      </c>
      <c r="AF29" s="439" t="str">
        <f>+MID('Input data'!$B$42,32,1)</f>
        <v/>
      </c>
      <c r="AG29" s="439" t="str">
        <f>+MID('Input data'!$B$42,33,1)</f>
        <v/>
      </c>
      <c r="AH29" s="439" t="str">
        <f>+MID('Input data'!$B$42,34,1)</f>
        <v/>
      </c>
      <c r="AI29" s="439" t="str">
        <f>+MID('Input data'!$B$42,35,1)</f>
        <v/>
      </c>
      <c r="AJ29" s="439" t="str">
        <f>+MID('Input data'!$B$42,36,1)</f>
        <v/>
      </c>
      <c r="AK29" s="438" t="str">
        <f>+MID('Input data'!$B$42,37,1)</f>
        <v/>
      </c>
    </row>
    <row r="30" spans="1:43" s="391" customFormat="1" ht="4.5" customHeight="1" thickBot="1">
      <c r="W30" s="392"/>
      <c r="X30" s="392"/>
      <c r="Y30" s="392"/>
      <c r="Z30" s="392"/>
      <c r="AA30" s="392"/>
      <c r="AB30" s="392"/>
      <c r="AC30" s="392"/>
      <c r="AD30" s="392"/>
      <c r="AE30" s="392"/>
      <c r="AF30" s="392"/>
      <c r="AG30" s="392"/>
      <c r="AH30" s="392"/>
      <c r="AI30" s="392"/>
      <c r="AJ30" s="392"/>
      <c r="AK30" s="392"/>
    </row>
    <row r="31" spans="1:43" s="434" customFormat="1" ht="13" customHeight="1">
      <c r="A31" s="437" t="s">
        <v>1311</v>
      </c>
      <c r="B31" s="436"/>
      <c r="C31" s="436"/>
      <c r="D31" s="436"/>
      <c r="E31" s="436"/>
      <c r="F31" s="436"/>
      <c r="G31" s="436"/>
      <c r="H31" s="436"/>
      <c r="I31" s="436"/>
      <c r="J31" s="436"/>
      <c r="K31" s="830"/>
      <c r="L31" s="830"/>
      <c r="M31" s="2443" t="s">
        <v>1439</v>
      </c>
      <c r="N31" s="2444"/>
      <c r="O31" s="2444"/>
      <c r="P31" s="2444"/>
      <c r="Q31" s="2444"/>
      <c r="R31" s="2444"/>
      <c r="S31" s="2444"/>
      <c r="T31" s="2444"/>
      <c r="U31" s="2445"/>
      <c r="V31" s="1639" t="s">
        <v>1440</v>
      </c>
      <c r="W31" s="1639"/>
      <c r="X31" s="1639"/>
      <c r="Y31" s="1639"/>
      <c r="Z31" s="1639"/>
      <c r="AA31" s="1639"/>
      <c r="AB31" s="1639"/>
      <c r="AC31" s="2345"/>
      <c r="AD31" s="2443" t="s">
        <v>1441</v>
      </c>
      <c r="AE31" s="2444"/>
      <c r="AF31" s="2444"/>
      <c r="AG31" s="2444"/>
      <c r="AH31" s="2444"/>
      <c r="AI31" s="2444"/>
      <c r="AJ31" s="2444"/>
      <c r="AK31" s="2444"/>
      <c r="AL31" s="2449"/>
    </row>
    <row r="32" spans="1:43" s="391" customFormat="1" ht="19.5" customHeight="1">
      <c r="A32" s="420" t="str">
        <f>LEFT(TEXT('Input data'!F34,"dd.m.yyyy"),1)</f>
        <v>1</v>
      </c>
      <c r="B32" s="419" t="str">
        <f>MID(TEXT('Input data'!$F$34,"dd.mm.yyyy"),2,1)</f>
        <v>5</v>
      </c>
      <c r="C32" s="418" t="s">
        <v>1063</v>
      </c>
      <c r="D32" s="419" t="str">
        <f>MID(TEXT('Input data'!$F$34,"dd.mm.yyyy"),4,1)</f>
        <v>0</v>
      </c>
      <c r="E32" s="419" t="str">
        <f>MID(TEXT('Input data'!$F$34,"dd.mm.yyyy"),5,1)</f>
        <v>5</v>
      </c>
      <c r="F32" s="418" t="s">
        <v>1063</v>
      </c>
      <c r="G32" s="419" t="str">
        <f>MID(TEXT('Input data'!$F$34,"dd.mm.yyyy"),7,1)</f>
        <v>2</v>
      </c>
      <c r="H32" s="419" t="str">
        <f>MID(TEXT('Input data'!$F$34,"dd.mm.yyyy"),8,1)</f>
        <v>0</v>
      </c>
      <c r="I32" s="419" t="str">
        <f>MID(TEXT('Input data'!$F$34,"dd.mm.yyyy"),9,1)</f>
        <v>1</v>
      </c>
      <c r="J32" s="419" t="str">
        <f>MID(TEXT('Input data'!$F$34,"dd.mm.yyyy"),10,1)</f>
        <v>9</v>
      </c>
      <c r="K32" s="831"/>
      <c r="L32" s="426"/>
      <c r="M32" s="2446"/>
      <c r="N32" s="2447"/>
      <c r="O32" s="2447"/>
      <c r="P32" s="2447"/>
      <c r="Q32" s="2447"/>
      <c r="R32" s="2447"/>
      <c r="S32" s="2447"/>
      <c r="T32" s="2447"/>
      <c r="U32" s="2448"/>
      <c r="V32" s="1641"/>
      <c r="W32" s="1641"/>
      <c r="X32" s="1641"/>
      <c r="Y32" s="1641"/>
      <c r="Z32" s="1641"/>
      <c r="AA32" s="1641"/>
      <c r="AB32" s="1641"/>
      <c r="AC32" s="2347"/>
      <c r="AD32" s="2446"/>
      <c r="AE32" s="2447"/>
      <c r="AF32" s="2447"/>
      <c r="AG32" s="2447"/>
      <c r="AH32" s="2447"/>
      <c r="AI32" s="2447"/>
      <c r="AJ32" s="2447"/>
      <c r="AK32" s="2447"/>
      <c r="AL32" s="2450"/>
      <c r="AP32" s="529"/>
    </row>
    <row r="33" spans="1:38" s="391" customFormat="1" ht="13" customHeight="1">
      <c r="A33" s="432"/>
      <c r="B33" s="431"/>
      <c r="C33" s="431"/>
      <c r="D33" s="431"/>
      <c r="E33" s="431"/>
      <c r="F33" s="431"/>
      <c r="G33" s="431"/>
      <c r="H33" s="431"/>
      <c r="I33" s="431"/>
      <c r="J33" s="431"/>
      <c r="K33" s="832"/>
      <c r="L33" s="832"/>
      <c r="M33" s="2446"/>
      <c r="N33" s="2447"/>
      <c r="O33" s="2447"/>
      <c r="P33" s="2447"/>
      <c r="Q33" s="2447"/>
      <c r="R33" s="2447"/>
      <c r="S33" s="2447"/>
      <c r="T33" s="2447"/>
      <c r="U33" s="2448"/>
      <c r="V33" s="1641"/>
      <c r="W33" s="1641"/>
      <c r="X33" s="1641"/>
      <c r="Y33" s="1641"/>
      <c r="Z33" s="1641"/>
      <c r="AA33" s="1641"/>
      <c r="AB33" s="1641"/>
      <c r="AC33" s="2347"/>
      <c r="AD33" s="2446"/>
      <c r="AE33" s="2447"/>
      <c r="AF33" s="2447"/>
      <c r="AG33" s="2447"/>
      <c r="AH33" s="2447"/>
      <c r="AI33" s="2447"/>
      <c r="AJ33" s="2447"/>
      <c r="AK33" s="2447"/>
      <c r="AL33" s="2450"/>
    </row>
    <row r="34" spans="1:38" s="391" customFormat="1" ht="13">
      <c r="A34" s="403" t="s">
        <v>1309</v>
      </c>
      <c r="B34" s="402"/>
      <c r="C34" s="402"/>
      <c r="D34" s="402"/>
      <c r="E34" s="402"/>
      <c r="F34" s="402"/>
      <c r="G34" s="402"/>
      <c r="H34" s="402"/>
      <c r="I34" s="402"/>
      <c r="J34" s="402"/>
      <c r="K34" s="426"/>
      <c r="L34" s="833"/>
      <c r="M34" s="426"/>
      <c r="N34" s="426"/>
      <c r="O34" s="426"/>
      <c r="P34" s="426"/>
      <c r="Q34" s="426"/>
      <c r="R34" s="426"/>
      <c r="S34" s="426"/>
      <c r="T34" s="402"/>
      <c r="U34" s="424"/>
      <c r="V34" s="425"/>
      <c r="W34" s="425"/>
      <c r="X34" s="425"/>
      <c r="Y34" s="425"/>
      <c r="Z34" s="425"/>
      <c r="AA34" s="399"/>
      <c r="AB34" s="425"/>
      <c r="AC34" s="424"/>
      <c r="AD34" s="423"/>
      <c r="AE34" s="422"/>
      <c r="AF34" s="422"/>
      <c r="AG34" s="422"/>
      <c r="AH34" s="422"/>
      <c r="AI34" s="422"/>
      <c r="AJ34" s="422"/>
      <c r="AK34" s="422"/>
      <c r="AL34" s="421"/>
    </row>
    <row r="35" spans="1:38" s="391" customFormat="1" ht="19.5" customHeight="1">
      <c r="A35" s="420" t="str">
        <f>IF('Input data'!$F$36="","",LEFT(TEXT('Input data'!$F$36,"dd.mm.yyyy"),1))</f>
        <v/>
      </c>
      <c r="B35" s="419" t="str">
        <f>IF('Input data'!$F$36="","",MID(TEXT('Input data'!$F$36,"dd.mm.yyyy"),2,1))</f>
        <v/>
      </c>
      <c r="C35" s="418" t="s">
        <v>1063</v>
      </c>
      <c r="D35" s="419" t="str">
        <f>IF('Input data'!$F$36="","",MID(TEXT('Input data'!$F$36,"dd.mm.yyyy"),4,1))</f>
        <v/>
      </c>
      <c r="E35" s="419" t="str">
        <f>IF('Input data'!$F$36="","",MID(TEXT('Input data'!$F$36,"dd.mm.yyyy"),5,1))</f>
        <v/>
      </c>
      <c r="F35" s="418" t="s">
        <v>1063</v>
      </c>
      <c r="G35" s="417" t="str">
        <f>IF('Input data'!$F$36="","",MID(TEXT('Input data'!$F$36,"dd.mm.yyyy"),7,1))</f>
        <v/>
      </c>
      <c r="H35" s="417" t="str">
        <f>IF('Input data'!$F$36="","",MID(TEXT('Input data'!$F$36,"dd.mm.yyyy"),8,1))</f>
        <v/>
      </c>
      <c r="I35" s="417" t="str">
        <f>IF('Input data'!$F$36="","",MID(TEXT('Input data'!$F$36,"dd.mm.yyyy"),9,1))</f>
        <v/>
      </c>
      <c r="J35" s="417" t="str">
        <f>IF('Input data'!$F$36="","",MID(TEXT('Input data'!$F$36,"dd.mm.yyyy"),10,1))</f>
        <v/>
      </c>
      <c r="K35" s="834"/>
      <c r="L35" s="528"/>
      <c r="M35" s="402"/>
      <c r="N35" s="402"/>
      <c r="O35" s="402"/>
      <c r="P35" s="402"/>
      <c r="Q35" s="402"/>
      <c r="R35" s="402"/>
      <c r="S35" s="402"/>
      <c r="T35" s="402"/>
      <c r="U35" s="528"/>
      <c r="V35" s="402"/>
      <c r="W35" s="399"/>
      <c r="X35" s="399"/>
      <c r="Y35" s="399"/>
      <c r="Z35" s="399"/>
      <c r="AA35" s="399"/>
      <c r="AB35" s="399"/>
      <c r="AC35" s="527"/>
      <c r="AD35" s="399"/>
      <c r="AE35" s="399"/>
      <c r="AF35" s="399"/>
      <c r="AG35" s="399"/>
      <c r="AH35" s="399"/>
      <c r="AI35" s="399"/>
      <c r="AJ35" s="399"/>
      <c r="AK35" s="399"/>
      <c r="AL35" s="398"/>
    </row>
    <row r="36" spans="1:38" s="397" customFormat="1" ht="12" thickBot="1">
      <c r="A36" s="412"/>
      <c r="B36" s="411"/>
      <c r="C36" s="411"/>
      <c r="D36" s="411"/>
      <c r="E36" s="411"/>
      <c r="F36" s="411"/>
      <c r="G36" s="411"/>
      <c r="H36" s="411"/>
      <c r="I36" s="411"/>
      <c r="J36" s="411"/>
      <c r="K36" s="411"/>
      <c r="L36" s="410"/>
      <c r="M36" s="2348">
        <f>'Input data'!F40</f>
        <v>0</v>
      </c>
      <c r="N36" s="2349"/>
      <c r="O36" s="2349"/>
      <c r="P36" s="2349"/>
      <c r="Q36" s="2349"/>
      <c r="R36" s="2349"/>
      <c r="S36" s="2349"/>
      <c r="T36" s="2349"/>
      <c r="U36" s="2350"/>
      <c r="V36" s="2348" t="e">
        <f>'Input data'!#REF!</f>
        <v>#REF!</v>
      </c>
      <c r="W36" s="2349"/>
      <c r="X36" s="2349"/>
      <c r="Y36" s="2349"/>
      <c r="Z36" s="2349"/>
      <c r="AA36" s="2349"/>
      <c r="AB36" s="2349"/>
      <c r="AC36" s="2350"/>
      <c r="AD36" s="2351" t="e">
        <f>'Input data'!#REF!</f>
        <v>#REF!</v>
      </c>
      <c r="AE36" s="2349"/>
      <c r="AF36" s="2349"/>
      <c r="AG36" s="2349"/>
      <c r="AH36" s="2349"/>
      <c r="AI36" s="2349"/>
      <c r="AJ36" s="2349"/>
      <c r="AK36" s="2349"/>
      <c r="AL36" s="2352"/>
    </row>
    <row r="37" spans="1:38" s="397" customFormat="1" ht="13">
      <c r="W37" s="392"/>
      <c r="X37" s="392"/>
      <c r="Y37" s="392"/>
      <c r="Z37" s="392"/>
      <c r="AA37" s="392"/>
      <c r="AB37" s="392"/>
      <c r="AC37" s="392"/>
      <c r="AD37" s="392"/>
      <c r="AE37" s="392"/>
      <c r="AF37" s="392"/>
      <c r="AG37" s="392"/>
      <c r="AH37" s="392"/>
      <c r="AI37" s="392"/>
      <c r="AJ37" s="392"/>
      <c r="AK37" s="392"/>
    </row>
    <row r="38" spans="1:38" s="397" customFormat="1" ht="13">
      <c r="W38" s="392"/>
      <c r="X38" s="392"/>
      <c r="Y38" s="392"/>
      <c r="Z38" s="392"/>
      <c r="AA38" s="392"/>
      <c r="AB38" s="392"/>
      <c r="AC38" s="392"/>
      <c r="AD38" s="392"/>
      <c r="AE38" s="392"/>
      <c r="AF38" s="392"/>
      <c r="AG38" s="392"/>
      <c r="AH38" s="392"/>
      <c r="AI38" s="392"/>
      <c r="AJ38" s="392"/>
      <c r="AK38" s="392"/>
    </row>
    <row r="39" spans="1:38" s="397" customFormat="1" ht="13">
      <c r="W39" s="392"/>
      <c r="X39" s="392"/>
      <c r="Y39" s="392"/>
      <c r="Z39" s="392"/>
      <c r="AA39" s="392"/>
      <c r="AB39" s="392"/>
      <c r="AC39" s="392"/>
      <c r="AD39" s="392"/>
      <c r="AE39" s="392"/>
      <c r="AF39" s="392"/>
      <c r="AG39" s="392"/>
      <c r="AH39" s="392"/>
      <c r="AI39" s="392"/>
      <c r="AJ39" s="392"/>
      <c r="AK39" s="392"/>
    </row>
    <row r="40" spans="1:38" ht="13.5" thickBot="1">
      <c r="W40" s="392"/>
      <c r="X40" s="392"/>
      <c r="Y40" s="392"/>
      <c r="Z40" s="392"/>
      <c r="AA40" s="392"/>
      <c r="AB40" s="392"/>
      <c r="AC40" s="392"/>
      <c r="AD40" s="392"/>
      <c r="AE40" s="392"/>
      <c r="AF40" s="392"/>
      <c r="AG40" s="392"/>
      <c r="AH40" s="392"/>
      <c r="AI40" s="392"/>
      <c r="AJ40" s="392"/>
      <c r="AK40" s="392"/>
    </row>
    <row r="41" spans="1:38" s="397" customFormat="1" ht="13">
      <c r="B41" s="409" t="s">
        <v>1442</v>
      </c>
      <c r="C41" s="408"/>
      <c r="D41" s="408"/>
      <c r="E41" s="408"/>
      <c r="F41" s="408"/>
      <c r="G41" s="408"/>
      <c r="H41" s="408"/>
      <c r="I41" s="408"/>
      <c r="J41" s="408"/>
      <c r="K41" s="408"/>
      <c r="L41" s="408"/>
      <c r="M41" s="408"/>
      <c r="N41" s="408"/>
      <c r="O41" s="408"/>
      <c r="P41" s="408"/>
      <c r="Q41" s="408"/>
      <c r="R41" s="408"/>
      <c r="S41" s="408"/>
      <c r="T41" s="408"/>
      <c r="U41" s="408"/>
      <c r="V41" s="408"/>
      <c r="W41" s="407"/>
      <c r="X41" s="407"/>
      <c r="Y41" s="407"/>
      <c r="Z41" s="407"/>
      <c r="AA41" s="407"/>
      <c r="AB41" s="407"/>
      <c r="AC41" s="407"/>
      <c r="AD41" s="407"/>
      <c r="AE41" s="407"/>
      <c r="AF41" s="407"/>
      <c r="AG41" s="407"/>
      <c r="AH41" s="407"/>
      <c r="AI41" s="407"/>
      <c r="AJ41" s="406"/>
      <c r="AK41" s="392"/>
    </row>
    <row r="42" spans="1:38" s="397" customFormat="1" ht="13">
      <c r="B42" s="401"/>
      <c r="C42" s="400"/>
      <c r="D42" s="400"/>
      <c r="E42" s="400"/>
      <c r="F42" s="400"/>
      <c r="G42" s="400"/>
      <c r="H42" s="400"/>
      <c r="I42" s="400"/>
      <c r="J42" s="400"/>
      <c r="K42" s="400"/>
      <c r="L42" s="400"/>
      <c r="M42" s="400"/>
      <c r="N42" s="400"/>
      <c r="O42" s="400"/>
      <c r="P42" s="400"/>
      <c r="Q42" s="400"/>
      <c r="R42" s="400"/>
      <c r="S42" s="400"/>
      <c r="T42" s="400"/>
      <c r="U42" s="400"/>
      <c r="V42" s="400"/>
      <c r="W42" s="399"/>
      <c r="X42" s="399"/>
      <c r="Y42" s="399"/>
      <c r="Z42" s="399"/>
      <c r="AA42" s="399"/>
      <c r="AB42" s="399"/>
      <c r="AC42" s="399"/>
      <c r="AD42" s="399"/>
      <c r="AE42" s="399"/>
      <c r="AF42" s="399"/>
      <c r="AG42" s="399"/>
      <c r="AH42" s="399"/>
      <c r="AI42" s="399"/>
      <c r="AJ42" s="398"/>
      <c r="AK42" s="392"/>
    </row>
    <row r="43" spans="1:38" ht="13">
      <c r="B43" s="405"/>
      <c r="C43" s="404"/>
      <c r="D43" s="404"/>
      <c r="E43" s="404"/>
      <c r="F43" s="404"/>
      <c r="G43" s="404"/>
      <c r="H43" s="404"/>
      <c r="I43" s="404"/>
      <c r="J43" s="404"/>
      <c r="K43" s="404"/>
      <c r="L43" s="404"/>
      <c r="M43" s="404"/>
      <c r="N43" s="404"/>
      <c r="O43" s="404"/>
      <c r="P43" s="404"/>
      <c r="Q43" s="404"/>
      <c r="R43" s="404"/>
      <c r="S43" s="404"/>
      <c r="T43" s="404"/>
      <c r="U43" s="404"/>
      <c r="V43" s="404"/>
      <c r="W43" s="399"/>
      <c r="X43" s="399"/>
      <c r="Y43" s="399"/>
      <c r="Z43" s="399"/>
      <c r="AA43" s="399"/>
      <c r="AB43" s="399"/>
      <c r="AC43" s="399"/>
      <c r="AD43" s="399"/>
      <c r="AE43" s="399"/>
      <c r="AF43" s="399"/>
      <c r="AG43" s="399"/>
      <c r="AH43" s="399"/>
      <c r="AI43" s="399"/>
      <c r="AJ43" s="398"/>
      <c r="AK43" s="392"/>
    </row>
    <row r="44" spans="1:38" s="397" customFormat="1" ht="13">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8" s="391" customFormat="1" ht="13">
      <c r="B45" s="403"/>
      <c r="C45" s="402"/>
      <c r="D45" s="402"/>
      <c r="E45" s="402"/>
      <c r="F45" s="402"/>
      <c r="G45" s="402"/>
      <c r="H45" s="402"/>
      <c r="I45" s="402"/>
      <c r="J45" s="402"/>
      <c r="K45" s="402"/>
      <c r="L45" s="402"/>
      <c r="M45" s="402"/>
      <c r="N45" s="402"/>
      <c r="O45" s="402"/>
      <c r="P45" s="402"/>
      <c r="Q45" s="402"/>
      <c r="R45" s="402"/>
      <c r="S45" s="402"/>
      <c r="T45" s="402"/>
      <c r="U45" s="402"/>
      <c r="V45" s="402"/>
      <c r="W45" s="399"/>
      <c r="X45" s="399"/>
      <c r="Y45" s="399"/>
      <c r="Z45" s="399"/>
      <c r="AA45" s="399"/>
      <c r="AB45" s="399"/>
      <c r="AC45" s="399"/>
      <c r="AD45" s="399"/>
      <c r="AE45" s="399"/>
      <c r="AF45" s="399"/>
      <c r="AG45" s="399"/>
      <c r="AH45" s="399"/>
      <c r="AI45" s="399"/>
      <c r="AJ45" s="398"/>
      <c r="AK45" s="392"/>
    </row>
    <row r="46" spans="1:38" s="391" customFormat="1" ht="13">
      <c r="B46" s="403"/>
      <c r="C46" s="402"/>
      <c r="D46" s="402"/>
      <c r="E46" s="402"/>
      <c r="F46" s="402"/>
      <c r="G46" s="402"/>
      <c r="H46" s="402"/>
      <c r="I46" s="402"/>
      <c r="J46" s="402"/>
      <c r="K46" s="402"/>
      <c r="L46" s="402"/>
      <c r="M46" s="402"/>
      <c r="N46" s="402"/>
      <c r="O46" s="402"/>
      <c r="P46" s="402"/>
      <c r="Q46" s="402"/>
      <c r="R46" s="402"/>
      <c r="S46" s="402"/>
      <c r="T46" s="402"/>
      <c r="U46" s="402"/>
      <c r="V46" s="402"/>
      <c r="W46" s="399"/>
      <c r="X46" s="399"/>
      <c r="Y46" s="399"/>
      <c r="Z46" s="399"/>
      <c r="AA46" s="399"/>
      <c r="AB46" s="399"/>
      <c r="AC46" s="399"/>
      <c r="AD46" s="399"/>
      <c r="AE46" s="399"/>
      <c r="AF46" s="399"/>
      <c r="AG46" s="399"/>
      <c r="AH46" s="399"/>
      <c r="AI46" s="399"/>
      <c r="AJ46" s="398"/>
      <c r="AK46" s="392"/>
    </row>
    <row r="47" spans="1:38" s="397" customFormat="1" ht="13">
      <c r="B47" s="401"/>
      <c r="C47" s="400"/>
      <c r="D47" s="400"/>
      <c r="E47" s="400"/>
      <c r="F47" s="400"/>
      <c r="G47" s="400"/>
      <c r="H47" s="400"/>
      <c r="I47" s="400"/>
      <c r="J47" s="400"/>
      <c r="K47" s="400"/>
      <c r="L47" s="400"/>
      <c r="M47" s="400"/>
      <c r="N47" s="400"/>
      <c r="O47" s="400"/>
      <c r="P47" s="400"/>
      <c r="Q47" s="400"/>
      <c r="R47" s="400"/>
      <c r="S47" s="400"/>
      <c r="T47" s="400"/>
      <c r="U47" s="400"/>
      <c r="V47" s="400"/>
      <c r="W47" s="399"/>
      <c r="X47" s="399"/>
      <c r="Y47" s="399"/>
      <c r="Z47" s="399"/>
      <c r="AA47" s="399"/>
      <c r="AB47" s="399"/>
      <c r="AC47" s="399"/>
      <c r="AD47" s="399"/>
      <c r="AE47" s="399"/>
      <c r="AF47" s="399"/>
      <c r="AG47" s="399"/>
      <c r="AH47" s="399"/>
      <c r="AI47" s="399"/>
      <c r="AJ47" s="398"/>
      <c r="AK47" s="392"/>
    </row>
    <row r="48" spans="1:38" s="397" customFormat="1" ht="13">
      <c r="B48" s="401"/>
      <c r="C48" s="400"/>
      <c r="D48" s="400"/>
      <c r="E48" s="400"/>
      <c r="F48" s="400"/>
      <c r="G48" s="400"/>
      <c r="H48" s="400"/>
      <c r="I48" s="400"/>
      <c r="J48" s="400"/>
      <c r="K48" s="400"/>
      <c r="L48" s="400"/>
      <c r="M48" s="400"/>
      <c r="N48" s="400"/>
      <c r="O48" s="400"/>
      <c r="P48" s="400"/>
      <c r="Q48" s="400"/>
      <c r="R48" s="400"/>
      <c r="S48" s="400"/>
      <c r="T48" s="400"/>
      <c r="U48" s="400"/>
      <c r="V48" s="400"/>
      <c r="W48" s="399"/>
      <c r="X48" s="399"/>
      <c r="Y48" s="399"/>
      <c r="Z48" s="399"/>
      <c r="AA48" s="399"/>
      <c r="AB48" s="399"/>
      <c r="AC48" s="399"/>
      <c r="AD48" s="399"/>
      <c r="AE48" s="399"/>
      <c r="AF48" s="399"/>
      <c r="AG48" s="399"/>
      <c r="AH48" s="399"/>
      <c r="AI48" s="399"/>
      <c r="AJ48" s="398"/>
      <c r="AK48" s="392"/>
    </row>
    <row r="49" spans="2:37"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1" customFormat="1" ht="13.5" thickBot="1">
      <c r="B51" s="396"/>
      <c r="C51" s="395"/>
      <c r="D51" s="395"/>
      <c r="E51" s="395"/>
      <c r="F51" s="395"/>
      <c r="G51" s="395" t="s">
        <v>1443</v>
      </c>
      <c r="H51" s="395"/>
      <c r="I51" s="395"/>
      <c r="J51" s="395"/>
      <c r="K51" s="395"/>
      <c r="L51" s="395"/>
      <c r="M51" s="395"/>
      <c r="N51" s="395"/>
      <c r="O51" s="395"/>
      <c r="P51" s="395"/>
      <c r="Q51" s="395"/>
      <c r="R51" s="395"/>
      <c r="S51" s="395"/>
      <c r="T51" s="395"/>
      <c r="U51" s="395" t="s">
        <v>1444</v>
      </c>
      <c r="V51" s="395"/>
      <c r="W51" s="394"/>
      <c r="X51" s="394"/>
      <c r="Y51" s="394"/>
      <c r="Z51" s="394"/>
      <c r="AA51" s="394"/>
      <c r="AB51" s="394"/>
      <c r="AC51" s="394"/>
      <c r="AD51" s="394"/>
      <c r="AE51" s="394"/>
      <c r="AF51" s="394"/>
      <c r="AG51" s="394"/>
      <c r="AH51" s="394"/>
      <c r="AI51" s="394"/>
      <c r="AJ51" s="393"/>
      <c r="AK51" s="392"/>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O74"/>
  <sheetViews>
    <sheetView showGridLines="0" view="pageBreakPreview" topLeftCell="A31" zoomScaleNormal="100" zoomScaleSheetLayoutView="100" workbookViewId="0">
      <selection activeCell="I61" sqref="I61"/>
    </sheetView>
  </sheetViews>
  <sheetFormatPr defaultColWidth="9.1796875" defaultRowHeight="9.5"/>
  <cols>
    <col min="1" max="1" width="4.453125" style="1238" customWidth="1"/>
    <col min="2" max="2" width="15.54296875" style="1238" customWidth="1"/>
    <col min="3" max="3" width="4.81640625" style="1238" customWidth="1"/>
    <col min="4" max="4" width="23.81640625" style="1238" customWidth="1"/>
    <col min="5" max="5" width="0.54296875" style="1238" customWidth="1"/>
    <col min="6" max="6" width="6.453125" style="1238" customWidth="1"/>
    <col min="7" max="8" width="22.81640625" style="1238" customWidth="1"/>
    <col min="9" max="10" width="9.1796875" style="1238"/>
    <col min="11" max="11" width="9.453125" style="1238" customWidth="1"/>
    <col min="12" max="12" width="39.54296875" style="1238" customWidth="1"/>
    <col min="13" max="15" width="9.1796875" style="1238" customWidth="1"/>
    <col min="16" max="16384" width="9.1796875" style="1238"/>
  </cols>
  <sheetData>
    <row r="1" spans="1:15" s="1179" customFormat="1" ht="15" customHeight="1">
      <c r="A1" s="1178"/>
      <c r="D1" s="1180"/>
      <c r="E1" s="1180"/>
      <c r="F1" s="1180"/>
      <c r="I1" s="1180"/>
      <c r="J1" s="1180"/>
    </row>
    <row r="2" spans="1:15" s="1179" customFormat="1" ht="23.25" customHeight="1">
      <c r="A2" s="1178"/>
      <c r="B2" s="1166" t="s">
        <v>2584</v>
      </c>
      <c r="C2" s="525" t="s">
        <v>2581</v>
      </c>
      <c r="D2" s="1268" t="str">
        <f>'BS-SK Statutory'!E2</f>
        <v xml:space="preserve">  2  0  2  0  3  1  9  8  2  9</v>
      </c>
      <c r="E2" s="581"/>
      <c r="F2" s="1213" t="s">
        <v>2585</v>
      </c>
      <c r="G2" s="1267" t="str">
        <f>'BS-SK Statutory'!J2</f>
        <v xml:space="preserve">  3  1  3  6  5  5  0  7 </v>
      </c>
    </row>
    <row r="3" spans="1:15" s="1179" customFormat="1" ht="2.25" customHeight="1" thickBot="1">
      <c r="A3" s="1178"/>
      <c r="B3" s="1225"/>
      <c r="C3" s="1180"/>
      <c r="D3" s="1180"/>
      <c r="E3" s="1180"/>
    </row>
    <row r="4" spans="1:15" s="1230" customFormat="1" ht="11.25" customHeight="1">
      <c r="A4" s="1226"/>
      <c r="B4" s="1227"/>
      <c r="C4" s="1266"/>
      <c r="D4" s="1266"/>
      <c r="E4" s="1228"/>
      <c r="F4" s="1229"/>
      <c r="G4" s="1662" t="s">
        <v>1526</v>
      </c>
      <c r="H4" s="1773"/>
    </row>
    <row r="5" spans="1:15" s="1230" customFormat="1" ht="33.75" customHeight="1">
      <c r="A5" s="1283" t="s">
        <v>1446</v>
      </c>
      <c r="B5" s="1649" t="s">
        <v>1298</v>
      </c>
      <c r="C5" s="1767"/>
      <c r="D5" s="1767"/>
      <c r="E5" s="1278"/>
      <c r="F5" s="1280" t="s">
        <v>1527</v>
      </c>
      <c r="G5" s="1281" t="s">
        <v>1528</v>
      </c>
      <c r="H5" s="1232" t="s">
        <v>1529</v>
      </c>
    </row>
    <row r="6" spans="1:15" s="1230" customFormat="1" ht="29.65" customHeight="1">
      <c r="A6" s="1200" t="s">
        <v>880</v>
      </c>
      <c r="B6" s="1741" t="str">
        <f>L6</f>
        <v>Net turnover (part of acc. group 6 as defined by the law)</v>
      </c>
      <c r="C6" s="1742"/>
      <c r="D6" s="1742"/>
      <c r="E6" s="1743"/>
      <c r="F6" s="1196" t="s">
        <v>814</v>
      </c>
      <c r="G6" s="1279">
        <f>'P&amp;L'!D9</f>
        <v>5478558</v>
      </c>
      <c r="H6" s="1284">
        <f>'P&amp;L'!E9</f>
        <v>5307380</v>
      </c>
      <c r="L6" s="2557" t="s">
        <v>2341</v>
      </c>
      <c r="M6" s="2557"/>
      <c r="N6" s="2557"/>
      <c r="O6" s="2557"/>
    </row>
    <row r="7" spans="1:15" s="1230" customFormat="1" ht="29.65" customHeight="1">
      <c r="A7" s="1200" t="s">
        <v>942</v>
      </c>
      <c r="B7" s="1741" t="str">
        <f t="shared" ref="B7:B32" si="0">L7</f>
        <v>Revenues from operating activities total (l. 03 to l. 09)</v>
      </c>
      <c r="C7" s="1742"/>
      <c r="D7" s="1742"/>
      <c r="E7" s="1743"/>
      <c r="F7" s="1196" t="s">
        <v>817</v>
      </c>
      <c r="G7" s="1279">
        <f>'P&amp;L'!D10</f>
        <v>6371901</v>
      </c>
      <c r="H7" s="1233">
        <f>'P&amp;L'!E10</f>
        <v>5384434</v>
      </c>
      <c r="L7" s="2557" t="s">
        <v>2342</v>
      </c>
      <c r="M7" s="2557"/>
      <c r="N7" s="2557"/>
      <c r="O7" s="2557"/>
    </row>
    <row r="8" spans="1:15" s="1235" customFormat="1" ht="29.65" customHeight="1">
      <c r="A8" s="1269" t="s">
        <v>877</v>
      </c>
      <c r="B8" s="1746" t="str">
        <f t="shared" si="0"/>
        <v>Revenues from merchandise (604,607)</v>
      </c>
      <c r="C8" s="1747"/>
      <c r="D8" s="1747"/>
      <c r="E8" s="1748"/>
      <c r="F8" s="1198" t="s">
        <v>820</v>
      </c>
      <c r="G8" s="1282">
        <f>'P&amp;L'!D11</f>
        <v>2422675</v>
      </c>
      <c r="H8" s="1234">
        <f>'P&amp;L'!E11</f>
        <v>2493976</v>
      </c>
      <c r="L8" s="2557" t="s">
        <v>1380</v>
      </c>
      <c r="M8" s="2557"/>
      <c r="N8" s="2557"/>
      <c r="O8" s="2557"/>
    </row>
    <row r="9" spans="1:15" s="1235" customFormat="1" ht="29.65" customHeight="1">
      <c r="A9" s="1269" t="s">
        <v>2343</v>
      </c>
      <c r="B9" s="1746" t="str">
        <f t="shared" si="0"/>
        <v>Revenues from own products (601)</v>
      </c>
      <c r="C9" s="1747"/>
      <c r="D9" s="1747"/>
      <c r="E9" s="1748"/>
      <c r="F9" s="1198" t="s">
        <v>823</v>
      </c>
      <c r="G9" s="1282">
        <f>'P&amp;L'!D12</f>
        <v>2877161</v>
      </c>
      <c r="H9" s="1234">
        <f>'P&amp;L'!E12</f>
        <v>2645663</v>
      </c>
      <c r="L9" s="2557" t="s">
        <v>2344</v>
      </c>
      <c r="M9" s="2557"/>
      <c r="N9" s="2557"/>
      <c r="O9" s="2557"/>
    </row>
    <row r="10" spans="1:15" s="1230" customFormat="1" ht="29.65" customHeight="1">
      <c r="A10" s="1269" t="s">
        <v>2345</v>
      </c>
      <c r="B10" s="1746" t="str">
        <f t="shared" si="0"/>
        <v>Revenues from services (602, 606)</v>
      </c>
      <c r="C10" s="1747"/>
      <c r="D10" s="1747"/>
      <c r="E10" s="1748"/>
      <c r="F10" s="1198" t="s">
        <v>826</v>
      </c>
      <c r="G10" s="1282">
        <f>'P&amp;L'!D13</f>
        <v>178722</v>
      </c>
      <c r="H10" s="1234">
        <f>'P&amp;L'!E13</f>
        <v>167741</v>
      </c>
      <c r="L10" s="2557" t="s">
        <v>2346</v>
      </c>
      <c r="M10" s="2557"/>
      <c r="N10" s="2557"/>
      <c r="O10" s="2557"/>
    </row>
    <row r="11" spans="1:15" s="1230" customFormat="1" ht="29.65" customHeight="1">
      <c r="A11" s="1269" t="s">
        <v>2347</v>
      </c>
      <c r="B11" s="1746" t="str">
        <f t="shared" si="0"/>
        <v>Change in stock of finished goods and work in progress  (+/- acc. group 61)</v>
      </c>
      <c r="C11" s="1747"/>
      <c r="D11" s="1747"/>
      <c r="E11" s="1748"/>
      <c r="F11" s="1198" t="s">
        <v>828</v>
      </c>
      <c r="G11" s="1282">
        <f>'P&amp;L'!D14</f>
        <v>-734</v>
      </c>
      <c r="H11" s="1234">
        <f>'P&amp;L'!E14</f>
        <v>-408</v>
      </c>
      <c r="L11" s="2557" t="s">
        <v>827</v>
      </c>
      <c r="M11" s="2557"/>
      <c r="N11" s="2557"/>
      <c r="O11" s="2557"/>
    </row>
    <row r="12" spans="1:15" s="1230" customFormat="1" ht="29.65" customHeight="1">
      <c r="A12" s="1269" t="s">
        <v>976</v>
      </c>
      <c r="B12" s="1746" t="str">
        <f t="shared" si="0"/>
        <v xml:space="preserve">Own work capitalized (acc. group 62)     </v>
      </c>
      <c r="C12" s="1747"/>
      <c r="D12" s="1747"/>
      <c r="E12" s="1748"/>
      <c r="F12" s="1198" t="s">
        <v>830</v>
      </c>
      <c r="G12" s="1282">
        <f>'P&amp;L'!D15</f>
        <v>0</v>
      </c>
      <c r="H12" s="1234">
        <f>'P&amp;L'!E15</f>
        <v>0</v>
      </c>
      <c r="L12" s="2557" t="s">
        <v>2712</v>
      </c>
      <c r="M12" s="2557"/>
      <c r="N12" s="2557"/>
      <c r="O12" s="2557"/>
    </row>
    <row r="13" spans="1:15" s="1235" customFormat="1" ht="31.5" customHeight="1">
      <c r="A13" s="1269" t="s">
        <v>2348</v>
      </c>
      <c r="B13" s="1746" t="str">
        <f t="shared" si="0"/>
        <v>Revenue from sale of non-current assets and material (641, 642)</v>
      </c>
      <c r="C13" s="1747"/>
      <c r="D13" s="1747"/>
      <c r="E13" s="1748"/>
      <c r="F13" s="1198" t="s">
        <v>832</v>
      </c>
      <c r="G13" s="1282">
        <f>'P&amp;L'!D16</f>
        <v>0</v>
      </c>
      <c r="H13" s="1234">
        <f>'P&amp;L'!E16</f>
        <v>9584</v>
      </c>
      <c r="L13" s="2557" t="s">
        <v>860</v>
      </c>
      <c r="M13" s="2557"/>
      <c r="N13" s="2557"/>
      <c r="O13" s="2557"/>
    </row>
    <row r="14" spans="1:15" s="1230" customFormat="1" ht="29.65" customHeight="1">
      <c r="A14" s="1269" t="s">
        <v>2349</v>
      </c>
      <c r="B14" s="1746" t="str">
        <f t="shared" si="0"/>
        <v>Other operating revenues (644, 645, 646, 648, 655, 657)</v>
      </c>
      <c r="C14" s="1747"/>
      <c r="D14" s="1747"/>
      <c r="E14" s="1748"/>
      <c r="F14" s="1198" t="s">
        <v>835</v>
      </c>
      <c r="G14" s="1282">
        <f>'P&amp;L'!D17</f>
        <v>894077</v>
      </c>
      <c r="H14" s="1234">
        <f>'P&amp;L'!E17</f>
        <v>67878</v>
      </c>
      <c r="L14" s="2557" t="s">
        <v>869</v>
      </c>
      <c r="M14" s="2557"/>
      <c r="N14" s="2557"/>
      <c r="O14" s="2557"/>
    </row>
    <row r="15" spans="1:15" s="1230" customFormat="1" ht="29.65" customHeight="1">
      <c r="A15" s="1270" t="s">
        <v>942</v>
      </c>
      <c r="B15" s="1741" t="str">
        <f t="shared" si="0"/>
        <v>Operating expenses total (l. 11 + l. 12 + l. 13 + l. 14 + l. 15 + l. 20 + l. 21 + l. 24 + l. 25 + l. 26)</v>
      </c>
      <c r="C15" s="1742"/>
      <c r="D15" s="1742"/>
      <c r="E15" s="1743"/>
      <c r="F15" s="1196" t="s">
        <v>838</v>
      </c>
      <c r="G15" s="1279">
        <f>'P&amp;L'!D18</f>
        <v>5845865</v>
      </c>
      <c r="H15" s="1233">
        <f>'P&amp;L'!E18</f>
        <v>5183863</v>
      </c>
      <c r="L15" s="2557" t="s">
        <v>2350</v>
      </c>
      <c r="M15" s="2557"/>
      <c r="N15" s="2557"/>
      <c r="O15" s="2557"/>
    </row>
    <row r="16" spans="1:15" s="1235" customFormat="1" ht="29.65" customHeight="1">
      <c r="A16" s="1199" t="s">
        <v>523</v>
      </c>
      <c r="B16" s="1746" t="str">
        <f t="shared" si="0"/>
        <v>Costs of merchandise sold (504, 507)</v>
      </c>
      <c r="C16" s="1747"/>
      <c r="D16" s="1747"/>
      <c r="E16" s="1748"/>
      <c r="F16" s="1198" t="s">
        <v>840</v>
      </c>
      <c r="G16" s="1282">
        <f>'P&amp;L'!D19</f>
        <v>1838666</v>
      </c>
      <c r="H16" s="1234">
        <f>'P&amp;L'!E19</f>
        <v>1928175</v>
      </c>
      <c r="L16" s="2557" t="s">
        <v>2351</v>
      </c>
      <c r="M16" s="2557"/>
      <c r="N16" s="2557"/>
      <c r="O16" s="2557"/>
    </row>
    <row r="17" spans="1:15" s="1230" customFormat="1" ht="29.65" customHeight="1">
      <c r="A17" s="1199" t="s">
        <v>594</v>
      </c>
      <c r="B17" s="1746" t="str">
        <f t="shared" si="0"/>
        <v>Material and energy consumption and other unstorable supplies (501, 502, 503)</v>
      </c>
      <c r="C17" s="1747"/>
      <c r="D17" s="1747"/>
      <c r="E17" s="1748"/>
      <c r="F17" s="1198" t="s">
        <v>842</v>
      </c>
      <c r="G17" s="1282">
        <f>'P&amp;L'!D20</f>
        <v>1083808</v>
      </c>
      <c r="H17" s="1234">
        <f>'P&amp;L'!E20</f>
        <v>1213571</v>
      </c>
      <c r="L17" s="2557" t="s">
        <v>2352</v>
      </c>
      <c r="M17" s="2557"/>
      <c r="N17" s="2557"/>
      <c r="O17" s="2557"/>
    </row>
    <row r="18" spans="1:15" s="1230" customFormat="1" ht="29.65" customHeight="1">
      <c r="A18" s="1199" t="s">
        <v>663</v>
      </c>
      <c r="B18" s="1746" t="str">
        <f t="shared" si="0"/>
        <v>Allowances to inventories (+/-) (505)</v>
      </c>
      <c r="C18" s="1747"/>
      <c r="D18" s="1747"/>
      <c r="E18" s="1748"/>
      <c r="F18" s="1198" t="s">
        <v>844</v>
      </c>
      <c r="G18" s="1282">
        <f>'P&amp;L'!D21</f>
        <v>16562</v>
      </c>
      <c r="H18" s="1234">
        <f>'P&amp;L'!E21</f>
        <v>1391</v>
      </c>
      <c r="L18" s="2557" t="s">
        <v>2353</v>
      </c>
      <c r="M18" s="2557"/>
      <c r="N18" s="2557"/>
      <c r="O18" s="2557"/>
    </row>
    <row r="19" spans="1:15" s="1230" customFormat="1" ht="29.65" customHeight="1">
      <c r="A19" s="1199" t="s">
        <v>853</v>
      </c>
      <c r="B19" s="1746" t="str">
        <f t="shared" si="0"/>
        <v>Services (acc. group 51)</v>
      </c>
      <c r="C19" s="1747"/>
      <c r="D19" s="1747"/>
      <c r="E19" s="1748"/>
      <c r="F19" s="1198" t="s">
        <v>846</v>
      </c>
      <c r="G19" s="1282">
        <f>'P&amp;L'!D22</f>
        <v>323531</v>
      </c>
      <c r="H19" s="1234">
        <f>'P&amp;L'!E22</f>
        <v>441930</v>
      </c>
      <c r="L19" s="2557" t="s">
        <v>837</v>
      </c>
      <c r="M19" s="2557"/>
      <c r="N19" s="2557"/>
      <c r="O19" s="2557"/>
    </row>
    <row r="20" spans="1:15" s="1230" customFormat="1" ht="29.65" customHeight="1">
      <c r="A20" s="1199" t="s">
        <v>856</v>
      </c>
      <c r="B20" s="1746" t="str">
        <f t="shared" si="0"/>
        <v>Personnel expenses  total (l. 13 až 16)</v>
      </c>
      <c r="C20" s="1747"/>
      <c r="D20" s="1747"/>
      <c r="E20" s="1748"/>
      <c r="F20" s="1198" t="s">
        <v>849</v>
      </c>
      <c r="G20" s="1282">
        <f>'P&amp;L'!D23</f>
        <v>1238578</v>
      </c>
      <c r="H20" s="1234">
        <f>'P&amp;L'!E23</f>
        <v>1097102</v>
      </c>
      <c r="L20" s="2557" t="s">
        <v>841</v>
      </c>
      <c r="M20" s="2557"/>
      <c r="N20" s="2557"/>
      <c r="O20" s="2557"/>
    </row>
    <row r="21" spans="1:15" s="1230" customFormat="1" ht="29.65" customHeight="1">
      <c r="A21" s="1199" t="s">
        <v>2354</v>
      </c>
      <c r="B21" s="1746" t="str">
        <f t="shared" si="0"/>
        <v>Wages and salaries (521, 522)</v>
      </c>
      <c r="C21" s="1747"/>
      <c r="D21" s="1747"/>
      <c r="E21" s="1748"/>
      <c r="F21" s="1198" t="s">
        <v>852</v>
      </c>
      <c r="G21" s="1282">
        <f>'P&amp;L'!D24</f>
        <v>888993</v>
      </c>
      <c r="H21" s="1234">
        <f>'P&amp;L'!E24</f>
        <v>781249</v>
      </c>
      <c r="L21" s="2557" t="s">
        <v>843</v>
      </c>
      <c r="M21" s="2557"/>
      <c r="N21" s="2557"/>
      <c r="O21" s="2557"/>
    </row>
    <row r="22" spans="1:15" s="1230" customFormat="1" ht="29.65" customHeight="1">
      <c r="A22" s="1199" t="s">
        <v>532</v>
      </c>
      <c r="B22" s="1746" t="str">
        <f t="shared" si="0"/>
        <v>Remuneration of members of the board of companies and co-operatives (523)</v>
      </c>
      <c r="C22" s="1747"/>
      <c r="D22" s="1747"/>
      <c r="E22" s="1748"/>
      <c r="F22" s="1198" t="s">
        <v>855</v>
      </c>
      <c r="G22" s="1282">
        <f>'P&amp;L'!D25</f>
        <v>0</v>
      </c>
      <c r="H22" s="1234">
        <f>'P&amp;L'!E25</f>
        <v>0</v>
      </c>
      <c r="L22" s="2557" t="s">
        <v>845</v>
      </c>
      <c r="M22" s="2557"/>
      <c r="N22" s="2557"/>
      <c r="O22" s="2557"/>
    </row>
    <row r="23" spans="1:15" s="1230" customFormat="1" ht="29.65" customHeight="1">
      <c r="A23" s="1199" t="s">
        <v>535</v>
      </c>
      <c r="B23" s="1746" t="str">
        <f t="shared" si="0"/>
        <v>Social insurance costs (524, 525, 526)</v>
      </c>
      <c r="C23" s="1747"/>
      <c r="D23" s="1747"/>
      <c r="E23" s="1748"/>
      <c r="F23" s="1198" t="s">
        <v>858</v>
      </c>
      <c r="G23" s="1282">
        <f>'P&amp;L'!D26</f>
        <v>297289</v>
      </c>
      <c r="H23" s="1234">
        <f>'P&amp;L'!E26</f>
        <v>266859</v>
      </c>
      <c r="L23" s="2557" t="s">
        <v>848</v>
      </c>
      <c r="M23" s="2557"/>
      <c r="N23" s="2557"/>
      <c r="O23" s="2557"/>
    </row>
    <row r="24" spans="1:15" s="1230" customFormat="1" ht="29.65" customHeight="1">
      <c r="A24" s="1199" t="s">
        <v>538</v>
      </c>
      <c r="B24" s="1746" t="str">
        <f t="shared" si="0"/>
        <v>Social security costs (527, 528)</v>
      </c>
      <c r="C24" s="1747"/>
      <c r="D24" s="1747"/>
      <c r="E24" s="1748"/>
      <c r="F24" s="1198" t="s">
        <v>861</v>
      </c>
      <c r="G24" s="1282">
        <f>'P&amp;L'!D27</f>
        <v>52296</v>
      </c>
      <c r="H24" s="1234">
        <f>'P&amp;L'!E27</f>
        <v>48994</v>
      </c>
      <c r="L24" s="2557" t="s">
        <v>851</v>
      </c>
      <c r="M24" s="2557"/>
      <c r="N24" s="2557"/>
      <c r="O24" s="2557"/>
    </row>
    <row r="25" spans="1:15" s="1230" customFormat="1" ht="29.65" customHeight="1">
      <c r="A25" s="1199" t="s">
        <v>862</v>
      </c>
      <c r="B25" s="1746" t="str">
        <f t="shared" si="0"/>
        <v>Indirect taxes and charges (acc. group 53)</v>
      </c>
      <c r="C25" s="1747"/>
      <c r="D25" s="1747"/>
      <c r="E25" s="1748"/>
      <c r="F25" s="1198" t="s">
        <v>864</v>
      </c>
      <c r="G25" s="1282">
        <f>'P&amp;L'!D28</f>
        <v>11548</v>
      </c>
      <c r="H25" s="1234">
        <f>'P&amp;L'!E28</f>
        <v>8670</v>
      </c>
      <c r="L25" s="2557" t="s">
        <v>854</v>
      </c>
      <c r="M25" s="2557"/>
      <c r="N25" s="2557"/>
      <c r="O25" s="2557"/>
    </row>
    <row r="26" spans="1:15" s="1230" customFormat="1" ht="32.25" customHeight="1">
      <c r="A26" s="1199" t="s">
        <v>865</v>
      </c>
      <c r="B26" s="1774" t="str">
        <f t="shared" si="0"/>
        <v>Depreciation of and provisions for non-current tangible and intangible assets (l. 22 + l. 23)</v>
      </c>
      <c r="C26" s="1775"/>
      <c r="D26" s="1775"/>
      <c r="E26" s="1776"/>
      <c r="F26" s="1198" t="s">
        <v>867</v>
      </c>
      <c r="G26" s="1282">
        <f>'P&amp;L'!D29</f>
        <v>429679</v>
      </c>
      <c r="H26" s="1234">
        <f>'P&amp;L'!E29</f>
        <v>406478</v>
      </c>
      <c r="L26" s="2557" t="s">
        <v>2708</v>
      </c>
      <c r="M26" s="2557"/>
      <c r="N26" s="2557"/>
      <c r="O26" s="2557"/>
    </row>
    <row r="27" spans="1:15" s="1230" customFormat="1" ht="29.65" customHeight="1">
      <c r="A27" s="1199" t="s">
        <v>2356</v>
      </c>
      <c r="B27" s="1746" t="str">
        <f t="shared" si="0"/>
        <v>Depreciation of non-current tangible and intangible assets (551)</v>
      </c>
      <c r="C27" s="1747"/>
      <c r="D27" s="1747"/>
      <c r="E27" s="1748"/>
      <c r="F27" s="1198" t="s">
        <v>870</v>
      </c>
      <c r="G27" s="1282">
        <f>'P&amp;L'!D30</f>
        <v>429679</v>
      </c>
      <c r="H27" s="1234">
        <f>'P&amp;L'!E30</f>
        <v>406478</v>
      </c>
      <c r="L27" s="2557" t="s">
        <v>2357</v>
      </c>
      <c r="M27" s="2557"/>
      <c r="N27" s="2557"/>
      <c r="O27" s="2557"/>
    </row>
    <row r="28" spans="1:15" s="1230" customFormat="1" ht="32.25" customHeight="1">
      <c r="A28" s="1199" t="s">
        <v>532</v>
      </c>
      <c r="B28" s="1774" t="str">
        <f t="shared" si="0"/>
        <v>Provisions for non-current tangible and intangible assets (+/-) (553)</v>
      </c>
      <c r="C28" s="1775"/>
      <c r="D28" s="1775"/>
      <c r="E28" s="1776"/>
      <c r="F28" s="1198" t="s">
        <v>873</v>
      </c>
      <c r="G28" s="1282">
        <f>'P&amp;L'!D31</f>
        <v>0</v>
      </c>
      <c r="H28" s="1234">
        <f>'P&amp;L'!E31</f>
        <v>0</v>
      </c>
      <c r="L28" s="2557" t="s">
        <v>2709</v>
      </c>
      <c r="M28" s="2557"/>
      <c r="N28" s="2557"/>
      <c r="O28" s="2557"/>
    </row>
    <row r="29" spans="1:15" s="1230" customFormat="1" ht="29.65" customHeight="1">
      <c r="A29" s="1199" t="s">
        <v>871</v>
      </c>
      <c r="B29" s="1746" t="str">
        <f t="shared" si="0"/>
        <v>Net book value of non-current assets and material sold (541, 542)</v>
      </c>
      <c r="C29" s="1747"/>
      <c r="D29" s="1747"/>
      <c r="E29" s="1748"/>
      <c r="F29" s="1198" t="s">
        <v>876</v>
      </c>
      <c r="G29" s="1282">
        <f>'P&amp;L'!D32</f>
        <v>0</v>
      </c>
      <c r="H29" s="1234">
        <f>'P&amp;L'!E32</f>
        <v>0</v>
      </c>
      <c r="L29" s="2557" t="s">
        <v>863</v>
      </c>
      <c r="M29" s="2557"/>
      <c r="N29" s="2557"/>
      <c r="O29" s="2557"/>
    </row>
    <row r="30" spans="1:15" s="1230" customFormat="1" ht="29.65" customHeight="1">
      <c r="A30" s="1199" t="s">
        <v>877</v>
      </c>
      <c r="B30" s="1746" t="str">
        <f t="shared" si="0"/>
        <v>Creation and release of provisions for receivables (+/-547)</v>
      </c>
      <c r="C30" s="1747"/>
      <c r="D30" s="1747"/>
      <c r="E30" s="1748"/>
      <c r="F30" s="1198" t="s">
        <v>879</v>
      </c>
      <c r="G30" s="1282">
        <f>'P&amp;L'!D33</f>
        <v>-535</v>
      </c>
      <c r="H30" s="1234">
        <f>'P&amp;L'!E33</f>
        <v>9730</v>
      </c>
      <c r="L30" s="2557" t="s">
        <v>2710</v>
      </c>
      <c r="M30" s="2557"/>
      <c r="N30" s="2557"/>
      <c r="O30" s="2557"/>
    </row>
    <row r="31" spans="1:15" s="1235" customFormat="1" ht="33.75" customHeight="1">
      <c r="A31" s="1199" t="s">
        <v>886</v>
      </c>
      <c r="B31" s="1774" t="str">
        <f t="shared" si="0"/>
        <v>Other operating expenses (543, 544, 545, 546, 548, 549, 555, 557)</v>
      </c>
      <c r="C31" s="1775"/>
      <c r="D31" s="1775"/>
      <c r="E31" s="1776"/>
      <c r="F31" s="1198" t="s">
        <v>882</v>
      </c>
      <c r="G31" s="1282">
        <f>'P&amp;L'!D34</f>
        <v>904028</v>
      </c>
      <c r="H31" s="1234">
        <f>'P&amp;L'!E34</f>
        <v>76816</v>
      </c>
      <c r="L31" s="2557" t="s">
        <v>872</v>
      </c>
      <c r="M31" s="2557"/>
      <c r="N31" s="2557"/>
      <c r="O31" s="2557"/>
    </row>
    <row r="32" spans="1:15" s="1230" customFormat="1" ht="29.65" customHeight="1">
      <c r="A32" s="1404" t="s">
        <v>973</v>
      </c>
      <c r="B32" s="1741" t="str">
        <f t="shared" si="0"/>
        <v>Profit or loss from operating activities (+/-) (l.02 - l. 10)</v>
      </c>
      <c r="C32" s="1742"/>
      <c r="D32" s="1742"/>
      <c r="E32" s="1743"/>
      <c r="F32" s="1196" t="s">
        <v>885</v>
      </c>
      <c r="G32" s="1279">
        <f>'P&amp;L'!D35</f>
        <v>526036</v>
      </c>
      <c r="H32" s="1233">
        <f>'P&amp;L'!E35</f>
        <v>200571</v>
      </c>
      <c r="L32" s="2557" t="s">
        <v>2359</v>
      </c>
      <c r="M32" s="2557"/>
      <c r="N32" s="2557"/>
      <c r="O32" s="2557"/>
    </row>
    <row r="33" spans="1:15" s="1230" customFormat="1" ht="2.25" customHeight="1" thickBot="1">
      <c r="A33" s="1219"/>
      <c r="B33" s="1219"/>
      <c r="C33" s="1219"/>
      <c r="D33" s="1219"/>
      <c r="E33" s="1219"/>
      <c r="F33" s="1271"/>
      <c r="G33" s="1224"/>
      <c r="H33" s="1414"/>
      <c r="L33" s="1421"/>
    </row>
    <row r="34" spans="1:15" s="1230" customFormat="1" ht="11.25" customHeight="1">
      <c r="A34" s="1226"/>
      <c r="B34" s="1227"/>
      <c r="C34" s="1266"/>
      <c r="D34" s="1266"/>
      <c r="E34" s="1228"/>
      <c r="F34" s="1229"/>
      <c r="G34" s="1662" t="s">
        <v>1526</v>
      </c>
      <c r="H34" s="1773"/>
      <c r="I34" s="1273"/>
      <c r="L34" s="1421"/>
    </row>
    <row r="35" spans="1:15" s="1230" customFormat="1" ht="33.75" customHeight="1">
      <c r="A35" s="1283" t="s">
        <v>1446</v>
      </c>
      <c r="B35" s="1649" t="s">
        <v>1298</v>
      </c>
      <c r="C35" s="1767"/>
      <c r="D35" s="1767"/>
      <c r="E35" s="1278"/>
      <c r="F35" s="1280" t="s">
        <v>1527</v>
      </c>
      <c r="G35" s="1281" t="s">
        <v>1528</v>
      </c>
      <c r="H35" s="1232" t="s">
        <v>1529</v>
      </c>
      <c r="L35" s="1421"/>
    </row>
    <row r="36" spans="1:15" ht="24.75" customHeight="1">
      <c r="A36" s="1236" t="s">
        <v>880</v>
      </c>
      <c r="B36" s="1741" t="str">
        <f t="shared" ref="B36" si="1">L36</f>
        <v>Added value (l. 03 + l. 04 + l. 05 + l. 06 + l. 07) - (l.11 + l. 12 +l. 13 + l. 14)</v>
      </c>
      <c r="C36" s="1742"/>
      <c r="D36" s="1742"/>
      <c r="E36" s="1743"/>
      <c r="F36" s="1286" t="s">
        <v>888</v>
      </c>
      <c r="G36" s="1279">
        <f>'P&amp;L'!D36</f>
        <v>2215257</v>
      </c>
      <c r="H36" s="1233">
        <f>'P&amp;L'!E36</f>
        <v>1721905</v>
      </c>
      <c r="L36" s="2557" t="s">
        <v>2360</v>
      </c>
      <c r="M36" s="2557"/>
      <c r="N36" s="2557"/>
      <c r="O36" s="2557"/>
    </row>
    <row r="37" spans="1:15" ht="31" customHeight="1">
      <c r="A37" s="1236" t="s">
        <v>942</v>
      </c>
      <c r="B37" s="1780" t="str">
        <f t="shared" ref="B37:B62" si="2">L37</f>
        <v>Revenues from financial activities l.30 + l. 31 + l. 35 + l. 39 + l. 42 + l. 43 + l. 44</v>
      </c>
      <c r="C37" s="1781"/>
      <c r="D37" s="1781"/>
      <c r="E37" s="1782"/>
      <c r="F37" s="1286" t="s">
        <v>891</v>
      </c>
      <c r="G37" s="1279">
        <f>'P&amp;L'!D37</f>
        <v>26683</v>
      </c>
      <c r="H37" s="1233">
        <f>'P&amp;L'!E37</f>
        <v>46176</v>
      </c>
      <c r="L37" s="2557" t="s">
        <v>2361</v>
      </c>
      <c r="M37" s="2557"/>
      <c r="N37" s="2557"/>
      <c r="O37" s="2557"/>
    </row>
    <row r="38" spans="1:15" ht="36.75" customHeight="1">
      <c r="A38" s="1199" t="s">
        <v>2362</v>
      </c>
      <c r="B38" s="1746" t="str">
        <f t="shared" si="2"/>
        <v>Revenues from sale of securities and ownership interests (661)</v>
      </c>
      <c r="C38" s="1747"/>
      <c r="D38" s="1747"/>
      <c r="E38" s="1748"/>
      <c r="F38" s="1198" t="s">
        <v>894</v>
      </c>
      <c r="G38" s="1282">
        <f>'P&amp;L'!D38</f>
        <v>0</v>
      </c>
      <c r="H38" s="1234">
        <f>'P&amp;L'!E38</f>
        <v>0</v>
      </c>
      <c r="L38" s="2557" t="s">
        <v>884</v>
      </c>
      <c r="M38" s="2557"/>
      <c r="N38" s="2557"/>
      <c r="O38" s="2557"/>
    </row>
    <row r="39" spans="1:15" ht="31" customHeight="1">
      <c r="A39" s="1199" t="s">
        <v>2363</v>
      </c>
      <c r="B39" s="1746" t="str">
        <f t="shared" si="2"/>
        <v>Revenues from non-current financial assets (l. 32 to l. 34)</v>
      </c>
      <c r="C39" s="1747"/>
      <c r="D39" s="1747"/>
      <c r="E39" s="1748"/>
      <c r="F39" s="1198" t="s">
        <v>897</v>
      </c>
      <c r="G39" s="1282">
        <f>'P&amp;L'!D39</f>
        <v>0</v>
      </c>
      <c r="H39" s="1234">
        <f>'P&amp;L'!E39</f>
        <v>0</v>
      </c>
      <c r="L39" s="2557" t="s">
        <v>2364</v>
      </c>
      <c r="M39" s="2557"/>
      <c r="N39" s="2557"/>
      <c r="O39" s="2557"/>
    </row>
    <row r="40" spans="1:15" ht="30" customHeight="1">
      <c r="A40" s="1199" t="s">
        <v>2365</v>
      </c>
      <c r="B40" s="1746" t="str">
        <f t="shared" si="2"/>
        <v>Income from investments in connected entities (665A)</v>
      </c>
      <c r="C40" s="1747"/>
      <c r="D40" s="1747"/>
      <c r="E40" s="1748"/>
      <c r="F40" s="1198" t="s">
        <v>900</v>
      </c>
      <c r="G40" s="1282">
        <f>'P&amp;L'!D40</f>
        <v>0</v>
      </c>
      <c r="H40" s="1234">
        <f>'P&amp;L'!E40</f>
        <v>0</v>
      </c>
      <c r="L40" s="2557" t="s">
        <v>2668</v>
      </c>
      <c r="M40" s="2557"/>
      <c r="N40" s="2557"/>
      <c r="O40" s="2557"/>
    </row>
    <row r="41" spans="1:15" ht="33.75" customHeight="1">
      <c r="A41" s="1199" t="s">
        <v>532</v>
      </c>
      <c r="B41" s="1746" t="str">
        <f t="shared" si="2"/>
        <v>Income from investments in group except for connected entities (665A)</v>
      </c>
      <c r="C41" s="1747"/>
      <c r="D41" s="1747"/>
      <c r="E41" s="1748"/>
      <c r="F41" s="1198" t="s">
        <v>903</v>
      </c>
      <c r="G41" s="1282">
        <f>'P&amp;L'!D41</f>
        <v>0</v>
      </c>
      <c r="H41" s="1234">
        <f>'P&amp;L'!E41</f>
        <v>0</v>
      </c>
      <c r="L41" s="2557" t="s">
        <v>2669</v>
      </c>
      <c r="M41" s="2557"/>
      <c r="N41" s="2557"/>
      <c r="O41" s="2557"/>
    </row>
    <row r="42" spans="1:15" ht="22.5" customHeight="1">
      <c r="A42" s="1199" t="s">
        <v>535</v>
      </c>
      <c r="B42" s="1746" t="str">
        <f t="shared" si="2"/>
        <v>Income from other long-term securities and ownership interest (665A)</v>
      </c>
      <c r="C42" s="1747"/>
      <c r="D42" s="1747"/>
      <c r="E42" s="1748"/>
      <c r="F42" s="1198" t="s">
        <v>906</v>
      </c>
      <c r="G42" s="1282">
        <f>'P&amp;L'!D42</f>
        <v>0</v>
      </c>
      <c r="H42" s="1234">
        <f>'P&amp;L'!E42</f>
        <v>0</v>
      </c>
      <c r="L42" s="2557" t="s">
        <v>896</v>
      </c>
      <c r="M42" s="2557"/>
      <c r="N42" s="2557"/>
      <c r="O42" s="2557"/>
    </row>
    <row r="43" spans="1:15" ht="31" customHeight="1">
      <c r="A43" s="1199" t="s">
        <v>2366</v>
      </c>
      <c r="B43" s="1746" t="str">
        <f t="shared" si="2"/>
        <v>Income from short-term financial assets (l. 36 to l. 38)</v>
      </c>
      <c r="C43" s="1747"/>
      <c r="D43" s="1747"/>
      <c r="E43" s="1748"/>
      <c r="F43" s="1198" t="s">
        <v>909</v>
      </c>
      <c r="G43" s="1282">
        <f>'P&amp;L'!D43</f>
        <v>0</v>
      </c>
      <c r="H43" s="1234">
        <f>'P&amp;L'!E43</f>
        <v>0</v>
      </c>
      <c r="L43" s="2557" t="s">
        <v>2367</v>
      </c>
      <c r="M43" s="2557"/>
      <c r="N43" s="2557"/>
      <c r="O43" s="2557"/>
    </row>
    <row r="44" spans="1:15" ht="30" customHeight="1">
      <c r="A44" s="1199" t="s">
        <v>2368</v>
      </c>
      <c r="B44" s="1746" t="str">
        <f t="shared" si="2"/>
        <v>Income from investments in connected entities (666A)</v>
      </c>
      <c r="C44" s="1747"/>
      <c r="D44" s="1747"/>
      <c r="E44" s="1748"/>
      <c r="F44" s="1198" t="s">
        <v>912</v>
      </c>
      <c r="G44" s="1282">
        <f>'P&amp;L'!D44</f>
        <v>0</v>
      </c>
      <c r="H44" s="1234">
        <f>'P&amp;L'!E44</f>
        <v>0</v>
      </c>
      <c r="L44" s="2557" t="s">
        <v>2670</v>
      </c>
      <c r="M44" s="2557"/>
      <c r="N44" s="2557"/>
      <c r="O44" s="2557"/>
    </row>
    <row r="45" spans="1:15" ht="32.25" customHeight="1">
      <c r="A45" s="1199" t="s">
        <v>532</v>
      </c>
      <c r="B45" s="1746" t="str">
        <f t="shared" si="2"/>
        <v>Income from investments in group except for connected entities (666A)</v>
      </c>
      <c r="C45" s="1747"/>
      <c r="D45" s="1747"/>
      <c r="E45" s="1748"/>
      <c r="F45" s="1198" t="s">
        <v>915</v>
      </c>
      <c r="G45" s="1282">
        <f>'P&amp;L'!D45</f>
        <v>0</v>
      </c>
      <c r="H45" s="1234">
        <f>'P&amp;L'!E45</f>
        <v>0</v>
      </c>
      <c r="L45" s="2557" t="s">
        <v>2671</v>
      </c>
      <c r="M45" s="2557"/>
      <c r="N45" s="2557"/>
      <c r="O45" s="2557"/>
    </row>
    <row r="46" spans="1:15" ht="24" customHeight="1">
      <c r="A46" s="1199" t="s">
        <v>535</v>
      </c>
      <c r="B46" s="1746" t="str">
        <f t="shared" si="2"/>
        <v>Income from other current financial assets (666A)</v>
      </c>
      <c r="C46" s="1747"/>
      <c r="D46" s="1747"/>
      <c r="E46" s="1748"/>
      <c r="F46" s="1198" t="s">
        <v>918</v>
      </c>
      <c r="G46" s="1282">
        <f>'P&amp;L'!D46</f>
        <v>0</v>
      </c>
      <c r="H46" s="1234">
        <f>'P&amp;L'!E46</f>
        <v>0</v>
      </c>
      <c r="L46" s="2557" t="s">
        <v>2369</v>
      </c>
      <c r="M46" s="2557"/>
      <c r="N46" s="2557"/>
      <c r="O46" s="2557"/>
    </row>
    <row r="47" spans="1:15" ht="26.25" customHeight="1">
      <c r="A47" s="1199" t="s">
        <v>2370</v>
      </c>
      <c r="B47" s="1746" t="str">
        <f t="shared" si="2"/>
        <v>Interest income (l. 40 + l. 41)</v>
      </c>
      <c r="C47" s="1747"/>
      <c r="D47" s="1747"/>
      <c r="E47" s="1748"/>
      <c r="F47" s="1198" t="s">
        <v>921</v>
      </c>
      <c r="G47" s="1282">
        <f>'P&amp;L'!D47</f>
        <v>2</v>
      </c>
      <c r="H47" s="1234">
        <f>'P&amp;L'!E47</f>
        <v>0</v>
      </c>
      <c r="L47" s="2557" t="s">
        <v>2371</v>
      </c>
      <c r="M47" s="2557"/>
      <c r="N47" s="2557"/>
      <c r="O47" s="2557"/>
    </row>
    <row r="48" spans="1:15" ht="24.75" customHeight="1">
      <c r="A48" s="1199" t="s">
        <v>2372</v>
      </c>
      <c r="B48" s="1746" t="str">
        <f t="shared" si="2"/>
        <v>Interest income from from connected entities (662A)</v>
      </c>
      <c r="C48" s="1747"/>
      <c r="D48" s="1747"/>
      <c r="E48" s="1748"/>
      <c r="F48" s="1198" t="s">
        <v>924</v>
      </c>
      <c r="G48" s="1282">
        <f>'P&amp;L'!D48</f>
        <v>0</v>
      </c>
      <c r="H48" s="1234">
        <f>'P&amp;L'!E48</f>
        <v>0</v>
      </c>
      <c r="L48" s="2557" t="s">
        <v>2672</v>
      </c>
      <c r="M48" s="2557"/>
      <c r="N48" s="2557"/>
      <c r="O48" s="2557"/>
    </row>
    <row r="49" spans="1:15" ht="27.25" customHeight="1">
      <c r="A49" s="1199" t="s">
        <v>532</v>
      </c>
      <c r="B49" s="1746" t="str">
        <f t="shared" si="2"/>
        <v>Other interest income (662A)</v>
      </c>
      <c r="C49" s="1747"/>
      <c r="D49" s="1747"/>
      <c r="E49" s="1748"/>
      <c r="F49" s="1198" t="s">
        <v>927</v>
      </c>
      <c r="G49" s="1282">
        <f>'P&amp;L'!D49</f>
        <v>2</v>
      </c>
      <c r="H49" s="1234">
        <f>'P&amp;L'!E49</f>
        <v>0</v>
      </c>
      <c r="L49" s="2557" t="s">
        <v>2373</v>
      </c>
      <c r="M49" s="2557"/>
      <c r="N49" s="2557"/>
      <c r="O49" s="2557"/>
    </row>
    <row r="50" spans="1:15" ht="29.25" customHeight="1">
      <c r="A50" s="1199" t="s">
        <v>2374</v>
      </c>
      <c r="B50" s="1746" t="str">
        <f t="shared" si="2"/>
        <v>Foreign exchange gains (663)</v>
      </c>
      <c r="C50" s="1747"/>
      <c r="D50" s="1747"/>
      <c r="E50" s="1748"/>
      <c r="F50" s="1198" t="s">
        <v>930</v>
      </c>
      <c r="G50" s="1282">
        <f>'P&amp;L'!D50</f>
        <v>26681</v>
      </c>
      <c r="H50" s="1234">
        <f>'P&amp;L'!E50</f>
        <v>46176</v>
      </c>
      <c r="L50" s="2557" t="s">
        <v>923</v>
      </c>
      <c r="M50" s="2557"/>
      <c r="N50" s="2557"/>
      <c r="O50" s="2557"/>
    </row>
    <row r="51" spans="1:15" ht="27.75" customHeight="1">
      <c r="A51" s="1199" t="s">
        <v>2375</v>
      </c>
      <c r="B51" s="1746" t="str">
        <f t="shared" si="2"/>
        <v>Income from revaluation of securities and income from transactions with derivatives  (664, 667)</v>
      </c>
      <c r="C51" s="1747"/>
      <c r="D51" s="1747"/>
      <c r="E51" s="1748"/>
      <c r="F51" s="1198" t="s">
        <v>933</v>
      </c>
      <c r="G51" s="1282">
        <f>'P&amp;L'!D51</f>
        <v>0</v>
      </c>
      <c r="H51" s="1234">
        <f>'P&amp;L'!E51</f>
        <v>0</v>
      </c>
      <c r="L51" s="2557" t="s">
        <v>908</v>
      </c>
      <c r="M51" s="2557"/>
      <c r="N51" s="2557"/>
      <c r="O51" s="2557"/>
    </row>
    <row r="52" spans="1:15" ht="27.75" customHeight="1">
      <c r="A52" s="1199" t="s">
        <v>2376</v>
      </c>
      <c r="B52" s="1746" t="str">
        <f t="shared" si="2"/>
        <v>Other financial revenue (668)</v>
      </c>
      <c r="C52" s="1747"/>
      <c r="D52" s="1747"/>
      <c r="E52" s="1748"/>
      <c r="F52" s="1198" t="s">
        <v>936</v>
      </c>
      <c r="G52" s="1282">
        <f>'P&amp;L'!D52</f>
        <v>0</v>
      </c>
      <c r="H52" s="1234">
        <f>'P&amp;L'!E52</f>
        <v>0</v>
      </c>
      <c r="L52" s="2557" t="s">
        <v>929</v>
      </c>
      <c r="M52" s="2557"/>
      <c r="N52" s="2557"/>
      <c r="O52" s="2557"/>
    </row>
    <row r="53" spans="1:15" ht="27.75" customHeight="1">
      <c r="A53" s="1200" t="s">
        <v>942</v>
      </c>
      <c r="B53" s="1741" t="str">
        <f t="shared" si="2"/>
        <v>Financial expenses total (l. 46 + l. 47 + l. 48 + l. 49 + l. 52 + l. 53 + l. 54)</v>
      </c>
      <c r="C53" s="1742"/>
      <c r="D53" s="1742"/>
      <c r="E53" s="1743"/>
      <c r="F53" s="1196" t="s">
        <v>939</v>
      </c>
      <c r="G53" s="1279">
        <f>'P&amp;L'!D53</f>
        <v>55608</v>
      </c>
      <c r="H53" s="1233">
        <f>'P&amp;L'!E53</f>
        <v>33910</v>
      </c>
      <c r="L53" s="2557" t="s">
        <v>2377</v>
      </c>
      <c r="M53" s="2557"/>
      <c r="N53" s="2557"/>
      <c r="O53" s="2557"/>
    </row>
    <row r="54" spans="1:15" s="1240" customFormat="1" ht="44.25" customHeight="1">
      <c r="A54" s="1239" t="s">
        <v>904</v>
      </c>
      <c r="B54" s="1786" t="str">
        <f t="shared" si="2"/>
        <v>Book value of securities and ownership interest sold (561)</v>
      </c>
      <c r="C54" s="1787"/>
      <c r="D54" s="1787"/>
      <c r="E54" s="1788"/>
      <c r="F54" s="1198" t="s">
        <v>941</v>
      </c>
      <c r="G54" s="1282">
        <f>'P&amp;L'!D54</f>
        <v>0</v>
      </c>
      <c r="H54" s="1234">
        <f>'P&amp;L'!E54</f>
        <v>0</v>
      </c>
      <c r="L54" s="2557" t="s">
        <v>887</v>
      </c>
      <c r="M54" s="2557"/>
      <c r="N54" s="2557"/>
      <c r="O54" s="2557"/>
    </row>
    <row r="55" spans="1:15" s="1240" customFormat="1" ht="29.25" customHeight="1">
      <c r="A55" s="1239" t="s">
        <v>910</v>
      </c>
      <c r="B55" s="1777" t="str">
        <f t="shared" si="2"/>
        <v>Costs of short-term financial assets (566)</v>
      </c>
      <c r="C55" s="1778"/>
      <c r="D55" s="1778"/>
      <c r="E55" s="1779"/>
      <c r="F55" s="1198" t="s">
        <v>944</v>
      </c>
      <c r="G55" s="1282">
        <f>'P&amp;L'!D55</f>
        <v>0</v>
      </c>
      <c r="H55" s="1234">
        <f>'P&amp;L'!E55</f>
        <v>0</v>
      </c>
      <c r="L55" s="2557" t="s">
        <v>905</v>
      </c>
      <c r="M55" s="2557"/>
      <c r="N55" s="2557"/>
      <c r="O55" s="2557"/>
    </row>
    <row r="56" spans="1:15" ht="31" customHeight="1">
      <c r="A56" s="1199" t="s">
        <v>913</v>
      </c>
      <c r="B56" s="1746" t="str">
        <f t="shared" si="2"/>
        <v>Creation and release of provisions for financial assets (+/-) (565)</v>
      </c>
      <c r="C56" s="1747"/>
      <c r="D56" s="1747"/>
      <c r="E56" s="1748"/>
      <c r="F56" s="1198" t="s">
        <v>947</v>
      </c>
      <c r="G56" s="1282">
        <f>'P&amp;L'!D56</f>
        <v>0</v>
      </c>
      <c r="H56" s="1234">
        <f>'P&amp;L'!E56</f>
        <v>0</v>
      </c>
      <c r="L56" s="2557" t="s">
        <v>2711</v>
      </c>
      <c r="M56" s="2557"/>
      <c r="N56" s="2557"/>
      <c r="O56" s="2557"/>
    </row>
    <row r="57" spans="1:15" ht="28.5" customHeight="1">
      <c r="A57" s="1241" t="s">
        <v>919</v>
      </c>
      <c r="B57" s="1746" t="str">
        <f t="shared" si="2"/>
        <v>Interest expense (l. 50 + l. 51)</v>
      </c>
      <c r="C57" s="1747"/>
      <c r="D57" s="1747"/>
      <c r="E57" s="1748"/>
      <c r="F57" s="1198" t="s">
        <v>950</v>
      </c>
      <c r="G57" s="1282">
        <f>'P&amp;L'!D57</f>
        <v>0</v>
      </c>
      <c r="H57" s="1234">
        <f>'P&amp;L'!E57</f>
        <v>0</v>
      </c>
      <c r="L57" s="2557" t="s">
        <v>2379</v>
      </c>
      <c r="M57" s="2557"/>
      <c r="N57" s="2557"/>
      <c r="O57" s="2557"/>
    </row>
    <row r="58" spans="1:15" ht="28.5" customHeight="1">
      <c r="A58" s="1199" t="s">
        <v>2380</v>
      </c>
      <c r="B58" s="1746" t="str">
        <f t="shared" si="2"/>
        <v>Interest expense to connected entities (562A)</v>
      </c>
      <c r="C58" s="1747"/>
      <c r="D58" s="1747"/>
      <c r="E58" s="1748"/>
      <c r="F58" s="1198" t="s">
        <v>952</v>
      </c>
      <c r="G58" s="1282">
        <f>'P&amp;L'!D58</f>
        <v>0</v>
      </c>
      <c r="H58" s="1234">
        <f>'P&amp;L'!E58</f>
        <v>0</v>
      </c>
      <c r="L58" s="2557" t="s">
        <v>2673</v>
      </c>
      <c r="M58" s="2557"/>
      <c r="N58" s="2557"/>
      <c r="O58" s="2557"/>
    </row>
    <row r="59" spans="1:15" s="1240" customFormat="1" ht="31.5" customHeight="1">
      <c r="A59" s="1239" t="s">
        <v>532</v>
      </c>
      <c r="B59" s="1777" t="str">
        <f t="shared" si="2"/>
        <v>Other interest expense (562A)</v>
      </c>
      <c r="C59" s="1778"/>
      <c r="D59" s="1778"/>
      <c r="E59" s="1779"/>
      <c r="F59" s="1198" t="s">
        <v>954</v>
      </c>
      <c r="G59" s="1282">
        <f>'P&amp;L'!D59</f>
        <v>0</v>
      </c>
      <c r="H59" s="1234">
        <f>'P&amp;L'!E59</f>
        <v>0</v>
      </c>
      <c r="L59" s="2557" t="s">
        <v>2381</v>
      </c>
      <c r="M59" s="2557"/>
      <c r="N59" s="2557"/>
      <c r="O59" s="2557"/>
    </row>
    <row r="60" spans="1:15" ht="29.25" customHeight="1">
      <c r="A60" s="1199" t="s">
        <v>925</v>
      </c>
      <c r="B60" s="1746" t="str">
        <f t="shared" si="2"/>
        <v>Foreign exchange losses (563)</v>
      </c>
      <c r="C60" s="1747"/>
      <c r="D60" s="1747"/>
      <c r="E60" s="1748"/>
      <c r="F60" s="1198" t="s">
        <v>957</v>
      </c>
      <c r="G60" s="1282">
        <f>'P&amp;L'!D60</f>
        <v>47236</v>
      </c>
      <c r="H60" s="1234">
        <f>'P&amp;L'!E60</f>
        <v>28482</v>
      </c>
      <c r="L60" s="2557" t="s">
        <v>926</v>
      </c>
      <c r="M60" s="2557"/>
      <c r="N60" s="2557"/>
      <c r="O60" s="2557"/>
    </row>
    <row r="61" spans="1:15" ht="28.5" customHeight="1">
      <c r="A61" s="1199" t="s">
        <v>931</v>
      </c>
      <c r="B61" s="1746" t="str">
        <f t="shared" si="2"/>
        <v>Expenses for revaluation of securities and expenses for transactions with derivatives  (564, 567)</v>
      </c>
      <c r="C61" s="1747"/>
      <c r="D61" s="1747"/>
      <c r="E61" s="1748"/>
      <c r="F61" s="1198" t="s">
        <v>960</v>
      </c>
      <c r="G61" s="1282">
        <f>'P&amp;L'!D61</f>
        <v>0</v>
      </c>
      <c r="H61" s="1234">
        <f>'P&amp;L'!E61</f>
        <v>0</v>
      </c>
      <c r="L61" s="2557" t="s">
        <v>911</v>
      </c>
      <c r="M61" s="2557"/>
      <c r="N61" s="2557"/>
      <c r="O61" s="2557"/>
    </row>
    <row r="62" spans="1:15" ht="31" customHeight="1">
      <c r="A62" s="1199" t="s">
        <v>2382</v>
      </c>
      <c r="B62" s="1746" t="str">
        <f t="shared" si="2"/>
        <v>Other financial expenses (568, 569)</v>
      </c>
      <c r="C62" s="1747"/>
      <c r="D62" s="1747"/>
      <c r="E62" s="1748"/>
      <c r="F62" s="1198" t="s">
        <v>962</v>
      </c>
      <c r="G62" s="1282">
        <f>'P&amp;L'!D62</f>
        <v>8372</v>
      </c>
      <c r="H62" s="1234">
        <f>'P&amp;L'!E62</f>
        <v>5428</v>
      </c>
      <c r="L62" s="2557" t="s">
        <v>932</v>
      </c>
      <c r="M62" s="2557"/>
      <c r="N62" s="2557"/>
      <c r="O62" s="2557"/>
    </row>
    <row r="63" spans="1:15" ht="2.25" customHeight="1" thickBot="1">
      <c r="A63" s="1272"/>
      <c r="B63" s="1191"/>
      <c r="C63" s="1191"/>
      <c r="D63" s="1191"/>
      <c r="E63" s="1191"/>
      <c r="F63" s="1192"/>
      <c r="G63" s="1287"/>
      <c r="H63" s="1287"/>
      <c r="L63" s="1421"/>
    </row>
    <row r="64" spans="1:15" ht="11.25" customHeight="1">
      <c r="A64" s="1226"/>
      <c r="B64" s="1227"/>
      <c r="C64" s="1266"/>
      <c r="D64" s="1266"/>
      <c r="E64" s="1228"/>
      <c r="F64" s="1229"/>
      <c r="G64" s="1662" t="s">
        <v>1526</v>
      </c>
      <c r="H64" s="1773"/>
      <c r="L64" s="1421"/>
    </row>
    <row r="65" spans="1:15" ht="33.75" customHeight="1">
      <c r="A65" s="1283" t="s">
        <v>1446</v>
      </c>
      <c r="B65" s="1649" t="s">
        <v>1298</v>
      </c>
      <c r="C65" s="1767"/>
      <c r="D65" s="1767"/>
      <c r="E65" s="1278"/>
      <c r="F65" s="1280" t="s">
        <v>1527</v>
      </c>
      <c r="G65" s="1281" t="s">
        <v>1528</v>
      </c>
      <c r="H65" s="1232" t="s">
        <v>1529</v>
      </c>
      <c r="L65" s="1421"/>
    </row>
    <row r="66" spans="1:15" ht="27.75" customHeight="1">
      <c r="A66" s="1236" t="s">
        <v>973</v>
      </c>
      <c r="B66" s="1741" t="str">
        <f t="shared" ref="B66" si="3">L66</f>
        <v>Profit/(loss) from financial activities (+/-) (l. 29 - l. 45)</v>
      </c>
      <c r="C66" s="1742"/>
      <c r="D66" s="1742"/>
      <c r="E66" s="1743"/>
      <c r="F66" s="1286" t="s">
        <v>965</v>
      </c>
      <c r="G66" s="1279">
        <f>'P&amp;L'!D63</f>
        <v>-28925</v>
      </c>
      <c r="H66" s="1233">
        <f>'P&amp;L'!E63</f>
        <v>12266</v>
      </c>
      <c r="L66" s="2557" t="s">
        <v>2383</v>
      </c>
      <c r="M66" s="2557"/>
      <c r="N66" s="2557"/>
      <c r="O66" s="2557"/>
    </row>
    <row r="67" spans="1:15" ht="27.75" customHeight="1">
      <c r="A67" s="1242" t="s">
        <v>2384</v>
      </c>
      <c r="B67" s="1741" t="str">
        <f t="shared" ref="B67:B72" si="4">L67</f>
        <v>Profit/(loss) for the period before tax (+/-) (l. 27 + l. 55)</v>
      </c>
      <c r="C67" s="1742"/>
      <c r="D67" s="1742"/>
      <c r="E67" s="1743"/>
      <c r="F67" s="1196" t="s">
        <v>968</v>
      </c>
      <c r="G67" s="1279">
        <f>'P&amp;L'!D64</f>
        <v>497111</v>
      </c>
      <c r="H67" s="1233">
        <f>'P&amp;L'!E64</f>
        <v>212837</v>
      </c>
      <c r="L67" s="2557" t="s">
        <v>2385</v>
      </c>
      <c r="M67" s="2557"/>
      <c r="N67" s="2557"/>
      <c r="O67" s="2557"/>
    </row>
    <row r="68" spans="1:15" ht="27.75" customHeight="1">
      <c r="A68" s="1199" t="s">
        <v>2386</v>
      </c>
      <c r="B68" s="1746" t="str">
        <f t="shared" si="4"/>
        <v>Tax on income (l. 58 + l. 59)</v>
      </c>
      <c r="C68" s="1747"/>
      <c r="D68" s="1747"/>
      <c r="E68" s="1748"/>
      <c r="F68" s="1198" t="s">
        <v>970</v>
      </c>
      <c r="G68" s="1282">
        <f>'P&amp;L'!D65</f>
        <v>104677</v>
      </c>
      <c r="H68" s="1234">
        <f>'P&amp;L'!E65</f>
        <v>53262</v>
      </c>
      <c r="L68" s="2557" t="s">
        <v>2387</v>
      </c>
      <c r="M68" s="2557"/>
      <c r="N68" s="2557"/>
      <c r="O68" s="2557"/>
    </row>
    <row r="69" spans="1:15" s="1240" customFormat="1" ht="27.75" customHeight="1">
      <c r="A69" s="1243" t="s">
        <v>2388</v>
      </c>
      <c r="B69" s="1746" t="str">
        <f t="shared" si="4"/>
        <v>- due  (591, 595)</v>
      </c>
      <c r="C69" s="1747"/>
      <c r="D69" s="1747"/>
      <c r="E69" s="1748"/>
      <c r="F69" s="1285" t="s">
        <v>972</v>
      </c>
      <c r="G69" s="1282">
        <f>'P&amp;L'!D66</f>
        <v>188721</v>
      </c>
      <c r="H69" s="1234">
        <f>'P&amp;L'!E66</f>
        <v>125102</v>
      </c>
      <c r="L69" s="2557" t="s">
        <v>949</v>
      </c>
      <c r="M69" s="2557"/>
      <c r="N69" s="2557"/>
      <c r="O69" s="2557"/>
    </row>
    <row r="70" spans="1:15" s="1240" customFormat="1" ht="27.75" customHeight="1">
      <c r="A70" s="1199" t="s">
        <v>532</v>
      </c>
      <c r="B70" s="1746" t="str">
        <f t="shared" si="4"/>
        <v>- deferred (+/-) (592)</v>
      </c>
      <c r="C70" s="1747"/>
      <c r="D70" s="1747"/>
      <c r="E70" s="1748"/>
      <c r="F70" s="1198" t="s">
        <v>975</v>
      </c>
      <c r="G70" s="1282">
        <f>'P&amp;L'!D67</f>
        <v>-84044</v>
      </c>
      <c r="H70" s="1234">
        <f>'P&amp;L'!E67</f>
        <v>-71840</v>
      </c>
      <c r="L70" s="2557" t="s">
        <v>2389</v>
      </c>
      <c r="M70" s="2557"/>
      <c r="N70" s="2557"/>
      <c r="O70" s="2557"/>
    </row>
    <row r="71" spans="1:15" ht="27.75" customHeight="1">
      <c r="A71" s="1199" t="s">
        <v>945</v>
      </c>
      <c r="B71" s="1746" t="str">
        <f t="shared" si="4"/>
        <v>Profit/(loss) share transferred to owners' account (+/- 596)</v>
      </c>
      <c r="C71" s="1747"/>
      <c r="D71" s="1747"/>
      <c r="E71" s="1748"/>
      <c r="F71" s="1198" t="s">
        <v>978</v>
      </c>
      <c r="G71" s="1282">
        <f>'P&amp;L'!D68</f>
        <v>0</v>
      </c>
      <c r="H71" s="1234">
        <f>'P&amp;L'!E68</f>
        <v>0</v>
      </c>
      <c r="L71" s="2557" t="s">
        <v>2390</v>
      </c>
      <c r="M71" s="2557"/>
      <c r="N71" s="2557"/>
      <c r="O71" s="2557"/>
    </row>
    <row r="72" spans="1:15" s="1240" customFormat="1" ht="33" customHeight="1">
      <c r="A72" s="1404" t="s">
        <v>2384</v>
      </c>
      <c r="B72" s="1741" t="str">
        <f t="shared" si="4"/>
        <v xml:space="preserve">Net profit/(loss) for the period after tax  (+/-) (l. 56 - l. 57 - l. 60)           </v>
      </c>
      <c r="C72" s="1742"/>
      <c r="D72" s="1742"/>
      <c r="E72" s="1743"/>
      <c r="F72" s="1196" t="s">
        <v>980</v>
      </c>
      <c r="G72" s="1279">
        <f>'P&amp;L'!D69</f>
        <v>392434</v>
      </c>
      <c r="H72" s="1233">
        <f>'P&amp;L'!E69</f>
        <v>159575</v>
      </c>
      <c r="L72" s="2557" t="s">
        <v>2391</v>
      </c>
      <c r="M72" s="2557"/>
      <c r="N72" s="2557"/>
      <c r="O72" s="2557"/>
    </row>
    <row r="73" spans="1:15">
      <c r="L73" s="2557"/>
      <c r="M73" s="2557"/>
      <c r="N73" s="2557"/>
      <c r="O73" s="2557"/>
    </row>
    <row r="74" spans="1:15">
      <c r="L74" s="2557"/>
      <c r="M74" s="2557"/>
      <c r="N74" s="2557"/>
      <c r="O74" s="2557"/>
    </row>
  </sheetData>
  <mergeCells count="130">
    <mergeCell ref="L72:O72"/>
    <mergeCell ref="L73:O73"/>
    <mergeCell ref="L74:O74"/>
    <mergeCell ref="L67:O67"/>
    <mergeCell ref="L68:O68"/>
    <mergeCell ref="L69:O69"/>
    <mergeCell ref="L70:O70"/>
    <mergeCell ref="L71:O71"/>
    <mergeCell ref="L59:O59"/>
    <mergeCell ref="L60:O60"/>
    <mergeCell ref="L61:O61"/>
    <mergeCell ref="L62:O62"/>
    <mergeCell ref="L66:O66"/>
    <mergeCell ref="L54:O54"/>
    <mergeCell ref="L55:O55"/>
    <mergeCell ref="L56:O56"/>
    <mergeCell ref="L57:O57"/>
    <mergeCell ref="L58:O58"/>
    <mergeCell ref="L49:O49"/>
    <mergeCell ref="L50:O50"/>
    <mergeCell ref="L51:O51"/>
    <mergeCell ref="L52:O52"/>
    <mergeCell ref="L53:O53"/>
    <mergeCell ref="L44:O44"/>
    <mergeCell ref="L45:O45"/>
    <mergeCell ref="L46:O46"/>
    <mergeCell ref="L47:O47"/>
    <mergeCell ref="L48:O48"/>
    <mergeCell ref="L39:O39"/>
    <mergeCell ref="L40:O40"/>
    <mergeCell ref="L41:O41"/>
    <mergeCell ref="L42:O42"/>
    <mergeCell ref="L43:O43"/>
    <mergeCell ref="L31:O31"/>
    <mergeCell ref="L32:O32"/>
    <mergeCell ref="L36:O36"/>
    <mergeCell ref="L37:O37"/>
    <mergeCell ref="L38:O38"/>
    <mergeCell ref="L26:O26"/>
    <mergeCell ref="L27:O27"/>
    <mergeCell ref="L28:O28"/>
    <mergeCell ref="L29:O29"/>
    <mergeCell ref="L30:O30"/>
    <mergeCell ref="L21:O21"/>
    <mergeCell ref="L22:O22"/>
    <mergeCell ref="L23:O23"/>
    <mergeCell ref="L24:O24"/>
    <mergeCell ref="L25:O25"/>
    <mergeCell ref="L16:O16"/>
    <mergeCell ref="L17:O17"/>
    <mergeCell ref="L18:O18"/>
    <mergeCell ref="L19:O19"/>
    <mergeCell ref="L20:O20"/>
    <mergeCell ref="L11:O11"/>
    <mergeCell ref="L12:O12"/>
    <mergeCell ref="L13:O13"/>
    <mergeCell ref="L14:O14"/>
    <mergeCell ref="L15:O15"/>
    <mergeCell ref="L6:O6"/>
    <mergeCell ref="L7:O7"/>
    <mergeCell ref="L8:O8"/>
    <mergeCell ref="L9:O9"/>
    <mergeCell ref="L10:O10"/>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G34:H34"/>
    <mergeCell ref="B22:E22"/>
    <mergeCell ref="B23:E23"/>
    <mergeCell ref="B24:E24"/>
    <mergeCell ref="B25:E25"/>
    <mergeCell ref="B26:E26"/>
    <mergeCell ref="B27:E27"/>
    <mergeCell ref="B40:E40"/>
    <mergeCell ref="B28:E28"/>
    <mergeCell ref="B29:E29"/>
    <mergeCell ref="B30:E30"/>
    <mergeCell ref="B31:E31"/>
    <mergeCell ref="B32:E32"/>
    <mergeCell ref="B35:D35"/>
    <mergeCell ref="B36:E36"/>
    <mergeCell ref="B37:E37"/>
    <mergeCell ref="B38:E38"/>
    <mergeCell ref="B39:E39"/>
    <mergeCell ref="B52:E52"/>
    <mergeCell ref="B41:E41"/>
    <mergeCell ref="B42:E42"/>
    <mergeCell ref="B43:E43"/>
    <mergeCell ref="B44:E44"/>
    <mergeCell ref="B45:E45"/>
    <mergeCell ref="B46:E46"/>
    <mergeCell ref="B47:E47"/>
    <mergeCell ref="B48:E48"/>
    <mergeCell ref="B49:E49"/>
    <mergeCell ref="B50:E50"/>
    <mergeCell ref="B51:E51"/>
    <mergeCell ref="B58:E58"/>
    <mergeCell ref="B59:E59"/>
    <mergeCell ref="B60:E60"/>
    <mergeCell ref="B61:E61"/>
    <mergeCell ref="B62:E62"/>
    <mergeCell ref="B53:E53"/>
    <mergeCell ref="B54:E54"/>
    <mergeCell ref="B55:E55"/>
    <mergeCell ref="B56:E56"/>
    <mergeCell ref="B57:E57"/>
    <mergeCell ref="G64:H64"/>
    <mergeCell ref="B72:E72"/>
    <mergeCell ref="B66:E66"/>
    <mergeCell ref="B67:E67"/>
    <mergeCell ref="B68:E68"/>
    <mergeCell ref="B69:E69"/>
    <mergeCell ref="B70:E70"/>
    <mergeCell ref="B71:E71"/>
    <mergeCell ref="B65:D65"/>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No. 18009/2014&amp;CTHIS IS A TRANSLATION OF THE ORIGINAL SLOVAK DOCUMENT.&amp;RPage &amp;P</oddFooter>
  </headerFooter>
  <rowBreaks count="2" manualBreakCount="2">
    <brk id="32" max="7" man="1"/>
    <brk id="62"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H905"/>
  <sheetViews>
    <sheetView showGridLines="0" view="pageBreakPreview" zoomScale="70" zoomScaleNormal="115" zoomScaleSheetLayoutView="70" workbookViewId="0">
      <pane ySplit="1" topLeftCell="A2" activePane="bottomLeft" state="frozen"/>
      <selection pane="bottomLeft" activeCell="N682" sqref="N682:W682"/>
    </sheetView>
  </sheetViews>
  <sheetFormatPr defaultColWidth="9.1796875" defaultRowHeight="14.25" customHeight="1"/>
  <cols>
    <col min="1" max="1" width="3.453125" style="597" customWidth="1"/>
    <col min="2" max="2" width="1.54296875" style="18" customWidth="1"/>
    <col min="3" max="17" width="3.453125" style="18" customWidth="1"/>
    <col min="18" max="18" width="5.54296875" style="18" customWidth="1"/>
    <col min="19" max="34" width="3.453125" style="18" customWidth="1"/>
    <col min="35" max="16384" width="9.1796875" style="18"/>
  </cols>
  <sheetData>
    <row r="1" spans="1:34" s="602" customFormat="1" ht="15.75" customHeight="1" thickBot="1">
      <c r="A1" s="914" t="s">
        <v>1397</v>
      </c>
      <c r="B1" s="2694" t="s">
        <v>1735</v>
      </c>
      <c r="C1" s="2176"/>
      <c r="D1" s="2176"/>
      <c r="E1" s="2176"/>
      <c r="F1" s="2176"/>
      <c r="G1" s="2176"/>
      <c r="H1" s="2176"/>
      <c r="I1" s="2176"/>
      <c r="J1" s="2176"/>
      <c r="K1" s="2176"/>
      <c r="L1" s="2176"/>
      <c r="M1" s="2176"/>
      <c r="N1" s="2176"/>
      <c r="O1" s="2176"/>
      <c r="P1" s="2176"/>
      <c r="Q1" s="2176"/>
      <c r="R1" s="2176"/>
      <c r="S1" s="2176"/>
      <c r="T1" s="2176"/>
      <c r="U1" s="2176"/>
      <c r="V1" s="2176"/>
      <c r="W1" s="2176"/>
      <c r="X1" s="2176"/>
      <c r="Y1" s="2176"/>
      <c r="Z1" s="2176"/>
      <c r="AA1" s="2176"/>
      <c r="AB1" s="2176"/>
      <c r="AC1" s="2176"/>
      <c r="AD1" s="2176"/>
      <c r="AE1" s="2176"/>
      <c r="AF1" s="2176"/>
      <c r="AG1" s="2176"/>
      <c r="AH1" s="2177"/>
    </row>
    <row r="2" spans="1:34" s="584" customFormat="1" ht="9.25" customHeight="1">
      <c r="A2" s="597"/>
    </row>
    <row r="3" spans="1:34" s="584" customFormat="1" ht="15" customHeight="1">
      <c r="A3" s="597"/>
      <c r="D3" s="922" t="s">
        <v>2675</v>
      </c>
      <c r="E3" s="920"/>
      <c r="F3" s="920"/>
      <c r="G3" s="920"/>
      <c r="H3" s="920"/>
      <c r="I3" s="920"/>
      <c r="J3" s="920"/>
      <c r="K3" s="921"/>
      <c r="M3" s="923" t="s">
        <v>1231</v>
      </c>
      <c r="N3" s="924" t="str">
        <f>MID('Input data'!$C$24,1,1)</f>
        <v>2</v>
      </c>
      <c r="O3" s="925" t="str">
        <f>MID('Input data'!$C$24,2,1)</f>
        <v>0</v>
      </c>
      <c r="P3" s="925" t="str">
        <f>MID('Input data'!$C$24,3,1)</f>
        <v>2</v>
      </c>
      <c r="Q3" s="925" t="str">
        <f>MID('Input data'!$C$24,4,1)</f>
        <v>0</v>
      </c>
      <c r="R3" s="925" t="str">
        <f>MID('Input data'!$C$24,5,1)</f>
        <v>3</v>
      </c>
      <c r="S3" s="925" t="str">
        <f>MID('Input data'!$C$24,6,1)</f>
        <v>1</v>
      </c>
      <c r="T3" s="925" t="str">
        <f>MID('Input data'!$C$24,7,1)</f>
        <v>9</v>
      </c>
      <c r="U3" s="925" t="str">
        <f>MID('Input data'!$C$24,8,1)</f>
        <v>8</v>
      </c>
      <c r="V3" s="925" t="str">
        <f>MID('Input data'!$C$24,9,1)</f>
        <v>2</v>
      </c>
      <c r="W3" s="926" t="str">
        <f>MID('Input data'!$C$24,10,1)</f>
        <v>9</v>
      </c>
      <c r="Y3" s="923" t="s">
        <v>1074</v>
      </c>
      <c r="Z3" s="924" t="str">
        <f>MID('Input data'!$C$26,1,1)</f>
        <v>3</v>
      </c>
      <c r="AA3" s="925" t="str">
        <f>MID('Input data'!$C$26,2,1)</f>
        <v>1</v>
      </c>
      <c r="AB3" s="925" t="str">
        <f>MID('Input data'!$C$26,3,1)</f>
        <v>3</v>
      </c>
      <c r="AC3" s="925" t="str">
        <f>MID('Input data'!$C$26,4,1)</f>
        <v>6</v>
      </c>
      <c r="AD3" s="925" t="str">
        <f>MID('Input data'!$C$26,5,1)</f>
        <v>5</v>
      </c>
      <c r="AE3" s="925" t="str">
        <f>MID('Input data'!$C$26,6,1)</f>
        <v>5</v>
      </c>
      <c r="AF3" s="925" t="str">
        <f>MID('Input data'!$C$26,7,1)</f>
        <v>0</v>
      </c>
      <c r="AG3" s="926" t="str">
        <f>MID('Input data'!$C$26,8,1)</f>
        <v>7</v>
      </c>
    </row>
    <row r="4" spans="1:34" s="584" customFormat="1" ht="15" hidden="1" customHeight="1">
      <c r="A4" s="597"/>
      <c r="D4" s="933"/>
      <c r="E4" s="930"/>
      <c r="F4" s="930"/>
      <c r="G4" s="930"/>
      <c r="H4" s="930"/>
      <c r="I4" s="930"/>
      <c r="J4" s="930"/>
      <c r="K4" s="930"/>
      <c r="W4" s="923"/>
      <c r="X4" s="934"/>
      <c r="Y4" s="934"/>
      <c r="Z4" s="934"/>
      <c r="AA4" s="934"/>
      <c r="AB4" s="934"/>
      <c r="AC4" s="934"/>
      <c r="AD4" s="934"/>
      <c r="AE4" s="934"/>
      <c r="AF4" s="934"/>
      <c r="AG4" s="934"/>
    </row>
    <row r="5" spans="1:34" s="584" customFormat="1" ht="15" customHeight="1">
      <c r="A5" s="597"/>
      <c r="D5" s="933" t="str">
        <f>LEFT('Notes- SK Template'!D5,25)</f>
        <v>Foss Fibre Optics, s.r.o.</v>
      </c>
      <c r="E5" s="930"/>
      <c r="F5" s="930"/>
      <c r="G5" s="930"/>
      <c r="H5" s="930"/>
      <c r="I5" s="930"/>
      <c r="J5" s="930"/>
      <c r="K5" s="930"/>
      <c r="W5" s="923"/>
      <c r="X5" s="934"/>
      <c r="Y5" s="934"/>
      <c r="Z5" s="934"/>
      <c r="AA5" s="934"/>
      <c r="AB5" s="934"/>
      <c r="AC5" s="934"/>
      <c r="AD5" s="934"/>
      <c r="AE5" s="934"/>
      <c r="AF5" s="934"/>
      <c r="AG5" s="934"/>
    </row>
    <row r="6" spans="1:34" s="584" customFormat="1" ht="21.75" customHeight="1">
      <c r="A6" s="597"/>
    </row>
    <row r="7" spans="1:34" s="584" customFormat="1" ht="14">
      <c r="A7" s="597"/>
      <c r="D7" s="582" t="s">
        <v>1736</v>
      </c>
    </row>
    <row r="8" spans="1:34" s="584" customFormat="1" ht="14">
      <c r="A8" s="597"/>
      <c r="D8" s="582"/>
    </row>
    <row r="9" spans="1:34" s="584" customFormat="1" ht="15" customHeight="1">
      <c r="A9" s="597"/>
      <c r="D9" s="2100" t="s">
        <v>2892</v>
      </c>
      <c r="E9" s="2144"/>
      <c r="F9" s="2144"/>
      <c r="G9" s="2144"/>
      <c r="H9" s="2144"/>
      <c r="I9" s="2144"/>
      <c r="J9" s="2144"/>
      <c r="K9" s="2144"/>
      <c r="L9" s="2144"/>
      <c r="M9" s="2144"/>
      <c r="N9" s="2144"/>
      <c r="O9" s="2144"/>
      <c r="P9" s="2144"/>
      <c r="Q9" s="2144"/>
      <c r="R9" s="2144"/>
      <c r="S9" s="2144"/>
      <c r="T9" s="2144"/>
      <c r="U9" s="2144"/>
      <c r="V9" s="2144"/>
      <c r="W9" s="2144"/>
      <c r="X9" s="2144"/>
      <c r="Y9" s="2144"/>
      <c r="Z9" s="2144"/>
      <c r="AA9" s="2144"/>
      <c r="AB9" s="2144"/>
      <c r="AC9" s="2144"/>
      <c r="AD9" s="2144"/>
      <c r="AE9" s="2144"/>
      <c r="AF9" s="2144"/>
      <c r="AG9" s="2144"/>
    </row>
    <row r="10" spans="1:34" s="584" customFormat="1" ht="14">
      <c r="A10" s="597"/>
      <c r="D10" s="2144"/>
      <c r="E10" s="2144"/>
      <c r="F10" s="2144"/>
      <c r="G10" s="2144"/>
      <c r="H10" s="2144"/>
      <c r="I10" s="2144"/>
      <c r="J10" s="2144"/>
      <c r="K10" s="2144"/>
      <c r="L10" s="2144"/>
      <c r="M10" s="2144"/>
      <c r="N10" s="2144"/>
      <c r="O10" s="2144"/>
      <c r="P10" s="2144"/>
      <c r="Q10" s="2144"/>
      <c r="R10" s="2144"/>
      <c r="S10" s="2144"/>
      <c r="T10" s="2144"/>
      <c r="U10" s="2144"/>
      <c r="V10" s="2144"/>
      <c r="W10" s="2144"/>
      <c r="X10" s="2144"/>
      <c r="Y10" s="2144"/>
      <c r="Z10" s="2144"/>
      <c r="AA10" s="2144"/>
      <c r="AB10" s="2144"/>
      <c r="AC10" s="2144"/>
      <c r="AD10" s="2144"/>
      <c r="AE10" s="2144"/>
      <c r="AF10" s="2144"/>
      <c r="AG10" s="2144"/>
    </row>
    <row r="11" spans="1:34" s="584" customFormat="1" ht="14">
      <c r="A11" s="597"/>
      <c r="D11" s="2144"/>
      <c r="E11" s="2144"/>
      <c r="F11" s="2144"/>
      <c r="G11" s="2144"/>
      <c r="H11" s="2144"/>
      <c r="I11" s="2144"/>
      <c r="J11" s="2144"/>
      <c r="K11" s="2144"/>
      <c r="L11" s="2144"/>
      <c r="M11" s="2144"/>
      <c r="N11" s="2144"/>
      <c r="O11" s="2144"/>
      <c r="P11" s="2144"/>
      <c r="Q11" s="2144"/>
      <c r="R11" s="2144"/>
      <c r="S11" s="2144"/>
      <c r="T11" s="2144"/>
      <c r="U11" s="2144"/>
      <c r="V11" s="2144"/>
      <c r="W11" s="2144"/>
      <c r="X11" s="2144"/>
      <c r="Y11" s="2144"/>
      <c r="Z11" s="2144"/>
      <c r="AA11" s="2144"/>
      <c r="AB11" s="2144"/>
      <c r="AC11" s="2144"/>
      <c r="AD11" s="2144"/>
      <c r="AE11" s="2144"/>
      <c r="AF11" s="2144"/>
      <c r="AG11" s="2144"/>
    </row>
    <row r="12" spans="1:34" s="584" customFormat="1" ht="14">
      <c r="A12" s="597"/>
      <c r="D12" s="2144"/>
      <c r="E12" s="2144"/>
      <c r="F12" s="2144"/>
      <c r="G12" s="2144"/>
      <c r="H12" s="2144"/>
      <c r="I12" s="2144"/>
      <c r="J12" s="2144"/>
      <c r="K12" s="2144"/>
      <c r="L12" s="2144"/>
      <c r="M12" s="2144"/>
      <c r="N12" s="2144"/>
      <c r="O12" s="2144"/>
      <c r="P12" s="2144"/>
      <c r="Q12" s="2144"/>
      <c r="R12" s="2144"/>
      <c r="S12" s="2144"/>
      <c r="T12" s="2144"/>
      <c r="U12" s="2144"/>
      <c r="V12" s="2144"/>
      <c r="W12" s="2144"/>
      <c r="X12" s="2144"/>
      <c r="Y12" s="2144"/>
      <c r="Z12" s="2144"/>
      <c r="AA12" s="2144"/>
      <c r="AB12" s="2144"/>
      <c r="AC12" s="2144"/>
      <c r="AD12" s="2144"/>
      <c r="AE12" s="2144"/>
      <c r="AF12" s="2144"/>
      <c r="AG12" s="2144"/>
    </row>
    <row r="13" spans="1:34" s="584" customFormat="1" ht="14">
      <c r="A13" s="597"/>
      <c r="D13" s="2100"/>
      <c r="E13" s="2144"/>
      <c r="F13" s="2144"/>
      <c r="G13" s="2144"/>
      <c r="H13" s="2144"/>
      <c r="I13" s="2144"/>
      <c r="J13" s="2144"/>
      <c r="K13" s="2144"/>
      <c r="L13" s="2144"/>
      <c r="M13" s="2144"/>
      <c r="N13" s="2144"/>
      <c r="O13" s="2144"/>
      <c r="P13" s="2144"/>
      <c r="Q13" s="2144"/>
      <c r="R13" s="2144"/>
      <c r="S13" s="2144"/>
      <c r="T13" s="2144"/>
      <c r="U13" s="2144"/>
      <c r="V13" s="2144"/>
      <c r="W13" s="2144"/>
      <c r="X13" s="2144"/>
      <c r="Y13" s="2144"/>
      <c r="Z13" s="2144"/>
      <c r="AA13" s="2144"/>
      <c r="AB13" s="2144"/>
      <c r="AC13" s="2144"/>
      <c r="AD13" s="2144"/>
      <c r="AE13" s="2144"/>
      <c r="AF13" s="2144"/>
      <c r="AG13" s="2144"/>
    </row>
    <row r="14" spans="1:34" s="1502" customFormat="1" ht="14">
      <c r="A14" s="597"/>
      <c r="D14" s="1503"/>
      <c r="E14" s="1503"/>
      <c r="F14" s="1503"/>
      <c r="G14" s="1503"/>
      <c r="H14" s="1503"/>
      <c r="I14" s="1503"/>
      <c r="J14" s="1503"/>
      <c r="K14" s="1503"/>
      <c r="L14" s="1503"/>
      <c r="M14" s="1503"/>
      <c r="N14" s="1503"/>
      <c r="O14" s="1503"/>
      <c r="P14" s="1503"/>
      <c r="Q14" s="1503"/>
      <c r="R14" s="1503"/>
      <c r="S14" s="1503"/>
      <c r="T14" s="1503"/>
      <c r="U14" s="1503"/>
      <c r="V14" s="1503"/>
      <c r="W14" s="1503"/>
      <c r="X14" s="1503"/>
      <c r="Y14" s="1503"/>
      <c r="Z14" s="1503"/>
      <c r="AA14" s="1503"/>
      <c r="AB14" s="1503"/>
      <c r="AC14" s="1503"/>
      <c r="AD14" s="1503"/>
      <c r="AE14" s="1503"/>
      <c r="AF14" s="1503"/>
      <c r="AG14" s="1503"/>
    </row>
    <row r="15" spans="1:34" s="1502" customFormat="1" ht="14">
      <c r="A15" s="597"/>
      <c r="D15" s="2178" t="s">
        <v>2789</v>
      </c>
      <c r="E15" s="2178"/>
      <c r="F15" s="2178"/>
      <c r="G15" s="2178"/>
      <c r="H15" s="2178"/>
      <c r="I15" s="2178"/>
      <c r="J15" s="2178"/>
      <c r="K15" s="2178"/>
      <c r="L15" s="2178"/>
      <c r="M15" s="2178"/>
      <c r="N15" s="2178"/>
      <c r="O15" s="2178"/>
      <c r="P15" s="2178"/>
      <c r="Q15" s="2178"/>
      <c r="R15" s="2178"/>
      <c r="S15" s="2178"/>
      <c r="T15" s="2178"/>
      <c r="U15" s="2178"/>
      <c r="V15" s="2178"/>
      <c r="W15" s="2178"/>
      <c r="X15" s="2178"/>
      <c r="Y15" s="2178"/>
      <c r="Z15" s="2178"/>
      <c r="AA15" s="2178"/>
      <c r="AB15" s="2178"/>
      <c r="AC15" s="2178"/>
      <c r="AD15" s="2178"/>
      <c r="AE15" s="2178"/>
      <c r="AF15" s="2178"/>
      <c r="AG15" s="2178"/>
    </row>
    <row r="16" spans="1:34" s="1502" customFormat="1" ht="14">
      <c r="A16" s="597"/>
      <c r="D16" s="1500"/>
      <c r="E16" s="1500"/>
      <c r="F16" s="1500"/>
      <c r="G16" s="1500"/>
      <c r="H16" s="1500"/>
      <c r="I16" s="1500"/>
      <c r="J16" s="1500"/>
      <c r="K16" s="1500"/>
      <c r="L16" s="1500"/>
      <c r="M16" s="1500"/>
      <c r="N16" s="1500"/>
      <c r="O16" s="1500"/>
      <c r="P16" s="1500"/>
      <c r="Q16" s="1500"/>
      <c r="R16" s="1500"/>
      <c r="S16" s="1500"/>
      <c r="T16" s="1500"/>
      <c r="U16" s="1500"/>
      <c r="V16" s="1500"/>
      <c r="W16" s="1500"/>
      <c r="X16" s="1500"/>
      <c r="Y16" s="1500"/>
      <c r="Z16" s="1500"/>
      <c r="AA16" s="1500"/>
      <c r="AB16" s="1500"/>
      <c r="AC16" s="1500"/>
      <c r="AD16" s="1500"/>
      <c r="AE16" s="1500"/>
      <c r="AF16" s="1500"/>
      <c r="AG16" s="1500"/>
    </row>
    <row r="17" spans="1:33" s="584" customFormat="1" ht="14">
      <c r="A17" s="597"/>
      <c r="D17" s="917" t="s">
        <v>1737</v>
      </c>
    </row>
    <row r="18" spans="1:33" s="1502" customFormat="1" ht="14">
      <c r="A18" s="597"/>
      <c r="D18" s="917" t="s">
        <v>1331</v>
      </c>
      <c r="E18" s="917" t="s">
        <v>2790</v>
      </c>
    </row>
    <row r="19" spans="1:33" s="584" customFormat="1" ht="14">
      <c r="A19" s="597"/>
      <c r="D19" s="917" t="s">
        <v>532</v>
      </c>
      <c r="E19" s="908" t="s">
        <v>2791</v>
      </c>
    </row>
    <row r="20" spans="1:33" s="584" customFormat="1" ht="14">
      <c r="A20" s="597"/>
      <c r="D20" s="917" t="s">
        <v>535</v>
      </c>
      <c r="E20" s="908" t="s">
        <v>2792</v>
      </c>
    </row>
    <row r="21" spans="1:33" s="584" customFormat="1" ht="14">
      <c r="A21" s="597"/>
      <c r="D21" s="917" t="s">
        <v>538</v>
      </c>
      <c r="E21" s="908" t="s">
        <v>2793</v>
      </c>
    </row>
    <row r="22" spans="1:33" s="584" customFormat="1" ht="14">
      <c r="A22" s="597"/>
      <c r="D22" s="583"/>
    </row>
    <row r="23" spans="1:33" s="584" customFormat="1" ht="14">
      <c r="A23" s="597"/>
      <c r="D23" s="917" t="s">
        <v>1738</v>
      </c>
    </row>
    <row r="24" spans="1:33" s="584" customFormat="1" ht="14.5" thickBot="1">
      <c r="A24" s="597"/>
    </row>
    <row r="25" spans="1:33" s="584" customFormat="1" ht="34.75" customHeight="1" thickBot="1">
      <c r="A25" s="597">
        <v>1</v>
      </c>
      <c r="D25" s="2164" t="s">
        <v>1739</v>
      </c>
      <c r="E25" s="2164"/>
      <c r="F25" s="2164"/>
      <c r="G25" s="2164"/>
      <c r="H25" s="2164"/>
      <c r="I25" s="2164"/>
      <c r="J25" s="2164"/>
      <c r="K25" s="2164"/>
      <c r="L25" s="2164"/>
      <c r="M25" s="2164"/>
      <c r="N25" s="2164"/>
      <c r="O25" s="2164"/>
      <c r="P25" s="2164" t="s">
        <v>1740</v>
      </c>
      <c r="Q25" s="2164"/>
      <c r="R25" s="2164"/>
      <c r="S25" s="2164"/>
      <c r="T25" s="2164"/>
      <c r="U25" s="2164"/>
      <c r="V25" s="2164"/>
      <c r="W25" s="2164"/>
      <c r="X25" s="2164"/>
      <c r="Y25" s="2164" t="s">
        <v>1798</v>
      </c>
      <c r="Z25" s="2164"/>
      <c r="AA25" s="2164"/>
      <c r="AB25" s="2164"/>
      <c r="AC25" s="2164"/>
      <c r="AD25" s="2164"/>
      <c r="AE25" s="2164"/>
      <c r="AF25" s="2164"/>
      <c r="AG25" s="2164"/>
    </row>
    <row r="26" spans="1:33" s="584" customFormat="1" ht="30" customHeight="1">
      <c r="A26" s="597"/>
      <c r="D26" s="2695" t="s">
        <v>1741</v>
      </c>
      <c r="E26" s="2168"/>
      <c r="F26" s="2168"/>
      <c r="G26" s="2168"/>
      <c r="H26" s="2168"/>
      <c r="I26" s="2168"/>
      <c r="J26" s="2168"/>
      <c r="K26" s="2168"/>
      <c r="L26" s="2168"/>
      <c r="M26" s="2168"/>
      <c r="N26" s="2168"/>
      <c r="O26" s="2168"/>
      <c r="P26" s="2696">
        <f>'Notes- SK Template'!P26</f>
        <v>53</v>
      </c>
      <c r="Q26" s="2697"/>
      <c r="R26" s="2697"/>
      <c r="S26" s="2697"/>
      <c r="T26" s="2697"/>
      <c r="U26" s="2697"/>
      <c r="V26" s="2697"/>
      <c r="W26" s="2697"/>
      <c r="X26" s="2698"/>
      <c r="Y26" s="2696">
        <f>'Notes- SK Template'!Y26</f>
        <v>52</v>
      </c>
      <c r="Z26" s="2697"/>
      <c r="AA26" s="2697"/>
      <c r="AB26" s="2697"/>
      <c r="AC26" s="2697"/>
      <c r="AD26" s="2697"/>
      <c r="AE26" s="2697"/>
      <c r="AF26" s="2697"/>
      <c r="AG26" s="2698"/>
    </row>
    <row r="27" spans="1:33" s="584" customFormat="1" ht="30" customHeight="1">
      <c r="A27" s="597"/>
      <c r="D27" s="2699" t="s">
        <v>1742</v>
      </c>
      <c r="E27" s="2167"/>
      <c r="F27" s="2167"/>
      <c r="G27" s="2167"/>
      <c r="H27" s="2167"/>
      <c r="I27" s="2167"/>
      <c r="J27" s="2167"/>
      <c r="K27" s="2167"/>
      <c r="L27" s="2167"/>
      <c r="M27" s="2167"/>
      <c r="N27" s="2167"/>
      <c r="O27" s="2167"/>
      <c r="P27" s="2593">
        <f>'Notes- SK Template'!P27</f>
        <v>55</v>
      </c>
      <c r="Q27" s="2594"/>
      <c r="R27" s="2594"/>
      <c r="S27" s="2594"/>
      <c r="T27" s="2594"/>
      <c r="U27" s="2594"/>
      <c r="V27" s="2594"/>
      <c r="W27" s="2594"/>
      <c r="X27" s="2595"/>
      <c r="Y27" s="2593">
        <f>'Notes- SK Template'!Y27</f>
        <v>51</v>
      </c>
      <c r="Z27" s="2594"/>
      <c r="AA27" s="2594"/>
      <c r="AB27" s="2594"/>
      <c r="AC27" s="2594"/>
      <c r="AD27" s="2594"/>
      <c r="AE27" s="2594"/>
      <c r="AF27" s="2594"/>
      <c r="AG27" s="2595"/>
    </row>
    <row r="28" spans="1:33" s="584" customFormat="1" ht="30" customHeight="1" thickBot="1">
      <c r="A28" s="597"/>
      <c r="D28" s="2680" t="s">
        <v>1743</v>
      </c>
      <c r="E28" s="2166"/>
      <c r="F28" s="2166"/>
      <c r="G28" s="2166"/>
      <c r="H28" s="2166"/>
      <c r="I28" s="2166"/>
      <c r="J28" s="2166"/>
      <c r="K28" s="2166"/>
      <c r="L28" s="2166"/>
      <c r="M28" s="2166"/>
      <c r="N28" s="2166"/>
      <c r="O28" s="2166"/>
      <c r="P28" s="2681">
        <f>'Notes- SK Template'!P28</f>
        <v>3</v>
      </c>
      <c r="Q28" s="2682"/>
      <c r="R28" s="2682"/>
      <c r="S28" s="2682"/>
      <c r="T28" s="2682"/>
      <c r="U28" s="2682"/>
      <c r="V28" s="2682"/>
      <c r="W28" s="2682"/>
      <c r="X28" s="2683"/>
      <c r="Y28" s="2681">
        <f>'Notes- SK Template'!Y28</f>
        <v>3</v>
      </c>
      <c r="Z28" s="2682"/>
      <c r="AA28" s="2682"/>
      <c r="AB28" s="2682"/>
      <c r="AC28" s="2682"/>
      <c r="AD28" s="2682"/>
      <c r="AE28" s="2682"/>
      <c r="AF28" s="2682"/>
      <c r="AG28" s="2683"/>
    </row>
    <row r="29" spans="1:33" s="584" customFormat="1" ht="14">
      <c r="A29" s="597"/>
    </row>
    <row r="30" spans="1:33" s="584" customFormat="1" ht="15" customHeight="1">
      <c r="A30" s="597"/>
      <c r="D30" s="1937" t="s">
        <v>3036</v>
      </c>
      <c r="E30" s="1937"/>
      <c r="F30" s="1937"/>
      <c r="G30" s="1937"/>
      <c r="H30" s="1937"/>
      <c r="I30" s="1937"/>
      <c r="J30" s="1937"/>
      <c r="K30" s="1937"/>
      <c r="L30" s="1937"/>
      <c r="M30" s="1937"/>
      <c r="N30" s="1937"/>
      <c r="O30" s="1937"/>
      <c r="P30" s="1937"/>
      <c r="Q30" s="1937"/>
      <c r="R30" s="1937"/>
      <c r="S30" s="1937"/>
      <c r="T30" s="1937"/>
      <c r="U30" s="1937"/>
      <c r="V30" s="1937"/>
      <c r="W30" s="1937"/>
      <c r="X30" s="1937"/>
      <c r="Y30" s="1937"/>
      <c r="Z30" s="1937"/>
      <c r="AA30" s="1937"/>
      <c r="AB30" s="1937"/>
      <c r="AC30" s="1937"/>
      <c r="AD30" s="1937"/>
      <c r="AE30" s="1937"/>
      <c r="AF30" s="1937"/>
      <c r="AG30" s="1937"/>
    </row>
    <row r="31" spans="1:33" s="584" customFormat="1" ht="14">
      <c r="A31" s="597"/>
      <c r="D31" s="1937"/>
      <c r="E31" s="1937"/>
      <c r="F31" s="1937"/>
      <c r="G31" s="1937"/>
      <c r="H31" s="1937"/>
      <c r="I31" s="1937"/>
      <c r="J31" s="1937"/>
      <c r="K31" s="1937"/>
      <c r="L31" s="1937"/>
      <c r="M31" s="1937"/>
      <c r="N31" s="1937"/>
      <c r="O31" s="1937"/>
      <c r="P31" s="1937"/>
      <c r="Q31" s="1937"/>
      <c r="R31" s="1937"/>
      <c r="S31" s="1937"/>
      <c r="T31" s="1937"/>
      <c r="U31" s="1937"/>
      <c r="V31" s="1937"/>
      <c r="W31" s="1937"/>
      <c r="X31" s="1937"/>
      <c r="Y31" s="1937"/>
      <c r="Z31" s="1937"/>
      <c r="AA31" s="1937"/>
      <c r="AB31" s="1937"/>
      <c r="AC31" s="1937"/>
      <c r="AD31" s="1937"/>
      <c r="AE31" s="1937"/>
      <c r="AF31" s="1937"/>
      <c r="AG31" s="1937"/>
    </row>
    <row r="32" spans="1:33" s="584" customFormat="1" ht="14.5" thickBot="1">
      <c r="A32" s="597"/>
      <c r="D32" s="773"/>
      <c r="E32" s="773"/>
      <c r="F32" s="773"/>
      <c r="G32" s="773"/>
      <c r="H32" s="773"/>
      <c r="I32" s="773"/>
      <c r="J32" s="773"/>
      <c r="K32" s="773"/>
      <c r="L32" s="773"/>
      <c r="M32" s="773"/>
      <c r="N32" s="773"/>
      <c r="O32" s="773"/>
      <c r="P32" s="773"/>
      <c r="Q32" s="773"/>
      <c r="R32" s="773"/>
      <c r="S32" s="773"/>
      <c r="T32" s="773"/>
      <c r="U32" s="773"/>
      <c r="V32" s="773"/>
      <c r="W32" s="773"/>
      <c r="X32" s="773"/>
      <c r="Y32" s="773"/>
      <c r="Z32" s="773"/>
      <c r="AA32" s="773"/>
      <c r="AB32" s="773"/>
      <c r="AC32" s="773"/>
      <c r="AD32" s="773"/>
      <c r="AE32" s="773"/>
      <c r="AF32" s="773"/>
      <c r="AG32" s="773"/>
    </row>
    <row r="33" spans="1:33" s="584" customFormat="1" ht="24.75" customHeight="1" thickBot="1">
      <c r="A33" s="597" t="s">
        <v>1731</v>
      </c>
      <c r="D33" s="1911" t="s">
        <v>1744</v>
      </c>
      <c r="E33" s="1911"/>
      <c r="F33" s="1911"/>
      <c r="G33" s="1911"/>
      <c r="H33" s="1911"/>
      <c r="I33" s="1911"/>
      <c r="J33" s="1911"/>
      <c r="K33" s="1911"/>
      <c r="L33" s="1911"/>
      <c r="M33" s="1911"/>
      <c r="N33" s="1911" t="s">
        <v>1745</v>
      </c>
      <c r="O33" s="1911"/>
      <c r="P33" s="1911"/>
      <c r="Q33" s="1911"/>
      <c r="R33" s="1911"/>
      <c r="S33" s="1911"/>
      <c r="T33" s="1911"/>
      <c r="U33" s="1911"/>
      <c r="V33" s="1911"/>
      <c r="W33" s="1911"/>
      <c r="X33" s="1911" t="s">
        <v>1748</v>
      </c>
      <c r="Y33" s="1911"/>
      <c r="Z33" s="1911"/>
      <c r="AA33" s="1911"/>
      <c r="AB33" s="1911"/>
      <c r="AC33" s="1911" t="s">
        <v>1749</v>
      </c>
      <c r="AD33" s="1911"/>
      <c r="AE33" s="1911"/>
      <c r="AF33" s="1911"/>
      <c r="AG33" s="1911"/>
    </row>
    <row r="34" spans="1:33" s="584" customFormat="1" ht="24.75" customHeight="1" thickBot="1">
      <c r="A34" s="597"/>
      <c r="D34" s="1911"/>
      <c r="E34" s="1911"/>
      <c r="F34" s="1911"/>
      <c r="G34" s="1911"/>
      <c r="H34" s="1911"/>
      <c r="I34" s="1911"/>
      <c r="J34" s="1911"/>
      <c r="K34" s="1911"/>
      <c r="L34" s="1911"/>
      <c r="M34" s="1911"/>
      <c r="N34" s="1911" t="s">
        <v>1746</v>
      </c>
      <c r="O34" s="1911"/>
      <c r="P34" s="1911"/>
      <c r="Q34" s="1911"/>
      <c r="R34" s="1911"/>
      <c r="S34" s="1911" t="s">
        <v>1747</v>
      </c>
      <c r="T34" s="1911"/>
      <c r="U34" s="1911"/>
      <c r="V34" s="1911"/>
      <c r="W34" s="1911"/>
      <c r="X34" s="1911"/>
      <c r="Y34" s="1911"/>
      <c r="Z34" s="1911"/>
      <c r="AA34" s="1911"/>
      <c r="AB34" s="1911"/>
      <c r="AC34" s="1911"/>
      <c r="AD34" s="1911"/>
      <c r="AE34" s="1911"/>
      <c r="AF34" s="1911"/>
      <c r="AG34" s="1911"/>
    </row>
    <row r="35" spans="1:33" s="584" customFormat="1" ht="15.75" customHeight="1">
      <c r="A35" s="597"/>
      <c r="D35" s="2701" t="str">
        <f>'Notes- SK Template'!D34</f>
        <v>FOSS AS FIBEROPTISK SYSTEMSALG</v>
      </c>
      <c r="E35" s="2701"/>
      <c r="F35" s="2701"/>
      <c r="G35" s="2701"/>
      <c r="H35" s="2701"/>
      <c r="I35" s="2701"/>
      <c r="J35" s="2701"/>
      <c r="K35" s="2701"/>
      <c r="L35" s="2701"/>
      <c r="M35" s="2701"/>
      <c r="N35" s="1916">
        <f>'Notes- SK Template'!N34</f>
        <v>2506390</v>
      </c>
      <c r="O35" s="1916"/>
      <c r="P35" s="1916"/>
      <c r="Q35" s="1916"/>
      <c r="R35" s="1916"/>
      <c r="S35" s="2702">
        <f>'Notes- SK Template'!S34</f>
        <v>1</v>
      </c>
      <c r="T35" s="2702"/>
      <c r="U35" s="2702"/>
      <c r="V35" s="2702"/>
      <c r="W35" s="2702"/>
      <c r="X35" s="2702">
        <f>'Notes- SK Template'!X34</f>
        <v>1</v>
      </c>
      <c r="Y35" s="2702"/>
      <c r="Z35" s="2702"/>
      <c r="AA35" s="2702"/>
      <c r="AB35" s="2702"/>
      <c r="AC35" s="2702">
        <f>'Notes- SK Template'!AC34</f>
        <v>1</v>
      </c>
      <c r="AD35" s="2702"/>
      <c r="AE35" s="2702"/>
      <c r="AF35" s="2702"/>
      <c r="AG35" s="2702"/>
    </row>
    <row r="36" spans="1:33" s="584" customFormat="1" ht="15.75" customHeight="1">
      <c r="A36" s="597"/>
      <c r="D36" s="1918"/>
      <c r="E36" s="1918"/>
      <c r="F36" s="1918"/>
      <c r="G36" s="1918"/>
      <c r="H36" s="1918"/>
      <c r="I36" s="1918"/>
      <c r="J36" s="1918"/>
      <c r="K36" s="1918"/>
      <c r="L36" s="1918"/>
      <c r="M36" s="1918"/>
      <c r="N36" s="1919"/>
      <c r="O36" s="1919"/>
      <c r="P36" s="1919"/>
      <c r="Q36" s="1919"/>
      <c r="R36" s="1919"/>
      <c r="S36" s="2693"/>
      <c r="T36" s="2693"/>
      <c r="U36" s="2693"/>
      <c r="V36" s="2693"/>
      <c r="W36" s="2693"/>
      <c r="X36" s="2693"/>
      <c r="Y36" s="2693"/>
      <c r="Z36" s="2693"/>
      <c r="AA36" s="2693"/>
      <c r="AB36" s="2693"/>
      <c r="AC36" s="2693"/>
      <c r="AD36" s="2693"/>
      <c r="AE36" s="2693"/>
      <c r="AF36" s="2693"/>
      <c r="AG36" s="2693"/>
    </row>
    <row r="37" spans="1:33" s="584" customFormat="1" ht="15.75" customHeight="1" thickBot="1">
      <c r="A37" s="597"/>
      <c r="D37" s="2169" t="s">
        <v>1750</v>
      </c>
      <c r="E37" s="2170"/>
      <c r="F37" s="2170"/>
      <c r="G37" s="2170"/>
      <c r="H37" s="2170"/>
      <c r="I37" s="2170"/>
      <c r="J37" s="2170"/>
      <c r="K37" s="2170"/>
      <c r="L37" s="2170"/>
      <c r="M37" s="2171"/>
      <c r="N37" s="2172">
        <f>'Notes- SK Template'!N36</f>
        <v>2506390</v>
      </c>
      <c r="O37" s="2172"/>
      <c r="P37" s="2172"/>
      <c r="Q37" s="2172"/>
      <c r="R37" s="2172"/>
      <c r="S37" s="2173">
        <f>'Notes- SK Template'!S36</f>
        <v>1</v>
      </c>
      <c r="T37" s="2174"/>
      <c r="U37" s="2174"/>
      <c r="V37" s="2174"/>
      <c r="W37" s="2175"/>
      <c r="X37" s="2173">
        <f>'Notes- SK Template'!X36</f>
        <v>1</v>
      </c>
      <c r="Y37" s="2174"/>
      <c r="Z37" s="2174"/>
      <c r="AA37" s="2174"/>
      <c r="AB37" s="2175"/>
      <c r="AC37" s="2173">
        <f>'Notes- SK Template'!AC36</f>
        <v>1</v>
      </c>
      <c r="AD37" s="2174"/>
      <c r="AE37" s="2174"/>
      <c r="AF37" s="2174"/>
      <c r="AG37" s="2175"/>
    </row>
    <row r="38" spans="1:33" s="584" customFormat="1" ht="14">
      <c r="A38" s="597"/>
      <c r="D38" s="773"/>
      <c r="E38" s="773"/>
      <c r="F38" s="773"/>
      <c r="G38" s="773"/>
      <c r="H38" s="773"/>
      <c r="I38" s="773"/>
      <c r="J38" s="773"/>
      <c r="K38" s="773"/>
      <c r="L38" s="773"/>
      <c r="M38" s="773"/>
      <c r="N38" s="773"/>
      <c r="O38" s="773"/>
      <c r="P38" s="773"/>
      <c r="Q38" s="773"/>
      <c r="R38" s="773"/>
      <c r="S38" s="773"/>
      <c r="T38" s="773"/>
      <c r="U38" s="773"/>
      <c r="V38" s="773"/>
      <c r="W38" s="773"/>
      <c r="X38" s="773"/>
      <c r="Y38" s="773"/>
      <c r="Z38" s="773"/>
      <c r="AA38" s="773"/>
      <c r="AB38" s="773"/>
      <c r="AC38" s="773"/>
      <c r="AD38" s="773"/>
      <c r="AE38" s="773"/>
      <c r="AF38" s="773"/>
      <c r="AG38" s="773"/>
    </row>
    <row r="39" spans="1:33" s="584" customFormat="1" ht="14">
      <c r="A39" s="597"/>
    </row>
    <row r="40" spans="1:33" s="584" customFormat="1" ht="14.25" customHeight="1">
      <c r="A40" s="597"/>
      <c r="D40" s="2028" t="s">
        <v>3064</v>
      </c>
      <c r="E40" s="2028"/>
      <c r="F40" s="2028"/>
      <c r="G40" s="2028"/>
      <c r="H40" s="2028"/>
      <c r="I40" s="2028"/>
      <c r="J40" s="2028"/>
      <c r="K40" s="2028"/>
      <c r="L40" s="2028"/>
      <c r="M40" s="2028"/>
      <c r="N40" s="2028"/>
      <c r="O40" s="2028"/>
      <c r="P40" s="2028"/>
      <c r="Q40" s="2028"/>
      <c r="R40" s="2028"/>
      <c r="S40" s="2028"/>
      <c r="T40" s="2028"/>
      <c r="U40" s="2028"/>
      <c r="V40" s="2028"/>
      <c r="W40" s="2028"/>
      <c r="X40" s="2028"/>
      <c r="Y40" s="2028"/>
      <c r="Z40" s="2028"/>
      <c r="AA40" s="2028"/>
      <c r="AB40" s="2028"/>
      <c r="AC40" s="2028"/>
      <c r="AD40" s="2028"/>
      <c r="AE40" s="2028"/>
      <c r="AF40" s="2028"/>
      <c r="AG40" s="2028"/>
    </row>
    <row r="41" spans="1:33" s="584" customFormat="1" ht="14">
      <c r="A41" s="597"/>
      <c r="D41" s="2028"/>
      <c r="E41" s="2028"/>
      <c r="F41" s="2028"/>
      <c r="G41" s="2028"/>
      <c r="H41" s="2028"/>
      <c r="I41" s="2028"/>
      <c r="J41" s="2028"/>
      <c r="K41" s="2028"/>
      <c r="L41" s="2028"/>
      <c r="M41" s="2028"/>
      <c r="N41" s="2028"/>
      <c r="O41" s="2028"/>
      <c r="P41" s="2028"/>
      <c r="Q41" s="2028"/>
      <c r="R41" s="2028"/>
      <c r="S41" s="2028"/>
      <c r="T41" s="2028"/>
      <c r="U41" s="2028"/>
      <c r="V41" s="2028"/>
      <c r="W41" s="2028"/>
      <c r="X41" s="2028"/>
      <c r="Y41" s="2028"/>
      <c r="Z41" s="2028"/>
      <c r="AA41" s="2028"/>
      <c r="AB41" s="2028"/>
      <c r="AC41" s="2028"/>
      <c r="AD41" s="2028"/>
      <c r="AE41" s="2028"/>
      <c r="AF41" s="2028"/>
      <c r="AG41" s="2028"/>
    </row>
    <row r="42" spans="1:33" s="584" customFormat="1" ht="14">
      <c r="A42" s="597"/>
      <c r="D42" s="2028"/>
      <c r="E42" s="2028"/>
      <c r="F42" s="2028"/>
      <c r="G42" s="2028"/>
      <c r="H42" s="2028"/>
      <c r="I42" s="2028"/>
      <c r="J42" s="2028"/>
      <c r="K42" s="2028"/>
      <c r="L42" s="2028"/>
      <c r="M42" s="2028"/>
      <c r="N42" s="2028"/>
      <c r="O42" s="2028"/>
      <c r="P42" s="2028"/>
      <c r="Q42" s="2028"/>
      <c r="R42" s="2028"/>
      <c r="S42" s="2028"/>
      <c r="T42" s="2028"/>
      <c r="U42" s="2028"/>
      <c r="V42" s="2028"/>
      <c r="W42" s="2028"/>
      <c r="X42" s="2028"/>
      <c r="Y42" s="2028"/>
      <c r="Z42" s="2028"/>
      <c r="AA42" s="2028"/>
      <c r="AB42" s="2028"/>
      <c r="AC42" s="2028"/>
      <c r="AD42" s="2028"/>
      <c r="AE42" s="2028"/>
      <c r="AF42" s="2028"/>
      <c r="AG42" s="2028"/>
    </row>
    <row r="43" spans="1:33" s="584" customFormat="1" ht="14">
      <c r="A43" s="597"/>
      <c r="D43" s="1559"/>
      <c r="E43" s="1559"/>
      <c r="F43" s="1559"/>
      <c r="G43" s="1559"/>
      <c r="H43" s="1559"/>
      <c r="I43" s="1559"/>
      <c r="J43" s="1559"/>
      <c r="K43" s="1559"/>
      <c r="L43" s="1559"/>
      <c r="M43" s="1559"/>
      <c r="N43" s="1559"/>
      <c r="O43" s="1559"/>
      <c r="P43" s="1559"/>
      <c r="Q43" s="1559"/>
      <c r="R43" s="1559"/>
      <c r="S43" s="1559"/>
      <c r="T43" s="1559"/>
      <c r="U43" s="1559"/>
      <c r="V43" s="1559"/>
      <c r="W43" s="1559"/>
      <c r="X43" s="1559"/>
      <c r="Y43" s="1559"/>
      <c r="Z43" s="1559"/>
      <c r="AA43" s="1559"/>
      <c r="AB43" s="1559"/>
      <c r="AC43" s="1559"/>
      <c r="AD43" s="1559"/>
      <c r="AE43" s="1559"/>
      <c r="AF43" s="1559"/>
      <c r="AG43" s="1559"/>
    </row>
    <row r="44" spans="1:33" s="584" customFormat="1" ht="14.25" customHeight="1">
      <c r="A44" s="597"/>
      <c r="D44" s="1937" t="s">
        <v>2960</v>
      </c>
      <c r="E44" s="2700"/>
      <c r="F44" s="2700"/>
      <c r="G44" s="2700"/>
      <c r="H44" s="2700"/>
      <c r="I44" s="2700"/>
      <c r="J44" s="2700"/>
      <c r="K44" s="2700"/>
      <c r="L44" s="2700"/>
      <c r="M44" s="2700"/>
      <c r="N44" s="2700"/>
      <c r="O44" s="2700"/>
      <c r="P44" s="2700"/>
      <c r="Q44" s="2700"/>
      <c r="R44" s="2700"/>
      <c r="S44" s="2700"/>
      <c r="T44" s="2700"/>
      <c r="U44" s="2700"/>
      <c r="V44" s="2700"/>
      <c r="W44" s="2700"/>
      <c r="X44" s="2700"/>
      <c r="Y44" s="2700"/>
      <c r="Z44" s="2700"/>
      <c r="AA44" s="2700"/>
      <c r="AB44" s="2700"/>
      <c r="AC44" s="2700"/>
      <c r="AD44" s="2700"/>
      <c r="AE44" s="2700"/>
      <c r="AF44" s="2700"/>
      <c r="AG44" s="2700"/>
    </row>
    <row r="45" spans="1:33" s="584" customFormat="1" ht="14">
      <c r="A45" s="597"/>
      <c r="D45" s="2700"/>
      <c r="E45" s="2700"/>
      <c r="F45" s="2700"/>
      <c r="G45" s="2700"/>
      <c r="H45" s="2700"/>
      <c r="I45" s="2700"/>
      <c r="J45" s="2700"/>
      <c r="K45" s="2700"/>
      <c r="L45" s="2700"/>
      <c r="M45" s="2700"/>
      <c r="N45" s="2700"/>
      <c r="O45" s="2700"/>
      <c r="P45" s="2700"/>
      <c r="Q45" s="2700"/>
      <c r="R45" s="2700"/>
      <c r="S45" s="2700"/>
      <c r="T45" s="2700"/>
      <c r="U45" s="2700"/>
      <c r="V45" s="2700"/>
      <c r="W45" s="2700"/>
      <c r="X45" s="2700"/>
      <c r="Y45" s="2700"/>
      <c r="Z45" s="2700"/>
      <c r="AA45" s="2700"/>
      <c r="AB45" s="2700"/>
      <c r="AC45" s="2700"/>
      <c r="AD45" s="2700"/>
      <c r="AE45" s="2700"/>
      <c r="AF45" s="2700"/>
      <c r="AG45" s="2700"/>
    </row>
    <row r="46" spans="1:33" s="584" customFormat="1" ht="14">
      <c r="A46" s="597"/>
      <c r="D46" s="2700"/>
      <c r="E46" s="2700"/>
      <c r="F46" s="2700"/>
      <c r="G46" s="2700"/>
      <c r="H46" s="2700"/>
      <c r="I46" s="2700"/>
      <c r="J46" s="2700"/>
      <c r="K46" s="2700"/>
      <c r="L46" s="2700"/>
      <c r="M46" s="2700"/>
      <c r="N46" s="2700"/>
      <c r="O46" s="2700"/>
      <c r="P46" s="2700"/>
      <c r="Q46" s="2700"/>
      <c r="R46" s="2700"/>
      <c r="S46" s="2700"/>
      <c r="T46" s="2700"/>
      <c r="U46" s="2700"/>
      <c r="V46" s="2700"/>
      <c r="W46" s="2700"/>
      <c r="X46" s="2700"/>
      <c r="Y46" s="2700"/>
      <c r="Z46" s="2700"/>
      <c r="AA46" s="2700"/>
      <c r="AB46" s="2700"/>
      <c r="AC46" s="2700"/>
      <c r="AD46" s="2700"/>
      <c r="AE46" s="2700"/>
      <c r="AF46" s="2700"/>
      <c r="AG46" s="2700"/>
    </row>
    <row r="47" spans="1:33" s="584" customFormat="1" ht="14">
      <c r="A47" s="597"/>
      <c r="D47" s="2700"/>
      <c r="E47" s="2700"/>
      <c r="F47" s="2700"/>
      <c r="G47" s="2700"/>
      <c r="H47" s="2700"/>
      <c r="I47" s="2700"/>
      <c r="J47" s="2700"/>
      <c r="K47" s="2700"/>
      <c r="L47" s="2700"/>
      <c r="M47" s="2700"/>
      <c r="N47" s="2700"/>
      <c r="O47" s="2700"/>
      <c r="P47" s="2700"/>
      <c r="Q47" s="2700"/>
      <c r="R47" s="2700"/>
      <c r="S47" s="2700"/>
      <c r="T47" s="2700"/>
      <c r="U47" s="2700"/>
      <c r="V47" s="2700"/>
      <c r="W47" s="2700"/>
      <c r="X47" s="2700"/>
      <c r="Y47" s="2700"/>
      <c r="Z47" s="2700"/>
      <c r="AA47" s="2700"/>
      <c r="AB47" s="2700"/>
      <c r="AC47" s="2700"/>
      <c r="AD47" s="2700"/>
      <c r="AE47" s="2700"/>
      <c r="AF47" s="2700"/>
      <c r="AG47" s="2700"/>
    </row>
    <row r="48" spans="1:33" s="584" customFormat="1" ht="14.25" customHeight="1">
      <c r="A48" s="597"/>
      <c r="D48" s="2100" t="s">
        <v>2794</v>
      </c>
      <c r="E48" s="2150"/>
      <c r="F48" s="2150"/>
      <c r="G48" s="2150"/>
      <c r="H48" s="2150"/>
      <c r="I48" s="2150"/>
      <c r="J48" s="2150"/>
      <c r="K48" s="2150"/>
      <c r="L48" s="2150"/>
      <c r="M48" s="2150"/>
      <c r="N48" s="2150"/>
      <c r="O48" s="2150"/>
      <c r="P48" s="2150"/>
      <c r="Q48" s="2150"/>
      <c r="R48" s="2150"/>
      <c r="S48" s="2150"/>
      <c r="T48" s="2150"/>
      <c r="U48" s="2150"/>
      <c r="V48" s="2150"/>
      <c r="W48" s="2150"/>
      <c r="X48" s="2150"/>
      <c r="Y48" s="2150"/>
      <c r="Z48" s="2150"/>
      <c r="AA48" s="2150"/>
      <c r="AB48" s="2150"/>
      <c r="AC48" s="2150"/>
      <c r="AD48" s="2150"/>
      <c r="AE48" s="2150"/>
      <c r="AF48" s="2150"/>
      <c r="AG48" s="2150"/>
    </row>
    <row r="49" spans="1:33" s="584" customFormat="1" ht="14">
      <c r="A49" s="597"/>
      <c r="D49" s="2150"/>
      <c r="E49" s="2150"/>
      <c r="F49" s="2150"/>
      <c r="G49" s="2150"/>
      <c r="H49" s="2150"/>
      <c r="I49" s="2150"/>
      <c r="J49" s="2150"/>
      <c r="K49" s="2150"/>
      <c r="L49" s="2150"/>
      <c r="M49" s="2150"/>
      <c r="N49" s="2150"/>
      <c r="O49" s="2150"/>
      <c r="P49" s="2150"/>
      <c r="Q49" s="2150"/>
      <c r="R49" s="2150"/>
      <c r="S49" s="2150"/>
      <c r="T49" s="2150"/>
      <c r="U49" s="2150"/>
      <c r="V49" s="2150"/>
      <c r="W49" s="2150"/>
      <c r="X49" s="2150"/>
      <c r="Y49" s="2150"/>
      <c r="Z49" s="2150"/>
      <c r="AA49" s="2150"/>
      <c r="AB49" s="2150"/>
      <c r="AC49" s="2150"/>
      <c r="AD49" s="2150"/>
      <c r="AE49" s="2150"/>
      <c r="AF49" s="2150"/>
      <c r="AG49" s="2150"/>
    </row>
    <row r="50" spans="1:33" s="584" customFormat="1" ht="14">
      <c r="A50" s="597"/>
      <c r="D50" s="917" t="s">
        <v>3010</v>
      </c>
      <c r="E50" s="587"/>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row>
    <row r="51" spans="1:33" s="584" customFormat="1" ht="14">
      <c r="A51" s="597"/>
    </row>
    <row r="52" spans="1:33" s="584" customFormat="1" ht="14.5" thickBot="1">
      <c r="A52" s="597"/>
      <c r="D52" s="2148" t="s">
        <v>2795</v>
      </c>
      <c r="E52" s="2148"/>
      <c r="F52" s="2148"/>
      <c r="G52" s="2148"/>
      <c r="H52" s="2148"/>
      <c r="I52" s="2148"/>
      <c r="J52" s="2148"/>
      <c r="K52" s="2148"/>
      <c r="L52" s="2148"/>
      <c r="M52" s="2148"/>
      <c r="N52" s="2148"/>
      <c r="O52" s="2148"/>
    </row>
    <row r="53" spans="1:33" s="584" customFormat="1" ht="14.5" thickTop="1">
      <c r="A53" s="597"/>
      <c r="D53" s="1504" t="s">
        <v>2725</v>
      </c>
      <c r="E53" s="589"/>
      <c r="F53" s="589"/>
      <c r="G53" s="589"/>
      <c r="H53" s="918"/>
      <c r="I53" s="589"/>
      <c r="J53" s="589"/>
      <c r="K53" s="589"/>
      <c r="L53" s="589"/>
      <c r="M53" s="589"/>
      <c r="N53" s="589"/>
      <c r="O53" s="589"/>
    </row>
    <row r="54" spans="1:33" s="584" customFormat="1" ht="14">
      <c r="A54" s="597"/>
    </row>
    <row r="55" spans="1:33" s="584" customFormat="1" ht="14.25" customHeight="1">
      <c r="A55" s="597"/>
      <c r="D55" s="2100" t="s">
        <v>2796</v>
      </c>
      <c r="E55" s="2150"/>
      <c r="F55" s="2150"/>
      <c r="G55" s="2150"/>
      <c r="H55" s="2150"/>
      <c r="I55" s="2150"/>
      <c r="J55" s="2150"/>
      <c r="K55" s="2150"/>
      <c r="L55" s="2150"/>
      <c r="M55" s="2150"/>
      <c r="N55" s="2150"/>
      <c r="O55" s="2150"/>
      <c r="P55" s="2150"/>
      <c r="Q55" s="2150"/>
      <c r="R55" s="2150"/>
      <c r="S55" s="2150"/>
      <c r="T55" s="2150"/>
      <c r="U55" s="2150"/>
      <c r="V55" s="2150"/>
      <c r="W55" s="2150"/>
      <c r="X55" s="2150"/>
      <c r="Y55" s="2150"/>
      <c r="Z55" s="2150"/>
      <c r="AA55" s="2150"/>
      <c r="AB55" s="2150"/>
      <c r="AC55" s="2150"/>
      <c r="AD55" s="2150"/>
      <c r="AE55" s="2150"/>
      <c r="AF55" s="2150"/>
      <c r="AG55" s="2150"/>
    </row>
    <row r="56" spans="1:33" s="584" customFormat="1" ht="14">
      <c r="A56" s="597"/>
      <c r="D56" s="2150"/>
      <c r="E56" s="2150"/>
      <c r="F56" s="2150"/>
      <c r="G56" s="2150"/>
      <c r="H56" s="2150"/>
      <c r="I56" s="2150"/>
      <c r="J56" s="2150"/>
      <c r="K56" s="2150"/>
      <c r="L56" s="2150"/>
      <c r="M56" s="2150"/>
      <c r="N56" s="2150"/>
      <c r="O56" s="2150"/>
      <c r="P56" s="2150"/>
      <c r="Q56" s="2150"/>
      <c r="R56" s="2150"/>
      <c r="S56" s="2150"/>
      <c r="T56" s="2150"/>
      <c r="U56" s="2150"/>
      <c r="V56" s="2150"/>
      <c r="W56" s="2150"/>
      <c r="X56" s="2150"/>
      <c r="Y56" s="2150"/>
      <c r="Z56" s="2150"/>
      <c r="AA56" s="2150"/>
      <c r="AB56" s="2150"/>
      <c r="AC56" s="2150"/>
      <c r="AD56" s="2150"/>
      <c r="AE56" s="2150"/>
      <c r="AF56" s="2150"/>
      <c r="AG56" s="2150"/>
    </row>
    <row r="57" spans="1:33" s="584" customFormat="1" ht="14">
      <c r="A57" s="597"/>
      <c r="D57" s="582" t="s">
        <v>1751</v>
      </c>
    </row>
    <row r="58" spans="1:33" s="584" customFormat="1" ht="14">
      <c r="A58" s="597"/>
    </row>
    <row r="59" spans="1:33" s="584" customFormat="1" ht="14">
      <c r="A59" s="597"/>
      <c r="D59" s="2100" t="s">
        <v>3065</v>
      </c>
      <c r="E59" s="2144"/>
      <c r="F59" s="2144"/>
      <c r="G59" s="2144"/>
      <c r="H59" s="2144"/>
      <c r="I59" s="2144"/>
      <c r="J59" s="2144"/>
      <c r="K59" s="2144"/>
      <c r="L59" s="2144"/>
      <c r="M59" s="2144"/>
      <c r="N59" s="2144"/>
      <c r="O59" s="2144"/>
      <c r="P59" s="2144"/>
      <c r="Q59" s="2144"/>
      <c r="R59" s="2144"/>
      <c r="S59" s="2144"/>
      <c r="T59" s="2144"/>
      <c r="U59" s="2144"/>
      <c r="V59" s="2144"/>
      <c r="W59" s="2144"/>
      <c r="X59" s="2144"/>
      <c r="Y59" s="2144"/>
      <c r="Z59" s="2144"/>
      <c r="AA59" s="2144"/>
      <c r="AB59" s="2144"/>
      <c r="AC59" s="2144"/>
      <c r="AD59" s="2144"/>
      <c r="AE59" s="2144"/>
      <c r="AF59" s="2144"/>
      <c r="AG59" s="2144"/>
    </row>
    <row r="60" spans="1:33" s="584" customFormat="1" ht="14">
      <c r="A60" s="597"/>
      <c r="D60" s="2144"/>
      <c r="E60" s="2144"/>
      <c r="F60" s="2144"/>
      <c r="G60" s="2144"/>
      <c r="H60" s="2144"/>
      <c r="I60" s="2144"/>
      <c r="J60" s="2144"/>
      <c r="K60" s="2144"/>
      <c r="L60" s="2144"/>
      <c r="M60" s="2144"/>
      <c r="N60" s="2144"/>
      <c r="O60" s="2144"/>
      <c r="P60" s="2144"/>
      <c r="Q60" s="2144"/>
      <c r="R60" s="2144"/>
      <c r="S60" s="2144"/>
      <c r="T60" s="2144"/>
      <c r="U60" s="2144"/>
      <c r="V60" s="2144"/>
      <c r="W60" s="2144"/>
      <c r="X60" s="2144"/>
      <c r="Y60" s="2144"/>
      <c r="Z60" s="2144"/>
      <c r="AA60" s="2144"/>
      <c r="AB60" s="2144"/>
      <c r="AC60" s="2144"/>
      <c r="AD60" s="2144"/>
      <c r="AE60" s="2144"/>
      <c r="AF60" s="2144"/>
      <c r="AG60" s="2144"/>
    </row>
    <row r="61" spans="1:33" s="584" customFormat="1" ht="13.9" customHeight="1">
      <c r="A61" s="597"/>
      <c r="D61" s="2126" t="s">
        <v>3066</v>
      </c>
      <c r="E61" s="2126"/>
      <c r="F61" s="2126"/>
      <c r="G61" s="2126"/>
      <c r="H61" s="2126"/>
      <c r="I61" s="2126"/>
      <c r="J61" s="2126"/>
      <c r="K61" s="2126"/>
      <c r="L61" s="2126"/>
      <c r="M61" s="2126"/>
      <c r="N61" s="2126"/>
      <c r="O61" s="2126"/>
      <c r="P61" s="2126"/>
      <c r="Q61" s="2126"/>
      <c r="R61" s="2126"/>
      <c r="S61" s="2126"/>
      <c r="T61" s="2126"/>
      <c r="U61" s="2126"/>
      <c r="V61" s="2126"/>
      <c r="W61" s="2126"/>
      <c r="X61" s="2126"/>
      <c r="Y61" s="2126"/>
      <c r="Z61" s="2126"/>
      <c r="AA61" s="2126"/>
      <c r="AB61" s="2126"/>
      <c r="AC61" s="2126"/>
      <c r="AD61" s="2126"/>
      <c r="AE61" s="2126"/>
      <c r="AF61" s="2126"/>
      <c r="AG61" s="2126"/>
    </row>
    <row r="62" spans="1:33" s="584" customFormat="1" ht="14">
      <c r="A62" s="597"/>
      <c r="D62" s="2126"/>
      <c r="E62" s="2126"/>
      <c r="F62" s="2126"/>
      <c r="G62" s="2126"/>
      <c r="H62" s="2126"/>
      <c r="I62" s="2126"/>
      <c r="J62" s="2126"/>
      <c r="K62" s="2126"/>
      <c r="L62" s="2126"/>
      <c r="M62" s="2126"/>
      <c r="N62" s="2126"/>
      <c r="O62" s="2126"/>
      <c r="P62" s="2126"/>
      <c r="Q62" s="2126"/>
      <c r="R62" s="2126"/>
      <c r="S62" s="2126"/>
      <c r="T62" s="2126"/>
      <c r="U62" s="2126"/>
      <c r="V62" s="2126"/>
      <c r="W62" s="2126"/>
      <c r="X62" s="2126"/>
      <c r="Y62" s="2126"/>
      <c r="Z62" s="2126"/>
      <c r="AA62" s="2126"/>
      <c r="AB62" s="2126"/>
      <c r="AC62" s="2126"/>
      <c r="AD62" s="2126"/>
      <c r="AE62" s="2126"/>
      <c r="AF62" s="2126"/>
      <c r="AG62" s="2126"/>
    </row>
    <row r="63" spans="1:33" s="584" customFormat="1" ht="14">
      <c r="A63" s="597"/>
      <c r="D63" s="2126"/>
      <c r="E63" s="2126"/>
      <c r="F63" s="2126"/>
      <c r="G63" s="2126"/>
      <c r="H63" s="2126"/>
      <c r="I63" s="2126"/>
      <c r="J63" s="2126"/>
      <c r="K63" s="2126"/>
      <c r="L63" s="2126"/>
      <c r="M63" s="2126"/>
      <c r="N63" s="2126"/>
      <c r="O63" s="2126"/>
      <c r="P63" s="2126"/>
      <c r="Q63" s="2126"/>
      <c r="R63" s="2126"/>
      <c r="S63" s="2126"/>
      <c r="T63" s="2126"/>
      <c r="U63" s="2126"/>
      <c r="V63" s="2126"/>
      <c r="W63" s="2126"/>
      <c r="X63" s="2126"/>
      <c r="Y63" s="2126"/>
      <c r="Z63" s="2126"/>
      <c r="AA63" s="2126"/>
      <c r="AB63" s="2126"/>
      <c r="AC63" s="2126"/>
      <c r="AD63" s="2126"/>
      <c r="AE63" s="2126"/>
      <c r="AF63" s="2126"/>
      <c r="AG63" s="2126"/>
    </row>
    <row r="64" spans="1:33" s="584" customFormat="1" ht="14">
      <c r="A64" s="597"/>
      <c r="D64" s="1555" t="s">
        <v>3067</v>
      </c>
      <c r="E64" s="1558"/>
      <c r="F64" s="1558"/>
      <c r="G64" s="1558"/>
      <c r="H64" s="1558"/>
      <c r="I64" s="1558"/>
      <c r="J64" s="1558"/>
      <c r="K64" s="1558"/>
      <c r="L64" s="1558"/>
      <c r="M64" s="1558"/>
      <c r="N64" s="1558"/>
      <c r="O64" s="1558"/>
      <c r="P64" s="1558"/>
      <c r="Q64" s="1558"/>
      <c r="R64" s="1558"/>
      <c r="S64" s="1558"/>
      <c r="T64" s="1558"/>
      <c r="U64" s="1558"/>
      <c r="V64" s="1558"/>
      <c r="W64" s="1558"/>
      <c r="X64" s="1558"/>
      <c r="Y64" s="1558"/>
      <c r="Z64" s="1558"/>
      <c r="AA64" s="1558"/>
      <c r="AB64" s="1558"/>
      <c r="AC64" s="1558"/>
      <c r="AD64" s="1558"/>
      <c r="AE64" s="1558"/>
      <c r="AF64" s="1558"/>
      <c r="AG64" s="1558"/>
    </row>
    <row r="65" spans="1:33" s="584" customFormat="1" ht="14">
      <c r="A65" s="597"/>
      <c r="D65" s="2710" t="s">
        <v>3068</v>
      </c>
      <c r="E65" s="2710"/>
      <c r="F65" s="2710"/>
      <c r="G65" s="2710"/>
      <c r="H65" s="2710"/>
      <c r="I65" s="2710"/>
      <c r="J65" s="2710"/>
      <c r="K65" s="2710"/>
      <c r="L65" s="2710"/>
      <c r="M65" s="2710"/>
      <c r="N65" s="2710"/>
      <c r="O65" s="2710"/>
      <c r="P65" s="2710"/>
      <c r="Q65" s="2710"/>
      <c r="R65" s="2710"/>
      <c r="S65" s="2710"/>
      <c r="T65" s="2710"/>
      <c r="U65" s="2710"/>
      <c r="V65" s="2710"/>
      <c r="W65" s="2710"/>
      <c r="X65" s="2710"/>
      <c r="Y65" s="2710"/>
      <c r="Z65" s="2710"/>
      <c r="AA65" s="2710"/>
      <c r="AB65" s="2710"/>
      <c r="AC65" s="2710"/>
      <c r="AD65" s="2710"/>
      <c r="AE65" s="2710"/>
      <c r="AF65" s="2710"/>
      <c r="AG65" s="2710"/>
    </row>
    <row r="66" spans="1:33" s="584" customFormat="1" ht="14">
      <c r="A66" s="597"/>
      <c r="D66" s="1560"/>
      <c r="E66" s="1560"/>
      <c r="F66" s="1560"/>
      <c r="G66" s="1560"/>
      <c r="H66" s="1560"/>
      <c r="I66" s="1560"/>
      <c r="J66" s="1560"/>
      <c r="K66" s="1560"/>
      <c r="L66" s="1560"/>
      <c r="M66" s="1560"/>
      <c r="N66" s="1560"/>
      <c r="O66" s="1560"/>
      <c r="P66" s="1560"/>
      <c r="Q66" s="1560"/>
      <c r="R66" s="1560"/>
      <c r="S66" s="1560"/>
      <c r="T66" s="1560"/>
      <c r="U66" s="1560"/>
      <c r="V66" s="1560"/>
      <c r="W66" s="1560"/>
      <c r="X66" s="1560"/>
      <c r="Y66" s="1560"/>
      <c r="Z66" s="1560"/>
      <c r="AA66" s="1560"/>
      <c r="AB66" s="1560"/>
      <c r="AC66" s="1560"/>
      <c r="AD66" s="1560"/>
      <c r="AE66" s="1560"/>
      <c r="AF66" s="1560"/>
      <c r="AG66" s="1560"/>
    </row>
    <row r="67" spans="1:33" s="584" customFormat="1" ht="14">
      <c r="A67" s="597"/>
      <c r="D67" s="1547"/>
      <c r="E67" s="1547"/>
      <c r="F67" s="1547"/>
      <c r="G67" s="1547"/>
      <c r="H67" s="1547"/>
      <c r="I67" s="1547"/>
      <c r="J67" s="1547"/>
      <c r="K67" s="1547"/>
      <c r="L67" s="1547"/>
      <c r="M67" s="1547"/>
      <c r="N67" s="1547"/>
      <c r="O67" s="1547"/>
      <c r="P67" s="1547"/>
      <c r="Q67" s="1547"/>
      <c r="R67" s="1547"/>
      <c r="S67" s="1547"/>
      <c r="T67" s="1547"/>
      <c r="U67" s="1547"/>
      <c r="V67" s="1547"/>
      <c r="W67" s="1547"/>
      <c r="X67" s="1547"/>
      <c r="Y67" s="1547"/>
      <c r="Z67" s="1547"/>
      <c r="AA67" s="1547"/>
      <c r="AB67" s="1547"/>
      <c r="AC67" s="1547"/>
      <c r="AD67" s="1547"/>
      <c r="AE67" s="1547"/>
      <c r="AF67" s="1547"/>
      <c r="AG67" s="1547"/>
    </row>
    <row r="68" spans="1:33" s="584" customFormat="1" ht="14">
      <c r="A68" s="597"/>
      <c r="D68" s="582" t="s">
        <v>2961</v>
      </c>
      <c r="H68" s="1547"/>
      <c r="I68" s="1547"/>
      <c r="J68" s="1547"/>
      <c r="K68" s="1547"/>
      <c r="L68" s="1547"/>
      <c r="M68" s="1547"/>
      <c r="N68" s="1547"/>
      <c r="O68" s="1547"/>
      <c r="P68" s="1547"/>
      <c r="Q68" s="1547"/>
      <c r="R68" s="1547"/>
      <c r="S68" s="1547"/>
      <c r="T68" s="1547"/>
      <c r="U68" s="1547"/>
      <c r="V68" s="1547"/>
      <c r="W68" s="1547"/>
      <c r="X68" s="1547"/>
      <c r="Y68" s="1547"/>
      <c r="Z68" s="1547"/>
      <c r="AA68" s="1547"/>
      <c r="AB68" s="1547"/>
      <c r="AC68" s="1547"/>
      <c r="AD68" s="1547"/>
      <c r="AE68" s="1547"/>
      <c r="AF68" s="1547"/>
      <c r="AG68" s="1547"/>
    </row>
    <row r="69" spans="1:33" s="584" customFormat="1" ht="14">
      <c r="A69" s="597"/>
      <c r="D69" s="1546"/>
      <c r="E69" s="1547"/>
      <c r="F69" s="1547"/>
      <c r="G69" s="1547"/>
      <c r="H69" s="1547"/>
      <c r="I69" s="1547"/>
      <c r="J69" s="1547"/>
      <c r="K69" s="1547"/>
      <c r="L69" s="1547"/>
      <c r="M69" s="1547"/>
      <c r="N69" s="1547"/>
      <c r="O69" s="1547"/>
      <c r="P69" s="1547"/>
      <c r="Q69" s="1547"/>
      <c r="R69" s="1547"/>
      <c r="S69" s="1547"/>
      <c r="T69" s="1547"/>
      <c r="U69" s="1547"/>
      <c r="V69" s="1547"/>
      <c r="W69" s="1547"/>
      <c r="X69" s="1547"/>
      <c r="Y69" s="1547"/>
      <c r="Z69" s="1547"/>
      <c r="AA69" s="1547"/>
      <c r="AB69" s="1547"/>
      <c r="AC69" s="1547"/>
      <c r="AD69" s="1547"/>
      <c r="AE69" s="1547"/>
      <c r="AF69" s="1547"/>
      <c r="AG69" s="1547"/>
    </row>
    <row r="70" spans="1:33" s="584" customFormat="1" ht="14.15" customHeight="1">
      <c r="A70" s="597"/>
      <c r="D70" s="2126" t="s">
        <v>3011</v>
      </c>
      <c r="E70" s="2126"/>
      <c r="F70" s="2126"/>
      <c r="G70" s="2126"/>
      <c r="H70" s="2126"/>
      <c r="I70" s="2126"/>
      <c r="J70" s="2126"/>
      <c r="K70" s="2126"/>
      <c r="L70" s="2126"/>
      <c r="M70" s="2126"/>
      <c r="N70" s="2126"/>
      <c r="O70" s="2126"/>
      <c r="P70" s="2126"/>
      <c r="Q70" s="2126"/>
      <c r="R70" s="2126"/>
      <c r="S70" s="2126"/>
      <c r="T70" s="2126"/>
      <c r="U70" s="2126"/>
      <c r="V70" s="2126"/>
      <c r="W70" s="2126"/>
      <c r="X70" s="2126"/>
      <c r="Y70" s="2126"/>
      <c r="Z70" s="2126"/>
      <c r="AA70" s="2126"/>
      <c r="AB70" s="2126"/>
      <c r="AC70" s="2126"/>
      <c r="AD70" s="2126"/>
      <c r="AE70" s="2126"/>
      <c r="AF70" s="2126"/>
      <c r="AG70" s="2126"/>
    </row>
    <row r="71" spans="1:33" s="584" customFormat="1" ht="14">
      <c r="A71" s="597"/>
      <c r="D71" s="1548"/>
      <c r="E71" s="1547"/>
      <c r="F71" s="1545"/>
      <c r="G71" s="1547"/>
      <c r="H71" s="1547"/>
      <c r="I71" s="1547"/>
      <c r="J71" s="1547"/>
      <c r="K71" s="1547"/>
      <c r="L71" s="1547"/>
      <c r="M71" s="1547"/>
      <c r="N71" s="1547"/>
      <c r="O71" s="1547"/>
      <c r="P71" s="1547"/>
      <c r="Q71" s="1547"/>
      <c r="R71" s="1547"/>
      <c r="S71" s="1547"/>
      <c r="T71" s="1547"/>
      <c r="U71" s="1547"/>
      <c r="V71" s="1547"/>
      <c r="W71" s="1547"/>
      <c r="X71" s="1547"/>
      <c r="Y71" s="1547"/>
      <c r="Z71" s="1547"/>
      <c r="AA71" s="1547"/>
      <c r="AB71" s="1547"/>
      <c r="AC71" s="1547"/>
      <c r="AD71" s="1547"/>
      <c r="AE71" s="1547"/>
      <c r="AF71" s="1547"/>
      <c r="AG71" s="1547"/>
    </row>
    <row r="72" spans="1:33" s="584" customFormat="1" ht="14">
      <c r="A72" s="597"/>
      <c r="D72" s="582" t="s">
        <v>2962</v>
      </c>
      <c r="E72" s="1547"/>
      <c r="F72" s="1547"/>
      <c r="G72" s="1547"/>
      <c r="H72" s="1547"/>
      <c r="I72" s="1547"/>
      <c r="J72" s="1547"/>
      <c r="K72" s="1547"/>
      <c r="L72" s="1547"/>
      <c r="M72" s="1547"/>
      <c r="N72" s="1547"/>
      <c r="O72" s="1547"/>
      <c r="P72" s="1547"/>
      <c r="Q72" s="1547"/>
      <c r="R72" s="1547"/>
      <c r="S72" s="1547"/>
      <c r="T72" s="1547"/>
      <c r="U72" s="1547"/>
      <c r="V72" s="1547"/>
      <c r="W72" s="1547"/>
      <c r="X72" s="1547"/>
      <c r="Y72" s="1547"/>
      <c r="Z72" s="1547"/>
      <c r="AA72" s="1547"/>
      <c r="AB72" s="1547"/>
      <c r="AC72" s="1547"/>
      <c r="AD72" s="1547"/>
      <c r="AE72" s="1547"/>
      <c r="AF72" s="1547"/>
      <c r="AG72" s="1547"/>
    </row>
    <row r="73" spans="1:33" s="584" customFormat="1" ht="14">
      <c r="A73" s="597"/>
      <c r="D73" s="582"/>
      <c r="E73" s="1547"/>
      <c r="F73" s="1547"/>
      <c r="G73" s="1547"/>
      <c r="H73" s="1547"/>
      <c r="I73" s="1547"/>
      <c r="J73" s="1547"/>
      <c r="K73" s="1547"/>
      <c r="L73" s="1547"/>
      <c r="M73" s="1547"/>
      <c r="N73" s="1547"/>
      <c r="O73" s="1547"/>
      <c r="P73" s="1547"/>
      <c r="Q73" s="1547"/>
      <c r="R73" s="1547"/>
      <c r="S73" s="1547"/>
      <c r="T73" s="1547"/>
      <c r="U73" s="1547"/>
      <c r="V73" s="1547"/>
      <c r="W73" s="1547"/>
      <c r="X73" s="1547"/>
      <c r="Y73" s="1547"/>
      <c r="Z73" s="1547"/>
      <c r="AA73" s="1547"/>
      <c r="AB73" s="1547"/>
      <c r="AC73" s="1547"/>
      <c r="AD73" s="1547"/>
      <c r="AE73" s="1547"/>
      <c r="AF73" s="1547"/>
      <c r="AG73" s="1547"/>
    </row>
    <row r="74" spans="1:33" s="584" customFormat="1" ht="14">
      <c r="A74" s="597"/>
      <c r="D74" s="2100" t="s">
        <v>3012</v>
      </c>
      <c r="E74" s="2144"/>
      <c r="F74" s="2144"/>
      <c r="G74" s="2144"/>
      <c r="H74" s="2144"/>
      <c r="I74" s="2144"/>
      <c r="J74" s="2144"/>
      <c r="K74" s="2144"/>
      <c r="L74" s="2144"/>
      <c r="M74" s="2144"/>
      <c r="N74" s="2144"/>
      <c r="O74" s="2144"/>
      <c r="P74" s="2144"/>
      <c r="Q74" s="2144"/>
      <c r="R74" s="2144"/>
      <c r="S74" s="2144"/>
      <c r="T74" s="2144"/>
      <c r="U74" s="2144"/>
      <c r="V74" s="2144"/>
      <c r="W74" s="2144"/>
      <c r="X74" s="2144"/>
      <c r="Y74" s="2144"/>
      <c r="Z74" s="2144"/>
      <c r="AA74" s="2144"/>
      <c r="AB74" s="2144"/>
      <c r="AC74" s="2144"/>
      <c r="AD74" s="2144"/>
      <c r="AE74" s="2144"/>
      <c r="AF74" s="2144"/>
      <c r="AG74" s="2144"/>
    </row>
    <row r="75" spans="1:33" s="584" customFormat="1" ht="14">
      <c r="A75" s="597"/>
      <c r="D75" s="2144"/>
      <c r="E75" s="2144"/>
      <c r="F75" s="2144"/>
      <c r="G75" s="2144"/>
      <c r="H75" s="2144"/>
      <c r="I75" s="2144"/>
      <c r="J75" s="2144"/>
      <c r="K75" s="2144"/>
      <c r="L75" s="2144"/>
      <c r="M75" s="2144"/>
      <c r="N75" s="2144"/>
      <c r="O75" s="2144"/>
      <c r="P75" s="2144"/>
      <c r="Q75" s="2144"/>
      <c r="R75" s="2144"/>
      <c r="S75" s="2144"/>
      <c r="T75" s="2144"/>
      <c r="U75" s="2144"/>
      <c r="V75" s="2144"/>
      <c r="W75" s="2144"/>
      <c r="X75" s="2144"/>
      <c r="Y75" s="2144"/>
      <c r="Z75" s="2144"/>
      <c r="AA75" s="2144"/>
      <c r="AB75" s="2144"/>
      <c r="AC75" s="2144"/>
      <c r="AD75" s="2144"/>
      <c r="AE75" s="2144"/>
      <c r="AF75" s="2144"/>
      <c r="AG75" s="2144"/>
    </row>
    <row r="76" spans="1:33" s="584" customFormat="1" ht="14.5">
      <c r="A76" s="597"/>
      <c r="D76" s="1422"/>
      <c r="E76" s="1422"/>
      <c r="F76" s="1422"/>
      <c r="G76" s="1422"/>
      <c r="H76" s="1422"/>
      <c r="I76" s="1422"/>
      <c r="J76" s="1422"/>
      <c r="K76" s="1422"/>
      <c r="L76" s="1422"/>
      <c r="M76" s="1422"/>
      <c r="N76" s="1422"/>
      <c r="O76" s="1422"/>
      <c r="P76" s="1422"/>
      <c r="Q76" s="1422"/>
      <c r="R76" s="1422"/>
      <c r="S76" s="1422"/>
      <c r="T76" s="1422"/>
      <c r="U76" s="1422"/>
      <c r="V76" s="1422"/>
      <c r="W76" s="1422"/>
      <c r="X76" s="1422"/>
      <c r="Y76" s="1422"/>
      <c r="Z76" s="1422"/>
      <c r="AA76" s="1422"/>
      <c r="AB76" s="1422"/>
      <c r="AC76" s="1422"/>
      <c r="AD76" s="1422"/>
      <c r="AE76" s="1422"/>
      <c r="AF76" s="1422"/>
      <c r="AG76" s="1422"/>
    </row>
    <row r="77" spans="1:33" s="584" customFormat="1" ht="14">
      <c r="A77" s="597"/>
    </row>
    <row r="78" spans="1:33" s="584" customFormat="1" ht="14">
      <c r="A78" s="597"/>
      <c r="D78" s="582" t="s">
        <v>2963</v>
      </c>
    </row>
    <row r="79" spans="1:33" s="584" customFormat="1" ht="14">
      <c r="A79" s="597"/>
    </row>
    <row r="80" spans="1:33" s="584" customFormat="1" ht="14">
      <c r="A80" s="597"/>
      <c r="D80" s="2100" t="s">
        <v>3013</v>
      </c>
      <c r="E80" s="2144"/>
      <c r="F80" s="2144"/>
      <c r="G80" s="2144"/>
      <c r="H80" s="2144"/>
      <c r="I80" s="2144"/>
      <c r="J80" s="2144"/>
      <c r="K80" s="2144"/>
      <c r="L80" s="2144"/>
      <c r="M80" s="2144"/>
      <c r="N80" s="2144"/>
      <c r="O80" s="2144"/>
      <c r="P80" s="2144"/>
      <c r="Q80" s="2144"/>
      <c r="R80" s="2144"/>
      <c r="S80" s="2144"/>
      <c r="T80" s="2144"/>
      <c r="U80" s="2144"/>
      <c r="V80" s="2144"/>
      <c r="W80" s="2144"/>
      <c r="X80" s="2144"/>
      <c r="Y80" s="2144"/>
      <c r="Z80" s="2144"/>
      <c r="AA80" s="2144"/>
      <c r="AB80" s="2144"/>
      <c r="AC80" s="2144"/>
      <c r="AD80" s="2144"/>
      <c r="AE80" s="2144"/>
      <c r="AF80" s="2144"/>
      <c r="AG80" s="2144"/>
    </row>
    <row r="81" spans="1:33" s="584" customFormat="1" ht="14">
      <c r="A81" s="597"/>
      <c r="D81" s="2144"/>
      <c r="E81" s="2144"/>
      <c r="F81" s="2144"/>
      <c r="G81" s="2144"/>
      <c r="H81" s="2144"/>
      <c r="I81" s="2144"/>
      <c r="J81" s="2144"/>
      <c r="K81" s="2144"/>
      <c r="L81" s="2144"/>
      <c r="M81" s="2144"/>
      <c r="N81" s="2144"/>
      <c r="O81" s="2144"/>
      <c r="P81" s="2144"/>
      <c r="Q81" s="2144"/>
      <c r="R81" s="2144"/>
      <c r="S81" s="2144"/>
      <c r="T81" s="2144"/>
      <c r="U81" s="2144"/>
      <c r="V81" s="2144"/>
      <c r="W81" s="2144"/>
      <c r="X81" s="2144"/>
      <c r="Y81" s="2144"/>
      <c r="Z81" s="2144"/>
      <c r="AA81" s="2144"/>
      <c r="AB81" s="2144"/>
      <c r="AC81" s="2144"/>
      <c r="AD81" s="2144"/>
      <c r="AE81" s="2144"/>
      <c r="AF81" s="2144"/>
      <c r="AG81" s="2144"/>
    </row>
    <row r="82" spans="1:33" s="584" customFormat="1" ht="14">
      <c r="A82" s="597"/>
    </row>
    <row r="83" spans="1:33" s="584" customFormat="1" ht="14">
      <c r="A83" s="597"/>
      <c r="D83" s="582" t="s">
        <v>1752</v>
      </c>
    </row>
    <row r="84" spans="1:33" s="584" customFormat="1" ht="14">
      <c r="A84" s="597"/>
    </row>
    <row r="85" spans="1:33" s="584" customFormat="1" ht="14">
      <c r="A85" s="597"/>
      <c r="D85" s="2100" t="s">
        <v>1753</v>
      </c>
      <c r="E85" s="2144"/>
      <c r="F85" s="2144"/>
      <c r="G85" s="2144"/>
      <c r="H85" s="2144"/>
      <c r="I85" s="2144"/>
      <c r="J85" s="2144"/>
      <c r="K85" s="2144"/>
      <c r="L85" s="2144"/>
      <c r="M85" s="2144"/>
      <c r="N85" s="2144"/>
      <c r="O85" s="2144"/>
      <c r="P85" s="2144"/>
      <c r="Q85" s="2144"/>
      <c r="R85" s="2144"/>
      <c r="S85" s="2144"/>
      <c r="T85" s="2144"/>
      <c r="U85" s="2144"/>
      <c r="V85" s="2144"/>
      <c r="W85" s="2144"/>
      <c r="X85" s="2144"/>
      <c r="Y85" s="2144"/>
      <c r="Z85" s="2144"/>
      <c r="AA85" s="2144"/>
      <c r="AB85" s="2144"/>
      <c r="AC85" s="2144"/>
      <c r="AD85" s="2144"/>
      <c r="AE85" s="2144"/>
      <c r="AF85" s="2144"/>
      <c r="AG85" s="2144"/>
    </row>
    <row r="86" spans="1:33" s="584" customFormat="1" ht="14">
      <c r="A86" s="597"/>
      <c r="D86" s="2144"/>
      <c r="E86" s="2144"/>
      <c r="F86" s="2144"/>
      <c r="G86" s="2144"/>
      <c r="H86" s="2144"/>
      <c r="I86" s="2144"/>
      <c r="J86" s="2144"/>
      <c r="K86" s="2144"/>
      <c r="L86" s="2144"/>
      <c r="M86" s="2144"/>
      <c r="N86" s="2144"/>
      <c r="O86" s="2144"/>
      <c r="P86" s="2144"/>
      <c r="Q86" s="2144"/>
      <c r="R86" s="2144"/>
      <c r="S86" s="2144"/>
      <c r="T86" s="2144"/>
      <c r="U86" s="2144"/>
      <c r="V86" s="2144"/>
      <c r="W86" s="2144"/>
      <c r="X86" s="2144"/>
      <c r="Y86" s="2144"/>
      <c r="Z86" s="2144"/>
      <c r="AA86" s="2144"/>
      <c r="AB86" s="2144"/>
      <c r="AC86" s="2144"/>
      <c r="AD86" s="2144"/>
      <c r="AE86" s="2144"/>
      <c r="AF86" s="2144"/>
      <c r="AG86" s="2144"/>
    </row>
    <row r="87" spans="1:33" s="584" customFormat="1" ht="14">
      <c r="A87" s="597"/>
    </row>
    <row r="88" spans="1:33" s="584" customFormat="1" ht="14">
      <c r="A88" s="597"/>
      <c r="D88" s="2100" t="s">
        <v>1754</v>
      </c>
      <c r="E88" s="2144"/>
      <c r="F88" s="2144"/>
      <c r="G88" s="2144"/>
      <c r="H88" s="2144"/>
      <c r="I88" s="2144"/>
      <c r="J88" s="2144"/>
      <c r="K88" s="2144"/>
      <c r="L88" s="2144"/>
      <c r="M88" s="2144"/>
      <c r="N88" s="2144"/>
      <c r="O88" s="2144"/>
      <c r="P88" s="2144"/>
      <c r="Q88" s="2144"/>
      <c r="R88" s="2144"/>
      <c r="S88" s="2144"/>
      <c r="T88" s="2144"/>
      <c r="U88" s="2144"/>
      <c r="V88" s="2144"/>
      <c r="W88" s="2144"/>
      <c r="X88" s="2144"/>
      <c r="Y88" s="2144"/>
      <c r="Z88" s="2144"/>
      <c r="AA88" s="2144"/>
      <c r="AB88" s="2144"/>
      <c r="AC88" s="2144"/>
      <c r="AD88" s="2144"/>
      <c r="AE88" s="2144"/>
      <c r="AF88" s="2144"/>
      <c r="AG88" s="2144"/>
    </row>
    <row r="89" spans="1:33" s="584" customFormat="1" ht="14">
      <c r="A89" s="597"/>
      <c r="D89" s="2144"/>
      <c r="E89" s="2144"/>
      <c r="F89" s="2144"/>
      <c r="G89" s="2144"/>
      <c r="H89" s="2144"/>
      <c r="I89" s="2144"/>
      <c r="J89" s="2144"/>
      <c r="K89" s="2144"/>
      <c r="L89" s="2144"/>
      <c r="M89" s="2144"/>
      <c r="N89" s="2144"/>
      <c r="O89" s="2144"/>
      <c r="P89" s="2144"/>
      <c r="Q89" s="2144"/>
      <c r="R89" s="2144"/>
      <c r="S89" s="2144"/>
      <c r="T89" s="2144"/>
      <c r="U89" s="2144"/>
      <c r="V89" s="2144"/>
      <c r="W89" s="2144"/>
      <c r="X89" s="2144"/>
      <c r="Y89" s="2144"/>
      <c r="Z89" s="2144"/>
      <c r="AA89" s="2144"/>
      <c r="AB89" s="2144"/>
      <c r="AC89" s="2144"/>
      <c r="AD89" s="2144"/>
      <c r="AE89" s="2144"/>
      <c r="AF89" s="2144"/>
      <c r="AG89" s="2144"/>
    </row>
    <row r="90" spans="1:33" s="584" customFormat="1" ht="14">
      <c r="A90" s="597"/>
    </row>
    <row r="91" spans="1:33" s="584" customFormat="1" ht="14">
      <c r="A91" s="597"/>
      <c r="D91" s="2100" t="s">
        <v>2964</v>
      </c>
      <c r="E91" s="2144"/>
      <c r="F91" s="2144"/>
      <c r="G91" s="2144"/>
      <c r="H91" s="2144"/>
      <c r="I91" s="2144"/>
      <c r="J91" s="2144"/>
      <c r="K91" s="2144"/>
      <c r="L91" s="2144"/>
      <c r="M91" s="2144"/>
      <c r="N91" s="2144"/>
      <c r="O91" s="2144"/>
      <c r="P91" s="2144"/>
      <c r="Q91" s="2144"/>
      <c r="R91" s="2144"/>
      <c r="S91" s="2144"/>
      <c r="T91" s="2144"/>
      <c r="U91" s="2144"/>
      <c r="V91" s="2144"/>
      <c r="W91" s="2144"/>
      <c r="X91" s="2144"/>
      <c r="Y91" s="2144"/>
      <c r="Z91" s="2144"/>
      <c r="AA91" s="2144"/>
      <c r="AB91" s="2144"/>
      <c r="AC91" s="2144"/>
      <c r="AD91" s="2144"/>
      <c r="AE91" s="2144"/>
      <c r="AF91" s="2144"/>
      <c r="AG91" s="2144"/>
    </row>
    <row r="92" spans="1:33" s="584" customFormat="1" ht="30.75" customHeight="1">
      <c r="A92" s="597"/>
      <c r="D92" s="2144"/>
      <c r="E92" s="2144"/>
      <c r="F92" s="2144"/>
      <c r="G92" s="2144"/>
      <c r="H92" s="2144"/>
      <c r="I92" s="2144"/>
      <c r="J92" s="2144"/>
      <c r="K92" s="2144"/>
      <c r="L92" s="2144"/>
      <c r="M92" s="2144"/>
      <c r="N92" s="2144"/>
      <c r="O92" s="2144"/>
      <c r="P92" s="2144"/>
      <c r="Q92" s="2144"/>
      <c r="R92" s="2144"/>
      <c r="S92" s="2144"/>
      <c r="T92" s="2144"/>
      <c r="U92" s="2144"/>
      <c r="V92" s="2144"/>
      <c r="W92" s="2144"/>
      <c r="X92" s="2144"/>
      <c r="Y92" s="2144"/>
      <c r="Z92" s="2144"/>
      <c r="AA92" s="2144"/>
      <c r="AB92" s="2144"/>
      <c r="AC92" s="2144"/>
      <c r="AD92" s="2144"/>
      <c r="AE92" s="2144"/>
      <c r="AF92" s="2144"/>
      <c r="AG92" s="2144"/>
    </row>
    <row r="93" spans="1:33" s="584" customFormat="1" ht="14">
      <c r="A93" s="597"/>
    </row>
    <row r="94" spans="1:33" s="584" customFormat="1" ht="14">
      <c r="A94" s="597"/>
      <c r="D94" s="600" t="s">
        <v>1755</v>
      </c>
    </row>
    <row r="95" spans="1:33" s="584" customFormat="1" ht="14">
      <c r="A95" s="597"/>
    </row>
    <row r="96" spans="1:33" s="584" customFormat="1" ht="14">
      <c r="A96" s="597"/>
      <c r="D96" s="1937" t="s">
        <v>2834</v>
      </c>
      <c r="E96" s="1938"/>
      <c r="F96" s="1938"/>
      <c r="G96" s="1938"/>
      <c r="H96" s="1938"/>
      <c r="I96" s="1938"/>
      <c r="J96" s="1938"/>
      <c r="K96" s="1938"/>
      <c r="L96" s="1938"/>
      <c r="M96" s="1938"/>
      <c r="N96" s="1938"/>
      <c r="O96" s="1938"/>
      <c r="P96" s="1938"/>
      <c r="Q96" s="1938"/>
      <c r="R96" s="1938"/>
      <c r="S96" s="1938"/>
      <c r="T96" s="1938"/>
      <c r="U96" s="1938"/>
      <c r="V96" s="1938"/>
      <c r="W96" s="1938"/>
      <c r="X96" s="1938"/>
      <c r="Y96" s="1938"/>
      <c r="Z96" s="1938"/>
      <c r="AA96" s="1938"/>
      <c r="AB96" s="1938"/>
      <c r="AC96" s="1938"/>
      <c r="AD96" s="1938"/>
      <c r="AE96" s="1938"/>
      <c r="AF96" s="1938"/>
      <c r="AG96" s="1938"/>
    </row>
    <row r="97" spans="1:33" s="584" customFormat="1" ht="28.15" customHeight="1">
      <c r="A97" s="597"/>
      <c r="D97" s="1938"/>
      <c r="E97" s="1938"/>
      <c r="F97" s="1938"/>
      <c r="G97" s="1938"/>
      <c r="H97" s="1938"/>
      <c r="I97" s="1938"/>
      <c r="J97" s="1938"/>
      <c r="K97" s="1938"/>
      <c r="L97" s="1938"/>
      <c r="M97" s="1938"/>
      <c r="N97" s="1938"/>
      <c r="O97" s="1938"/>
      <c r="P97" s="1938"/>
      <c r="Q97" s="1938"/>
      <c r="R97" s="1938"/>
      <c r="S97" s="1938"/>
      <c r="T97" s="1938"/>
      <c r="U97" s="1938"/>
      <c r="V97" s="1938"/>
      <c r="W97" s="1938"/>
      <c r="X97" s="1938"/>
      <c r="Y97" s="1938"/>
      <c r="Z97" s="1938"/>
      <c r="AA97" s="1938"/>
      <c r="AB97" s="1938"/>
      <c r="AC97" s="1938"/>
      <c r="AD97" s="1938"/>
      <c r="AE97" s="1938"/>
      <c r="AF97" s="1938"/>
      <c r="AG97" s="1938"/>
    </row>
    <row r="98" spans="1:33" s="584" customFormat="1" ht="16.149999999999999" customHeight="1">
      <c r="A98" s="597"/>
      <c r="D98" s="2185" t="s">
        <v>3069</v>
      </c>
      <c r="E98" s="2185"/>
      <c r="F98" s="2185"/>
      <c r="G98" s="2185"/>
      <c r="H98" s="2185"/>
      <c r="I98" s="2185"/>
      <c r="J98" s="2185"/>
      <c r="K98" s="2185"/>
      <c r="L98" s="2185"/>
      <c r="M98" s="2185"/>
      <c r="N98" s="2185"/>
      <c r="O98" s="2185"/>
      <c r="P98" s="2185"/>
      <c r="Q98" s="2185"/>
      <c r="R98" s="2185"/>
      <c r="S98" s="2185"/>
      <c r="T98" s="2185"/>
      <c r="U98" s="2185"/>
      <c r="V98" s="2185"/>
      <c r="W98" s="2185"/>
      <c r="X98" s="2185"/>
      <c r="Y98" s="2185"/>
      <c r="Z98" s="2185"/>
      <c r="AA98" s="2185"/>
      <c r="AB98" s="2185"/>
      <c r="AC98" s="2185"/>
      <c r="AD98" s="2185"/>
      <c r="AE98" s="2185"/>
      <c r="AF98" s="2185"/>
      <c r="AG98" s="2185"/>
    </row>
    <row r="99" spans="1:33" s="584" customFormat="1" ht="12.75" customHeight="1">
      <c r="A99" s="597"/>
      <c r="D99" s="598"/>
    </row>
    <row r="100" spans="1:33" s="584" customFormat="1" ht="14">
      <c r="A100" s="597"/>
      <c r="D100" s="2100" t="s">
        <v>1760</v>
      </c>
      <c r="E100" s="2144"/>
      <c r="F100" s="2144"/>
      <c r="G100" s="2144"/>
      <c r="H100" s="2144"/>
      <c r="I100" s="2144"/>
      <c r="J100" s="2144"/>
      <c r="K100" s="2144"/>
      <c r="L100" s="2144"/>
      <c r="M100" s="2144"/>
      <c r="N100" s="2144"/>
      <c r="O100" s="2144"/>
      <c r="P100" s="2144"/>
      <c r="Q100" s="2144"/>
      <c r="R100" s="2144"/>
      <c r="S100" s="2144"/>
      <c r="T100" s="2144"/>
      <c r="U100" s="2144"/>
      <c r="V100" s="2144"/>
      <c r="W100" s="2144"/>
      <c r="X100" s="2144"/>
      <c r="Y100" s="2144"/>
      <c r="Z100" s="2144"/>
      <c r="AA100" s="2144"/>
      <c r="AB100" s="2144"/>
      <c r="AC100" s="2144"/>
      <c r="AD100" s="2144"/>
      <c r="AE100" s="2144"/>
      <c r="AF100" s="2144"/>
      <c r="AG100" s="2144"/>
    </row>
    <row r="101" spans="1:33" s="584" customFormat="1" ht="14">
      <c r="A101" s="597"/>
      <c r="D101" s="2144"/>
      <c r="E101" s="2144"/>
      <c r="F101" s="2144"/>
      <c r="G101" s="2144"/>
      <c r="H101" s="2144"/>
      <c r="I101" s="2144"/>
      <c r="J101" s="2144"/>
      <c r="K101" s="2144"/>
      <c r="L101" s="2144"/>
      <c r="M101" s="2144"/>
      <c r="N101" s="2144"/>
      <c r="O101" s="2144"/>
      <c r="P101" s="2144"/>
      <c r="Q101" s="2144"/>
      <c r="R101" s="2144"/>
      <c r="S101" s="2144"/>
      <c r="T101" s="2144"/>
      <c r="U101" s="2144"/>
      <c r="V101" s="2144"/>
      <c r="W101" s="2144"/>
      <c r="X101" s="2144"/>
      <c r="Y101" s="2144"/>
      <c r="Z101" s="2144"/>
      <c r="AA101" s="2144"/>
      <c r="AB101" s="2144"/>
      <c r="AC101" s="2144"/>
      <c r="AD101" s="2144"/>
      <c r="AE101" s="2144"/>
      <c r="AF101" s="2144"/>
      <c r="AG101" s="2144"/>
    </row>
    <row r="102" spans="1:33" s="584" customFormat="1" ht="14">
      <c r="A102" s="597"/>
    </row>
    <row r="103" spans="1:33" s="584" customFormat="1" ht="14">
      <c r="A103" s="597"/>
      <c r="D103" s="582" t="s">
        <v>1761</v>
      </c>
    </row>
    <row r="104" spans="1:33" s="584" customFormat="1" ht="14">
      <c r="A104" s="597"/>
    </row>
    <row r="105" spans="1:33" s="584" customFormat="1" ht="14">
      <c r="A105" s="597"/>
      <c r="D105" s="2100" t="s">
        <v>1762</v>
      </c>
      <c r="E105" s="2144"/>
      <c r="F105" s="2144"/>
      <c r="G105" s="2144"/>
      <c r="H105" s="2144"/>
      <c r="I105" s="2144"/>
      <c r="J105" s="2144"/>
      <c r="K105" s="2144"/>
      <c r="L105" s="2144"/>
      <c r="M105" s="2144"/>
      <c r="N105" s="2144"/>
      <c r="O105" s="2144"/>
      <c r="P105" s="2144"/>
      <c r="Q105" s="2144"/>
      <c r="R105" s="2144"/>
      <c r="S105" s="2144"/>
      <c r="T105" s="2144"/>
      <c r="U105" s="2144"/>
      <c r="V105" s="2144"/>
      <c r="W105" s="2144"/>
      <c r="X105" s="2144"/>
      <c r="Y105" s="2144"/>
      <c r="Z105" s="2144"/>
      <c r="AA105" s="2144"/>
      <c r="AB105" s="2144"/>
      <c r="AC105" s="2144"/>
      <c r="AD105" s="2144"/>
      <c r="AE105" s="2144"/>
      <c r="AF105" s="2144"/>
      <c r="AG105" s="2144"/>
    </row>
    <row r="106" spans="1:33" s="584" customFormat="1" ht="14">
      <c r="A106" s="597"/>
      <c r="D106" s="2144"/>
      <c r="E106" s="2144"/>
      <c r="F106" s="2144"/>
      <c r="G106" s="2144"/>
      <c r="H106" s="2144"/>
      <c r="I106" s="2144"/>
      <c r="J106" s="2144"/>
      <c r="K106" s="2144"/>
      <c r="L106" s="2144"/>
      <c r="M106" s="2144"/>
      <c r="N106" s="2144"/>
      <c r="O106" s="2144"/>
      <c r="P106" s="2144"/>
      <c r="Q106" s="2144"/>
      <c r="R106" s="2144"/>
      <c r="S106" s="2144"/>
      <c r="T106" s="2144"/>
      <c r="U106" s="2144"/>
      <c r="V106" s="2144"/>
      <c r="W106" s="2144"/>
      <c r="X106" s="2144"/>
      <c r="Y106" s="2144"/>
      <c r="Z106" s="2144"/>
      <c r="AA106" s="2144"/>
      <c r="AB106" s="2144"/>
      <c r="AC106" s="2144"/>
      <c r="AD106" s="2144"/>
      <c r="AE106" s="2144"/>
      <c r="AF106" s="2144"/>
      <c r="AG106" s="2144"/>
    </row>
    <row r="107" spans="1:33" s="584" customFormat="1" ht="14">
      <c r="A107" s="597"/>
    </row>
    <row r="108" spans="1:33" s="584" customFormat="1" ht="14">
      <c r="A108" s="597"/>
      <c r="D108" s="2100" t="s">
        <v>1763</v>
      </c>
      <c r="E108" s="2144"/>
      <c r="F108" s="2144"/>
      <c r="G108" s="2144"/>
      <c r="H108" s="2144"/>
      <c r="I108" s="2144"/>
      <c r="J108" s="2144"/>
      <c r="K108" s="2144"/>
      <c r="L108" s="2144"/>
      <c r="M108" s="2144"/>
      <c r="N108" s="2144"/>
      <c r="O108" s="2144"/>
      <c r="P108" s="2144"/>
      <c r="Q108" s="2144"/>
      <c r="R108" s="2144"/>
      <c r="S108" s="2144"/>
      <c r="T108" s="2144"/>
      <c r="U108" s="2144"/>
      <c r="V108" s="2144"/>
      <c r="W108" s="2144"/>
      <c r="X108" s="2144"/>
      <c r="Y108" s="2144"/>
      <c r="Z108" s="2144"/>
      <c r="AA108" s="2144"/>
      <c r="AB108" s="2144"/>
      <c r="AC108" s="2144"/>
      <c r="AD108" s="2144"/>
      <c r="AE108" s="2144"/>
      <c r="AF108" s="2144"/>
      <c r="AG108" s="2144"/>
    </row>
    <row r="109" spans="1:33" s="584" customFormat="1" ht="14">
      <c r="A109" s="597"/>
      <c r="D109" s="2144"/>
      <c r="E109" s="2144"/>
      <c r="F109" s="2144"/>
      <c r="G109" s="2144"/>
      <c r="H109" s="2144"/>
      <c r="I109" s="2144"/>
      <c r="J109" s="2144"/>
      <c r="K109" s="2144"/>
      <c r="L109" s="2144"/>
      <c r="M109" s="2144"/>
      <c r="N109" s="2144"/>
      <c r="O109" s="2144"/>
      <c r="P109" s="2144"/>
      <c r="Q109" s="2144"/>
      <c r="R109" s="2144"/>
      <c r="S109" s="2144"/>
      <c r="T109" s="2144"/>
      <c r="U109" s="2144"/>
      <c r="V109" s="2144"/>
      <c r="W109" s="2144"/>
      <c r="X109" s="2144"/>
      <c r="Y109" s="2144"/>
      <c r="Z109" s="2144"/>
      <c r="AA109" s="2144"/>
      <c r="AB109" s="2144"/>
      <c r="AC109" s="2144"/>
      <c r="AD109" s="2144"/>
      <c r="AE109" s="2144"/>
      <c r="AF109" s="2144"/>
      <c r="AG109" s="2144"/>
    </row>
    <row r="110" spans="1:33" s="584" customFormat="1" ht="14">
      <c r="A110" s="597"/>
    </row>
    <row r="111" spans="1:33" s="584" customFormat="1" ht="14">
      <c r="A111" s="597"/>
      <c r="D111" s="2100" t="s">
        <v>1764</v>
      </c>
      <c r="E111" s="2144"/>
      <c r="F111" s="2144"/>
      <c r="G111" s="2144"/>
      <c r="H111" s="2144"/>
      <c r="I111" s="2144"/>
      <c r="J111" s="2144"/>
      <c r="K111" s="2144"/>
      <c r="L111" s="2144"/>
      <c r="M111" s="2144"/>
      <c r="N111" s="2144"/>
      <c r="O111" s="2144"/>
      <c r="P111" s="2144"/>
      <c r="Q111" s="2144"/>
      <c r="R111" s="2144"/>
      <c r="S111" s="2144"/>
      <c r="T111" s="2144"/>
      <c r="U111" s="2144"/>
      <c r="V111" s="2144"/>
      <c r="W111" s="2144"/>
      <c r="X111" s="2144"/>
      <c r="Y111" s="2144"/>
      <c r="Z111" s="2144"/>
      <c r="AA111" s="2144"/>
      <c r="AB111" s="2144"/>
      <c r="AC111" s="2144"/>
      <c r="AD111" s="2144"/>
      <c r="AE111" s="2144"/>
      <c r="AF111" s="2144"/>
      <c r="AG111" s="2144"/>
    </row>
    <row r="112" spans="1:33" s="584" customFormat="1" ht="14">
      <c r="A112" s="597"/>
      <c r="D112" s="2144"/>
      <c r="E112" s="2144"/>
      <c r="F112" s="2144"/>
      <c r="G112" s="2144"/>
      <c r="H112" s="2144"/>
      <c r="I112" s="2144"/>
      <c r="J112" s="2144"/>
      <c r="K112" s="2144"/>
      <c r="L112" s="2144"/>
      <c r="M112" s="2144"/>
      <c r="N112" s="2144"/>
      <c r="O112" s="2144"/>
      <c r="P112" s="2144"/>
      <c r="Q112" s="2144"/>
      <c r="R112" s="2144"/>
      <c r="S112" s="2144"/>
      <c r="T112" s="2144"/>
      <c r="U112" s="2144"/>
      <c r="V112" s="2144"/>
      <c r="W112" s="2144"/>
      <c r="X112" s="2144"/>
      <c r="Y112" s="2144"/>
      <c r="Z112" s="2144"/>
      <c r="AA112" s="2144"/>
      <c r="AB112" s="2144"/>
      <c r="AC112" s="2144"/>
      <c r="AD112" s="2144"/>
      <c r="AE112" s="2144"/>
      <c r="AF112" s="2144"/>
      <c r="AG112" s="2144"/>
    </row>
    <row r="113" spans="1:33" s="584" customFormat="1" ht="14">
      <c r="A113" s="597"/>
    </row>
    <row r="114" spans="1:33" s="584" customFormat="1" ht="14">
      <c r="A114" s="597"/>
      <c r="D114" s="600" t="s">
        <v>1755</v>
      </c>
    </row>
    <row r="115" spans="1:33" s="584" customFormat="1" ht="14">
      <c r="A115" s="597"/>
    </row>
    <row r="116" spans="1:33" s="584" customFormat="1" ht="14">
      <c r="A116" s="597"/>
      <c r="D116" s="2100" t="s">
        <v>1765</v>
      </c>
      <c r="E116" s="2144"/>
      <c r="F116" s="2144"/>
      <c r="G116" s="2144"/>
      <c r="H116" s="2144"/>
      <c r="I116" s="2144"/>
      <c r="J116" s="2144"/>
      <c r="K116" s="2144"/>
      <c r="L116" s="2144"/>
      <c r="M116" s="2144"/>
      <c r="N116" s="2144"/>
      <c r="O116" s="2144"/>
      <c r="P116" s="2144"/>
      <c r="Q116" s="2144"/>
      <c r="R116" s="2144"/>
      <c r="S116" s="2144"/>
      <c r="T116" s="2144"/>
      <c r="U116" s="2144"/>
      <c r="V116" s="2144"/>
      <c r="W116" s="2144"/>
      <c r="X116" s="2144"/>
      <c r="Y116" s="2144"/>
      <c r="Z116" s="2144"/>
      <c r="AA116" s="2144"/>
      <c r="AB116" s="2144"/>
      <c r="AC116" s="2144"/>
      <c r="AD116" s="2144"/>
      <c r="AE116" s="2144"/>
      <c r="AF116" s="2144"/>
      <c r="AG116" s="2144"/>
    </row>
    <row r="117" spans="1:33" s="584" customFormat="1" ht="14">
      <c r="A117" s="597"/>
      <c r="D117" s="2144"/>
      <c r="E117" s="2144"/>
      <c r="F117" s="2144"/>
      <c r="G117" s="2144"/>
      <c r="H117" s="2144"/>
      <c r="I117" s="2144"/>
      <c r="J117" s="2144"/>
      <c r="K117" s="2144"/>
      <c r="L117" s="2144"/>
      <c r="M117" s="2144"/>
      <c r="N117" s="2144"/>
      <c r="O117" s="2144"/>
      <c r="P117" s="2144"/>
      <c r="Q117" s="2144"/>
      <c r="R117" s="2144"/>
      <c r="S117" s="2144"/>
      <c r="T117" s="2144"/>
      <c r="U117" s="2144"/>
      <c r="V117" s="2144"/>
      <c r="W117" s="2144"/>
      <c r="X117" s="2144"/>
      <c r="Y117" s="2144"/>
      <c r="Z117" s="2144"/>
      <c r="AA117" s="2144"/>
      <c r="AB117" s="2144"/>
      <c r="AC117" s="2144"/>
      <c r="AD117" s="2144"/>
      <c r="AE117" s="2144"/>
      <c r="AF117" s="2144"/>
      <c r="AG117" s="2144"/>
    </row>
    <row r="118" spans="1:33" s="584" customFormat="1" ht="14">
      <c r="A118" s="597"/>
      <c r="D118" s="2144"/>
      <c r="E118" s="2144"/>
      <c r="F118" s="2144"/>
      <c r="G118" s="2144"/>
      <c r="H118" s="2144"/>
      <c r="I118" s="2144"/>
      <c r="J118" s="2144"/>
      <c r="K118" s="2144"/>
      <c r="L118" s="2144"/>
      <c r="M118" s="2144"/>
      <c r="N118" s="2144"/>
      <c r="O118" s="2144"/>
      <c r="P118" s="2144"/>
      <c r="Q118" s="2144"/>
      <c r="R118" s="2144"/>
      <c r="S118" s="2144"/>
      <c r="T118" s="2144"/>
      <c r="U118" s="2144"/>
      <c r="V118" s="2144"/>
      <c r="W118" s="2144"/>
      <c r="X118" s="2144"/>
      <c r="Y118" s="2144"/>
      <c r="Z118" s="2144"/>
      <c r="AA118" s="2144"/>
      <c r="AB118" s="2144"/>
      <c r="AC118" s="2144"/>
      <c r="AD118" s="2144"/>
      <c r="AE118" s="2144"/>
      <c r="AF118" s="2144"/>
      <c r="AG118" s="2144"/>
    </row>
    <row r="119" spans="1:33" s="584" customFormat="1" ht="14">
      <c r="A119" s="597"/>
      <c r="D119" s="599"/>
      <c r="E119" s="599"/>
      <c r="F119" s="599"/>
      <c r="G119" s="599"/>
      <c r="H119" s="599"/>
      <c r="I119" s="599"/>
      <c r="J119" s="599"/>
      <c r="K119" s="599"/>
      <c r="L119" s="599"/>
      <c r="M119" s="599"/>
      <c r="N119" s="599"/>
      <c r="O119" s="599"/>
      <c r="P119" s="599"/>
      <c r="Q119" s="599"/>
      <c r="R119" s="599"/>
      <c r="S119" s="599"/>
      <c r="T119" s="599"/>
      <c r="U119" s="599"/>
      <c r="V119" s="599"/>
      <c r="W119" s="599"/>
      <c r="X119" s="599"/>
      <c r="Y119" s="599"/>
      <c r="Z119" s="599"/>
      <c r="AA119" s="599"/>
      <c r="AB119" s="599"/>
      <c r="AC119" s="599"/>
      <c r="AD119" s="599"/>
      <c r="AE119" s="599"/>
      <c r="AF119" s="599"/>
      <c r="AG119" s="599"/>
    </row>
    <row r="120" spans="1:33" s="584" customFormat="1" ht="29.25" customHeight="1" thickBot="1">
      <c r="A120" s="597"/>
      <c r="D120" s="602"/>
      <c r="E120" s="602"/>
      <c r="F120" s="602"/>
      <c r="G120" s="602"/>
      <c r="H120" s="602"/>
      <c r="I120" s="602"/>
      <c r="J120" s="602"/>
      <c r="K120" s="602"/>
      <c r="L120" s="602"/>
      <c r="M120" s="602"/>
      <c r="N120" s="602"/>
      <c r="O120" s="2157" t="s">
        <v>1756</v>
      </c>
      <c r="P120" s="2157"/>
      <c r="Q120" s="2157"/>
      <c r="R120" s="2157"/>
      <c r="S120" s="2157"/>
      <c r="T120" s="2157" t="s">
        <v>2893</v>
      </c>
      <c r="U120" s="2157"/>
      <c r="V120" s="2157"/>
      <c r="W120" s="2157"/>
      <c r="X120" s="2157"/>
      <c r="Y120" s="2157" t="s">
        <v>1757</v>
      </c>
      <c r="Z120" s="2157"/>
      <c r="AA120" s="2157"/>
      <c r="AB120" s="2157"/>
      <c r="AC120" s="2157"/>
    </row>
    <row r="121" spans="1:33" s="584" customFormat="1" ht="14">
      <c r="A121" s="597"/>
      <c r="D121" s="2678" t="s">
        <v>1766</v>
      </c>
      <c r="E121" s="2151"/>
      <c r="F121" s="2151"/>
      <c r="G121" s="2151"/>
      <c r="H121" s="2151"/>
      <c r="I121" s="2151"/>
      <c r="J121" s="2151"/>
      <c r="K121" s="2151"/>
      <c r="L121" s="2151"/>
      <c r="M121" s="2151"/>
      <c r="N121" s="2151"/>
      <c r="O121" s="2153" t="s">
        <v>3014</v>
      </c>
      <c r="P121" s="2153"/>
      <c r="Q121" s="2153"/>
      <c r="R121" s="2153"/>
      <c r="S121" s="2153"/>
      <c r="T121" s="2153">
        <f>'Notes- SK Template'!T114</f>
        <v>10</v>
      </c>
      <c r="U121" s="2153"/>
      <c r="V121" s="2153"/>
      <c r="W121" s="2153"/>
      <c r="X121" s="2153"/>
      <c r="Y121" s="2153" t="s">
        <v>2797</v>
      </c>
      <c r="Z121" s="2153"/>
      <c r="AA121" s="2153"/>
      <c r="AB121" s="2153"/>
      <c r="AC121" s="2153"/>
    </row>
    <row r="122" spans="1:33" s="584" customFormat="1" ht="14">
      <c r="A122" s="597"/>
      <c r="D122" s="2678" t="s">
        <v>1767</v>
      </c>
      <c r="E122" s="2151"/>
      <c r="F122" s="2151"/>
      <c r="G122" s="2151"/>
      <c r="H122" s="2151"/>
      <c r="I122" s="2151"/>
      <c r="J122" s="2151"/>
      <c r="K122" s="2151"/>
      <c r="L122" s="2151"/>
      <c r="M122" s="2151"/>
      <c r="N122" s="2151"/>
      <c r="O122" s="2153" t="s">
        <v>2894</v>
      </c>
      <c r="P122" s="2153"/>
      <c r="Q122" s="2153"/>
      <c r="R122" s="2153"/>
      <c r="S122" s="2153"/>
      <c r="T122" s="2153" t="str">
        <f>'Notes- SK Template'!T115</f>
        <v>8 - 25</v>
      </c>
      <c r="U122" s="2153"/>
      <c r="V122" s="2153"/>
      <c r="W122" s="2153"/>
      <c r="X122" s="2153"/>
      <c r="Y122" s="2153" t="s">
        <v>2797</v>
      </c>
      <c r="Z122" s="2153"/>
      <c r="AA122" s="2153"/>
      <c r="AB122" s="2153"/>
      <c r="AC122" s="2153"/>
    </row>
    <row r="123" spans="1:33" s="584" customFormat="1" ht="14">
      <c r="A123" s="597"/>
      <c r="D123" s="2678" t="s">
        <v>1768</v>
      </c>
      <c r="E123" s="2151"/>
      <c r="F123" s="2151"/>
      <c r="G123" s="2151"/>
      <c r="H123" s="2151"/>
      <c r="I123" s="2151"/>
      <c r="J123" s="2151"/>
      <c r="K123" s="2151"/>
      <c r="L123" s="2151"/>
      <c r="M123" s="2151"/>
      <c r="N123" s="2151"/>
      <c r="O123" s="2182" t="str">
        <f>'Notes- SK Template'!O116</f>
        <v>-</v>
      </c>
      <c r="P123" s="2182"/>
      <c r="Q123" s="2182"/>
      <c r="R123" s="2182"/>
      <c r="S123" s="2182"/>
      <c r="T123" s="2182" t="str">
        <f>'Notes- SK Template'!T116</f>
        <v>-</v>
      </c>
      <c r="U123" s="2182"/>
      <c r="V123" s="2182"/>
      <c r="W123" s="2182"/>
      <c r="X123" s="2182"/>
      <c r="Y123" s="2182" t="str">
        <f>'Notes- SK Template'!Y116</f>
        <v>-</v>
      </c>
      <c r="Z123" s="2182"/>
      <c r="AA123" s="2182"/>
      <c r="AB123" s="2182"/>
      <c r="AC123" s="2182"/>
    </row>
    <row r="124" spans="1:33" s="584" customFormat="1" ht="14">
      <c r="A124" s="597"/>
      <c r="D124" s="2676" t="s">
        <v>2018</v>
      </c>
      <c r="E124" s="2151"/>
      <c r="F124" s="2151"/>
      <c r="G124" s="2151"/>
      <c r="H124" s="2151"/>
      <c r="I124" s="2151"/>
      <c r="J124" s="2151"/>
      <c r="K124" s="2151"/>
      <c r="L124" s="2151"/>
      <c r="M124" s="2151"/>
      <c r="N124" s="2151"/>
      <c r="O124" s="2182" t="str">
        <f>'Notes- SK Template'!O117</f>
        <v>-</v>
      </c>
      <c r="P124" s="2182"/>
      <c r="Q124" s="2182"/>
      <c r="R124" s="2182"/>
      <c r="S124" s="2182"/>
      <c r="T124" s="2182" t="str">
        <f>'Notes- SK Template'!T117</f>
        <v>-</v>
      </c>
      <c r="U124" s="2182"/>
      <c r="V124" s="2182"/>
      <c r="W124" s="2182"/>
      <c r="X124" s="2182"/>
      <c r="Y124" s="2182" t="str">
        <f>'Notes- SK Template'!Y117</f>
        <v>-</v>
      </c>
      <c r="Z124" s="2182"/>
      <c r="AA124" s="2182"/>
      <c r="AB124" s="2182"/>
      <c r="AC124" s="2182"/>
    </row>
    <row r="125" spans="1:33" s="584" customFormat="1" ht="14">
      <c r="A125" s="597"/>
      <c r="D125" s="2677" t="s">
        <v>1769</v>
      </c>
      <c r="E125" s="2183"/>
      <c r="F125" s="2183"/>
      <c r="G125" s="2183"/>
      <c r="H125" s="2183"/>
      <c r="I125" s="2183"/>
      <c r="J125" s="2183"/>
      <c r="K125" s="2183"/>
      <c r="L125" s="2183"/>
      <c r="M125" s="2183"/>
      <c r="N125" s="2183"/>
      <c r="O125" s="2184" t="str">
        <f>'Notes- SK Template'!O118</f>
        <v>-</v>
      </c>
      <c r="P125" s="2184"/>
      <c r="Q125" s="2184"/>
      <c r="R125" s="2184"/>
      <c r="S125" s="2184"/>
      <c r="T125" s="2184" t="str">
        <f>'Notes- SK Template'!T118</f>
        <v>-</v>
      </c>
      <c r="U125" s="2184"/>
      <c r="V125" s="2184"/>
      <c r="W125" s="2184"/>
      <c r="X125" s="2184"/>
      <c r="Y125" s="2184" t="str">
        <f>'Notes- SK Template'!Y118</f>
        <v>-</v>
      </c>
      <c r="Z125" s="2184"/>
      <c r="AA125" s="2184"/>
      <c r="AB125" s="2184"/>
      <c r="AC125" s="2184"/>
    </row>
    <row r="126" spans="1:33" s="584" customFormat="1" ht="14">
      <c r="A126" s="597"/>
    </row>
    <row r="127" spans="1:33" s="584" customFormat="1" ht="14">
      <c r="A127" s="597"/>
      <c r="D127" s="2100" t="s">
        <v>1760</v>
      </c>
      <c r="E127" s="2144"/>
      <c r="F127" s="2144"/>
      <c r="G127" s="2144"/>
      <c r="H127" s="2144"/>
      <c r="I127" s="2144"/>
      <c r="J127" s="2144"/>
      <c r="K127" s="2144"/>
      <c r="L127" s="2144"/>
      <c r="M127" s="2144"/>
      <c r="N127" s="2144"/>
      <c r="O127" s="2144"/>
      <c r="P127" s="2144"/>
      <c r="Q127" s="2144"/>
      <c r="R127" s="2144"/>
      <c r="S127" s="2144"/>
      <c r="T127" s="2144"/>
      <c r="U127" s="2144"/>
      <c r="V127" s="2144"/>
      <c r="W127" s="2144"/>
      <c r="X127" s="2144"/>
      <c r="Y127" s="2144"/>
      <c r="Z127" s="2144"/>
      <c r="AA127" s="2144"/>
      <c r="AB127" s="2144"/>
      <c r="AC127" s="2144"/>
      <c r="AD127" s="2144"/>
      <c r="AE127" s="2144"/>
      <c r="AF127" s="2144"/>
      <c r="AG127" s="2144"/>
    </row>
    <row r="128" spans="1:33" s="584" customFormat="1" ht="14">
      <c r="A128" s="597"/>
      <c r="D128" s="2144"/>
      <c r="E128" s="2144"/>
      <c r="F128" s="2144"/>
      <c r="G128" s="2144"/>
      <c r="H128" s="2144"/>
      <c r="I128" s="2144"/>
      <c r="J128" s="2144"/>
      <c r="K128" s="2144"/>
      <c r="L128" s="2144"/>
      <c r="M128" s="2144"/>
      <c r="N128" s="2144"/>
      <c r="O128" s="2144"/>
      <c r="P128" s="2144"/>
      <c r="Q128" s="2144"/>
      <c r="R128" s="2144"/>
      <c r="S128" s="2144"/>
      <c r="T128" s="2144"/>
      <c r="U128" s="2144"/>
      <c r="V128" s="2144"/>
      <c r="W128" s="2144"/>
      <c r="X128" s="2144"/>
      <c r="Y128" s="2144"/>
      <c r="Z128" s="2144"/>
      <c r="AA128" s="2144"/>
      <c r="AB128" s="2144"/>
      <c r="AC128" s="2144"/>
      <c r="AD128" s="2144"/>
      <c r="AE128" s="2144"/>
      <c r="AF128" s="2144"/>
      <c r="AG128" s="2144"/>
    </row>
    <row r="129" spans="1:33" s="584" customFormat="1" ht="14">
      <c r="A129" s="597"/>
    </row>
    <row r="130" spans="1:33" s="584" customFormat="1" ht="14">
      <c r="A130" s="597"/>
    </row>
    <row r="131" spans="1:33" s="584" customFormat="1" ht="14">
      <c r="A131" s="597"/>
      <c r="D131" s="582" t="s">
        <v>1770</v>
      </c>
    </row>
    <row r="132" spans="1:33" s="584" customFormat="1" ht="14">
      <c r="A132" s="597"/>
    </row>
    <row r="133" spans="1:33" s="584" customFormat="1" ht="14">
      <c r="A133" s="597"/>
      <c r="D133" s="2100" t="s">
        <v>2798</v>
      </c>
      <c r="E133" s="2144"/>
      <c r="F133" s="2144"/>
      <c r="G133" s="2144"/>
      <c r="H133" s="2144"/>
      <c r="I133" s="2144"/>
      <c r="J133" s="2144"/>
      <c r="K133" s="2144"/>
      <c r="L133" s="2144"/>
      <c r="M133" s="2144"/>
      <c r="N133" s="2144"/>
      <c r="O133" s="2144"/>
      <c r="P133" s="2144"/>
      <c r="Q133" s="2144"/>
      <c r="R133" s="2144"/>
      <c r="S133" s="2144"/>
      <c r="T133" s="2144"/>
      <c r="U133" s="2144"/>
      <c r="V133" s="2144"/>
      <c r="W133" s="2144"/>
      <c r="X133" s="2144"/>
      <c r="Y133" s="2144"/>
      <c r="Z133" s="2144"/>
      <c r="AA133" s="2144"/>
      <c r="AB133" s="2144"/>
      <c r="AC133" s="2144"/>
      <c r="AD133" s="2144"/>
      <c r="AE133" s="2144"/>
      <c r="AF133" s="2144"/>
      <c r="AG133" s="2144"/>
    </row>
    <row r="134" spans="1:33" s="584" customFormat="1" ht="14">
      <c r="A134" s="597"/>
      <c r="D134" s="2144"/>
      <c r="E134" s="2144"/>
      <c r="F134" s="2144"/>
      <c r="G134" s="2144"/>
      <c r="H134" s="2144"/>
      <c r="I134" s="2144"/>
      <c r="J134" s="2144"/>
      <c r="K134" s="2144"/>
      <c r="L134" s="2144"/>
      <c r="M134" s="2144"/>
      <c r="N134" s="2144"/>
      <c r="O134" s="2144"/>
      <c r="P134" s="2144"/>
      <c r="Q134" s="2144"/>
      <c r="R134" s="2144"/>
      <c r="S134" s="2144"/>
      <c r="T134" s="2144"/>
      <c r="U134" s="2144"/>
      <c r="V134" s="2144"/>
      <c r="W134" s="2144"/>
      <c r="X134" s="2144"/>
      <c r="Y134" s="2144"/>
      <c r="Z134" s="2144"/>
      <c r="AA134" s="2144"/>
      <c r="AB134" s="2144"/>
      <c r="AC134" s="2144"/>
      <c r="AD134" s="2144"/>
      <c r="AE134" s="2144"/>
      <c r="AF134" s="2144"/>
      <c r="AG134" s="2144"/>
    </row>
    <row r="135" spans="1:33" s="584" customFormat="1" ht="14">
      <c r="A135" s="597"/>
    </row>
    <row r="136" spans="1:33" s="584" customFormat="1" ht="14">
      <c r="A136" s="597"/>
      <c r="D136" s="582" t="s">
        <v>1771</v>
      </c>
    </row>
    <row r="137" spans="1:33" s="584" customFormat="1" ht="14">
      <c r="A137" s="597"/>
    </row>
    <row r="138" spans="1:33" s="584" customFormat="1" ht="14">
      <c r="A138" s="597"/>
      <c r="D138" s="2100" t="s">
        <v>2965</v>
      </c>
      <c r="E138" s="2144"/>
      <c r="F138" s="2144"/>
      <c r="G138" s="2144"/>
      <c r="H138" s="2144"/>
      <c r="I138" s="2144"/>
      <c r="J138" s="2144"/>
      <c r="K138" s="2144"/>
      <c r="L138" s="2144"/>
      <c r="M138" s="2144"/>
      <c r="N138" s="2144"/>
      <c r="O138" s="2144"/>
      <c r="P138" s="2144"/>
      <c r="Q138" s="2144"/>
      <c r="R138" s="2144"/>
      <c r="S138" s="2144"/>
      <c r="T138" s="2144"/>
      <c r="U138" s="2144"/>
      <c r="V138" s="2144"/>
      <c r="W138" s="2144"/>
      <c r="X138" s="2144"/>
      <c r="Y138" s="2144"/>
      <c r="Z138" s="2144"/>
      <c r="AA138" s="2144"/>
      <c r="AB138" s="2144"/>
      <c r="AC138" s="2144"/>
      <c r="AD138" s="2144"/>
      <c r="AE138" s="2144"/>
      <c r="AF138" s="2144"/>
      <c r="AG138" s="2144"/>
    </row>
    <row r="139" spans="1:33" s="584" customFormat="1" ht="14">
      <c r="A139" s="597"/>
      <c r="D139" s="2144"/>
      <c r="E139" s="2144"/>
      <c r="F139" s="2144"/>
      <c r="G139" s="2144"/>
      <c r="H139" s="2144"/>
      <c r="I139" s="2144"/>
      <c r="J139" s="2144"/>
      <c r="K139" s="2144"/>
      <c r="L139" s="2144"/>
      <c r="M139" s="2144"/>
      <c r="N139" s="2144"/>
      <c r="O139" s="2144"/>
      <c r="P139" s="2144"/>
      <c r="Q139" s="2144"/>
      <c r="R139" s="2144"/>
      <c r="S139" s="2144"/>
      <c r="T139" s="2144"/>
      <c r="U139" s="2144"/>
      <c r="V139" s="2144"/>
      <c r="W139" s="2144"/>
      <c r="X139" s="2144"/>
      <c r="Y139" s="2144"/>
      <c r="Z139" s="2144"/>
      <c r="AA139" s="2144"/>
      <c r="AB139" s="2144"/>
      <c r="AC139" s="2144"/>
      <c r="AD139" s="2144"/>
      <c r="AE139" s="2144"/>
      <c r="AF139" s="2144"/>
      <c r="AG139" s="2144"/>
    </row>
    <row r="140" spans="1:33" s="584" customFormat="1" ht="14">
      <c r="A140" s="597"/>
      <c r="D140" s="2144"/>
      <c r="E140" s="2144"/>
      <c r="F140" s="2144"/>
      <c r="G140" s="2144"/>
      <c r="H140" s="2144"/>
      <c r="I140" s="2144"/>
      <c r="J140" s="2144"/>
      <c r="K140" s="2144"/>
      <c r="L140" s="2144"/>
      <c r="M140" s="2144"/>
      <c r="N140" s="2144"/>
      <c r="O140" s="2144"/>
      <c r="P140" s="2144"/>
      <c r="Q140" s="2144"/>
      <c r="R140" s="2144"/>
      <c r="S140" s="2144"/>
      <c r="T140" s="2144"/>
      <c r="U140" s="2144"/>
      <c r="V140" s="2144"/>
      <c r="W140" s="2144"/>
      <c r="X140" s="2144"/>
      <c r="Y140" s="2144"/>
      <c r="Z140" s="2144"/>
      <c r="AA140" s="2144"/>
      <c r="AB140" s="2144"/>
      <c r="AC140" s="2144"/>
      <c r="AD140" s="2144"/>
      <c r="AE140" s="2144"/>
      <c r="AF140" s="2144"/>
      <c r="AG140" s="2144"/>
    </row>
    <row r="141" spans="1:33" s="584" customFormat="1" ht="28.15" customHeight="1">
      <c r="A141" s="597"/>
      <c r="D141" s="2144"/>
      <c r="E141" s="2144"/>
      <c r="F141" s="2144"/>
      <c r="G141" s="2144"/>
      <c r="H141" s="2144"/>
      <c r="I141" s="2144"/>
      <c r="J141" s="2144"/>
      <c r="K141" s="2144"/>
      <c r="L141" s="2144"/>
      <c r="M141" s="2144"/>
      <c r="N141" s="2144"/>
      <c r="O141" s="2144"/>
      <c r="P141" s="2144"/>
      <c r="Q141" s="2144"/>
      <c r="R141" s="2144"/>
      <c r="S141" s="2144"/>
      <c r="T141" s="2144"/>
      <c r="U141" s="2144"/>
      <c r="V141" s="2144"/>
      <c r="W141" s="2144"/>
      <c r="X141" s="2144"/>
      <c r="Y141" s="2144"/>
      <c r="Z141" s="2144"/>
      <c r="AA141" s="2144"/>
      <c r="AB141" s="2144"/>
      <c r="AC141" s="2144"/>
      <c r="AD141" s="2144"/>
      <c r="AE141" s="2144"/>
      <c r="AF141" s="2144"/>
      <c r="AG141" s="2144"/>
    </row>
    <row r="142" spans="1:33" s="584" customFormat="1" ht="14">
      <c r="A142" s="597"/>
      <c r="D142" s="2100" t="s">
        <v>2799</v>
      </c>
      <c r="E142" s="2144"/>
      <c r="F142" s="2144"/>
      <c r="G142" s="2144"/>
      <c r="H142" s="2144"/>
      <c r="I142" s="2144"/>
      <c r="J142" s="2144"/>
      <c r="K142" s="2144"/>
      <c r="L142" s="2144"/>
      <c r="M142" s="2144"/>
      <c r="N142" s="2144"/>
      <c r="O142" s="2144"/>
      <c r="P142" s="2144"/>
      <c r="Q142" s="2144"/>
      <c r="R142" s="2144"/>
      <c r="S142" s="2144"/>
      <c r="T142" s="2144"/>
      <c r="U142" s="2144"/>
      <c r="V142" s="2144"/>
      <c r="W142" s="2144"/>
      <c r="X142" s="2144"/>
      <c r="Y142" s="2144"/>
      <c r="Z142" s="2144"/>
      <c r="AA142" s="2144"/>
      <c r="AB142" s="2144"/>
      <c r="AC142" s="2144"/>
      <c r="AD142" s="2144"/>
      <c r="AE142" s="2144"/>
      <c r="AF142" s="2144"/>
      <c r="AG142" s="2144"/>
    </row>
    <row r="143" spans="1:33" s="584" customFormat="1" ht="14">
      <c r="A143" s="597"/>
      <c r="D143" s="2144"/>
      <c r="E143" s="2144"/>
      <c r="F143" s="2144"/>
      <c r="G143" s="2144"/>
      <c r="H143" s="2144"/>
      <c r="I143" s="2144"/>
      <c r="J143" s="2144"/>
      <c r="K143" s="2144"/>
      <c r="L143" s="2144"/>
      <c r="M143" s="2144"/>
      <c r="N143" s="2144"/>
      <c r="O143" s="2144"/>
      <c r="P143" s="2144"/>
      <c r="Q143" s="2144"/>
      <c r="R143" s="2144"/>
      <c r="S143" s="2144"/>
      <c r="T143" s="2144"/>
      <c r="U143" s="2144"/>
      <c r="V143" s="2144"/>
      <c r="W143" s="2144"/>
      <c r="X143" s="2144"/>
      <c r="Y143" s="2144"/>
      <c r="Z143" s="2144"/>
      <c r="AA143" s="2144"/>
      <c r="AB143" s="2144"/>
      <c r="AC143" s="2144"/>
      <c r="AD143" s="2144"/>
      <c r="AE143" s="2144"/>
      <c r="AF143" s="2144"/>
      <c r="AG143" s="2144"/>
    </row>
    <row r="144" spans="1:33" s="584" customFormat="1" ht="9.25" customHeight="1">
      <c r="A144" s="597"/>
    </row>
    <row r="145" spans="1:33" s="584" customFormat="1" ht="41.25" customHeight="1">
      <c r="A145" s="597"/>
      <c r="D145" s="2100" t="s">
        <v>2966</v>
      </c>
      <c r="E145" s="2675"/>
      <c r="F145" s="2675"/>
      <c r="G145" s="2675"/>
      <c r="H145" s="2675"/>
      <c r="I145" s="2675"/>
      <c r="J145" s="2675"/>
      <c r="K145" s="2675"/>
      <c r="L145" s="2675"/>
      <c r="M145" s="2675"/>
      <c r="N145" s="2675"/>
      <c r="O145" s="2675"/>
      <c r="P145" s="2675"/>
      <c r="Q145" s="2675"/>
      <c r="R145" s="2675"/>
      <c r="S145" s="2675"/>
      <c r="T145" s="2675"/>
      <c r="U145" s="2675"/>
      <c r="V145" s="2675"/>
      <c r="W145" s="2675"/>
      <c r="X145" s="2675"/>
      <c r="Y145" s="2675"/>
      <c r="Z145" s="2675"/>
      <c r="AA145" s="2675"/>
      <c r="AB145" s="2675"/>
      <c r="AC145" s="2675"/>
      <c r="AD145" s="2675"/>
      <c r="AE145" s="2675"/>
      <c r="AF145" s="2675"/>
      <c r="AG145" s="2675"/>
    </row>
    <row r="146" spans="1:33" s="584" customFormat="1" ht="14">
      <c r="A146" s="597"/>
      <c r="D146" s="1561"/>
      <c r="E146" s="1564"/>
      <c r="F146" s="1564"/>
      <c r="G146" s="1564"/>
      <c r="H146" s="1564"/>
      <c r="I146" s="1564"/>
      <c r="J146" s="1564"/>
      <c r="K146" s="1564"/>
      <c r="L146" s="1564"/>
      <c r="M146" s="1564"/>
      <c r="N146" s="1564"/>
      <c r="O146" s="1564"/>
      <c r="P146" s="1564"/>
      <c r="Q146" s="1564"/>
      <c r="R146" s="1564"/>
      <c r="S146" s="1564"/>
      <c r="T146" s="1564"/>
      <c r="U146" s="1564"/>
      <c r="V146" s="1564"/>
      <c r="W146" s="1564"/>
      <c r="X146" s="1564"/>
      <c r="Y146" s="1564"/>
      <c r="Z146" s="1564"/>
      <c r="AA146" s="1564"/>
      <c r="AB146" s="1564"/>
      <c r="AC146" s="1564"/>
      <c r="AD146" s="1564"/>
      <c r="AE146" s="1564"/>
      <c r="AF146" s="1564"/>
      <c r="AG146" s="1564"/>
    </row>
    <row r="147" spans="1:33" s="584" customFormat="1" ht="14">
      <c r="A147" s="597"/>
      <c r="D147" s="582" t="s">
        <v>3070</v>
      </c>
      <c r="E147" s="1564"/>
      <c r="F147" s="1564"/>
      <c r="G147" s="1564"/>
      <c r="H147" s="1564"/>
      <c r="I147" s="1564"/>
      <c r="J147" s="1564"/>
      <c r="K147" s="1564"/>
      <c r="L147" s="1564"/>
      <c r="M147" s="1564"/>
      <c r="N147" s="1564"/>
      <c r="O147" s="1564"/>
      <c r="P147" s="1564"/>
      <c r="Q147" s="1564"/>
      <c r="R147" s="1564"/>
      <c r="S147" s="1564"/>
      <c r="T147" s="1564"/>
      <c r="U147" s="1564"/>
      <c r="V147" s="1564"/>
      <c r="W147" s="1564"/>
      <c r="X147" s="1564"/>
      <c r="Y147" s="1564"/>
      <c r="Z147" s="1564"/>
      <c r="AA147" s="1564"/>
      <c r="AB147" s="1564"/>
      <c r="AC147" s="1564"/>
      <c r="AD147" s="1564"/>
      <c r="AE147" s="1564"/>
      <c r="AF147" s="1564"/>
      <c r="AG147" s="1564"/>
    </row>
    <row r="148" spans="1:33" s="584" customFormat="1" ht="14">
      <c r="A148" s="597"/>
      <c r="D148" s="1561"/>
      <c r="E148" s="1564"/>
      <c r="F148" s="1564"/>
      <c r="G148" s="1564"/>
      <c r="H148" s="1564"/>
      <c r="I148" s="1564"/>
      <c r="J148" s="1564"/>
      <c r="K148" s="1564"/>
      <c r="L148" s="1564"/>
      <c r="M148" s="1564"/>
      <c r="N148" s="1564"/>
      <c r="O148" s="1564"/>
      <c r="P148" s="1564"/>
      <c r="Q148" s="1564"/>
      <c r="R148" s="1564"/>
      <c r="S148" s="1564"/>
      <c r="T148" s="1564"/>
      <c r="U148" s="1564"/>
      <c r="V148" s="1564"/>
      <c r="W148" s="1564"/>
      <c r="X148" s="1564"/>
      <c r="Y148" s="1564"/>
      <c r="Z148" s="1564"/>
      <c r="AA148" s="1564"/>
      <c r="AB148" s="1564"/>
      <c r="AC148" s="1564"/>
      <c r="AD148" s="1564"/>
      <c r="AE148" s="1564"/>
      <c r="AF148" s="1564"/>
      <c r="AG148" s="1564"/>
    </row>
    <row r="149" spans="1:33" s="584" customFormat="1" ht="13.9" customHeight="1">
      <c r="A149" s="597"/>
      <c r="D149" s="2711" t="s">
        <v>3071</v>
      </c>
      <c r="E149" s="2711"/>
      <c r="F149" s="2711"/>
      <c r="G149" s="2711"/>
      <c r="H149" s="2711"/>
      <c r="I149" s="2711"/>
      <c r="J149" s="2711"/>
      <c r="K149" s="2711"/>
      <c r="L149" s="2711"/>
      <c r="M149" s="2711"/>
      <c r="N149" s="2711"/>
      <c r="O149" s="2711"/>
      <c r="P149" s="2711"/>
      <c r="Q149" s="2711"/>
      <c r="R149" s="2711"/>
      <c r="S149" s="2711"/>
      <c r="T149" s="2711"/>
      <c r="U149" s="2711"/>
      <c r="V149" s="2711"/>
      <c r="W149" s="2711"/>
      <c r="X149" s="2711"/>
      <c r="Y149" s="2711"/>
      <c r="Z149" s="2711"/>
      <c r="AA149" s="2711"/>
      <c r="AB149" s="2711"/>
      <c r="AC149" s="2711"/>
      <c r="AD149" s="2711"/>
      <c r="AE149" s="2711"/>
      <c r="AF149" s="2711"/>
      <c r="AG149" s="2711"/>
    </row>
    <row r="150" spans="1:33" s="584" customFormat="1" ht="14">
      <c r="A150" s="597"/>
      <c r="D150" s="2711"/>
      <c r="E150" s="2711"/>
      <c r="F150" s="2711"/>
      <c r="G150" s="2711"/>
      <c r="H150" s="2711"/>
      <c r="I150" s="2711"/>
      <c r="J150" s="2711"/>
      <c r="K150" s="2711"/>
      <c r="L150" s="2711"/>
      <c r="M150" s="2711"/>
      <c r="N150" s="2711"/>
      <c r="O150" s="2711"/>
      <c r="P150" s="2711"/>
      <c r="Q150" s="2711"/>
      <c r="R150" s="2711"/>
      <c r="S150" s="2711"/>
      <c r="T150" s="2711"/>
      <c r="U150" s="2711"/>
      <c r="V150" s="2711"/>
      <c r="W150" s="2711"/>
      <c r="X150" s="2711"/>
      <c r="Y150" s="2711"/>
      <c r="Z150" s="2711"/>
      <c r="AA150" s="2711"/>
      <c r="AB150" s="2711"/>
      <c r="AC150" s="2711"/>
      <c r="AD150" s="2711"/>
      <c r="AE150" s="2711"/>
      <c r="AF150" s="2711"/>
      <c r="AG150" s="2711"/>
    </row>
    <row r="151" spans="1:33" s="584" customFormat="1" ht="14">
      <c r="A151" s="597"/>
      <c r="D151" s="2711"/>
      <c r="E151" s="2711"/>
      <c r="F151" s="2711"/>
      <c r="G151" s="2711"/>
      <c r="H151" s="2711"/>
      <c r="I151" s="2711"/>
      <c r="J151" s="2711"/>
      <c r="K151" s="2711"/>
      <c r="L151" s="2711"/>
      <c r="M151" s="2711"/>
      <c r="N151" s="2711"/>
      <c r="O151" s="2711"/>
      <c r="P151" s="2711"/>
      <c r="Q151" s="2711"/>
      <c r="R151" s="2711"/>
      <c r="S151" s="2711"/>
      <c r="T151" s="2711"/>
      <c r="U151" s="2711"/>
      <c r="V151" s="2711"/>
      <c r="W151" s="2711"/>
      <c r="X151" s="2711"/>
      <c r="Y151" s="2711"/>
      <c r="Z151" s="2711"/>
      <c r="AA151" s="2711"/>
      <c r="AB151" s="2711"/>
      <c r="AC151" s="2711"/>
      <c r="AD151" s="2711"/>
      <c r="AE151" s="2711"/>
      <c r="AF151" s="2711"/>
      <c r="AG151" s="2711"/>
    </row>
    <row r="152" spans="1:33" s="584" customFormat="1" ht="14">
      <c r="A152" s="597"/>
    </row>
    <row r="153" spans="1:33" s="584" customFormat="1" ht="14">
      <c r="A153" s="597"/>
      <c r="D153" s="582" t="s">
        <v>3072</v>
      </c>
    </row>
    <row r="154" spans="1:33" s="584" customFormat="1" ht="14">
      <c r="A154" s="597"/>
    </row>
    <row r="155" spans="1:33" s="584" customFormat="1" ht="14">
      <c r="A155" s="597"/>
      <c r="D155" s="2100" t="s">
        <v>1772</v>
      </c>
      <c r="E155" s="2144"/>
      <c r="F155" s="2144"/>
      <c r="G155" s="2144"/>
      <c r="H155" s="2144"/>
      <c r="I155" s="2144"/>
      <c r="J155" s="2144"/>
      <c r="K155" s="2144"/>
      <c r="L155" s="2144"/>
      <c r="M155" s="2144"/>
      <c r="N155" s="2144"/>
      <c r="O155" s="2144"/>
      <c r="P155" s="2144"/>
      <c r="Q155" s="2144"/>
      <c r="R155" s="2144"/>
      <c r="S155" s="2144"/>
      <c r="T155" s="2144"/>
      <c r="U155" s="2144"/>
      <c r="V155" s="2144"/>
      <c r="W155" s="2144"/>
      <c r="X155" s="2144"/>
      <c r="Y155" s="2144"/>
      <c r="Z155" s="2144"/>
      <c r="AA155" s="2144"/>
      <c r="AB155" s="2144"/>
      <c r="AC155" s="2144"/>
      <c r="AD155" s="2144"/>
      <c r="AE155" s="2144"/>
      <c r="AF155" s="2144"/>
      <c r="AG155" s="2144"/>
    </row>
    <row r="156" spans="1:33" s="584" customFormat="1" ht="14">
      <c r="A156" s="597"/>
      <c r="D156" s="2144"/>
      <c r="E156" s="2144"/>
      <c r="F156" s="2144"/>
      <c r="G156" s="2144"/>
      <c r="H156" s="2144"/>
      <c r="I156" s="2144"/>
      <c r="J156" s="2144"/>
      <c r="K156" s="2144"/>
      <c r="L156" s="2144"/>
      <c r="M156" s="2144"/>
      <c r="N156" s="2144"/>
      <c r="O156" s="2144"/>
      <c r="P156" s="2144"/>
      <c r="Q156" s="2144"/>
      <c r="R156" s="2144"/>
      <c r="S156" s="2144"/>
      <c r="T156" s="2144"/>
      <c r="U156" s="2144"/>
      <c r="V156" s="2144"/>
      <c r="W156" s="2144"/>
      <c r="X156" s="2144"/>
      <c r="Y156" s="2144"/>
      <c r="Z156" s="2144"/>
      <c r="AA156" s="2144"/>
      <c r="AB156" s="2144"/>
      <c r="AC156" s="2144"/>
      <c r="AD156" s="2144"/>
      <c r="AE156" s="2144"/>
      <c r="AF156" s="2144"/>
      <c r="AG156" s="2144"/>
    </row>
    <row r="157" spans="1:33" s="584" customFormat="1" ht="14">
      <c r="A157" s="597"/>
      <c r="D157" s="2144"/>
      <c r="E157" s="2144"/>
      <c r="F157" s="2144"/>
      <c r="G157" s="2144"/>
      <c r="H157" s="2144"/>
      <c r="I157" s="2144"/>
      <c r="J157" s="2144"/>
      <c r="K157" s="2144"/>
      <c r="L157" s="2144"/>
      <c r="M157" s="2144"/>
      <c r="N157" s="2144"/>
      <c r="O157" s="2144"/>
      <c r="P157" s="2144"/>
      <c r="Q157" s="2144"/>
      <c r="R157" s="2144"/>
      <c r="S157" s="2144"/>
      <c r="T157" s="2144"/>
      <c r="U157" s="2144"/>
      <c r="V157" s="2144"/>
      <c r="W157" s="2144"/>
      <c r="X157" s="2144"/>
      <c r="Y157" s="2144"/>
      <c r="Z157" s="2144"/>
      <c r="AA157" s="2144"/>
      <c r="AB157" s="2144"/>
      <c r="AC157" s="2144"/>
      <c r="AD157" s="2144"/>
      <c r="AE157" s="2144"/>
      <c r="AF157" s="2144"/>
      <c r="AG157" s="2144"/>
    </row>
    <row r="158" spans="1:33" s="584" customFormat="1" ht="2.25" customHeight="1">
      <c r="A158" s="597"/>
    </row>
    <row r="159" spans="1:33" s="584" customFormat="1" ht="14">
      <c r="A159" s="597"/>
    </row>
    <row r="160" spans="1:33" s="584" customFormat="1" ht="14">
      <c r="A160" s="597"/>
      <c r="D160" s="582" t="s">
        <v>3073</v>
      </c>
    </row>
    <row r="161" spans="1:33" s="584" customFormat="1" ht="14">
      <c r="A161" s="597"/>
    </row>
    <row r="162" spans="1:33" s="584" customFormat="1" ht="14">
      <c r="A162" s="597"/>
      <c r="D162" s="2100" t="s">
        <v>1773</v>
      </c>
      <c r="E162" s="2144"/>
      <c r="F162" s="2144"/>
      <c r="G162" s="2144"/>
      <c r="H162" s="2144"/>
      <c r="I162" s="2144"/>
      <c r="J162" s="2144"/>
      <c r="K162" s="2144"/>
      <c r="L162" s="2144"/>
      <c r="M162" s="2144"/>
      <c r="N162" s="2144"/>
      <c r="O162" s="2144"/>
      <c r="P162" s="2144"/>
      <c r="Q162" s="2144"/>
      <c r="R162" s="2144"/>
      <c r="S162" s="2144"/>
      <c r="T162" s="2144"/>
      <c r="U162" s="2144"/>
      <c r="V162" s="2144"/>
      <c r="W162" s="2144"/>
      <c r="X162" s="2144"/>
      <c r="Y162" s="2144"/>
      <c r="Z162" s="2144"/>
      <c r="AA162" s="2144"/>
      <c r="AB162" s="2144"/>
      <c r="AC162" s="2144"/>
      <c r="AD162" s="2144"/>
      <c r="AE162" s="2144"/>
      <c r="AF162" s="2144"/>
      <c r="AG162" s="2144"/>
    </row>
    <row r="163" spans="1:33" s="584" customFormat="1" ht="14">
      <c r="A163" s="597"/>
      <c r="D163" s="2144"/>
      <c r="E163" s="2144"/>
      <c r="F163" s="2144"/>
      <c r="G163" s="2144"/>
      <c r="H163" s="2144"/>
      <c r="I163" s="2144"/>
      <c r="J163" s="2144"/>
      <c r="K163" s="2144"/>
      <c r="L163" s="2144"/>
      <c r="M163" s="2144"/>
      <c r="N163" s="2144"/>
      <c r="O163" s="2144"/>
      <c r="P163" s="2144"/>
      <c r="Q163" s="2144"/>
      <c r="R163" s="2144"/>
      <c r="S163" s="2144"/>
      <c r="T163" s="2144"/>
      <c r="U163" s="2144"/>
      <c r="V163" s="2144"/>
      <c r="W163" s="2144"/>
      <c r="X163" s="2144"/>
      <c r="Y163" s="2144"/>
      <c r="Z163" s="2144"/>
      <c r="AA163" s="2144"/>
      <c r="AB163" s="2144"/>
      <c r="AC163" s="2144"/>
      <c r="AD163" s="2144"/>
      <c r="AE163" s="2144"/>
      <c r="AF163" s="2144"/>
      <c r="AG163" s="2144"/>
    </row>
    <row r="164" spans="1:33" s="584" customFormat="1" ht="14">
      <c r="A164" s="597"/>
      <c r="D164" s="582" t="s">
        <v>3074</v>
      </c>
    </row>
    <row r="165" spans="1:33" s="584" customFormat="1" ht="14">
      <c r="A165" s="597"/>
    </row>
    <row r="166" spans="1:33" s="584" customFormat="1" ht="14">
      <c r="A166" s="597"/>
      <c r="D166" s="2100" t="s">
        <v>1774</v>
      </c>
      <c r="E166" s="2144"/>
      <c r="F166" s="2144"/>
      <c r="G166" s="2144"/>
      <c r="H166" s="2144"/>
      <c r="I166" s="2144"/>
      <c r="J166" s="2144"/>
      <c r="K166" s="2144"/>
      <c r="L166" s="2144"/>
      <c r="M166" s="2144"/>
      <c r="N166" s="2144"/>
      <c r="O166" s="2144"/>
      <c r="P166" s="2144"/>
      <c r="Q166" s="2144"/>
      <c r="R166" s="2144"/>
      <c r="S166" s="2144"/>
      <c r="T166" s="2144"/>
      <c r="U166" s="2144"/>
      <c r="V166" s="2144"/>
      <c r="W166" s="2144"/>
      <c r="X166" s="2144"/>
      <c r="Y166" s="2144"/>
      <c r="Z166" s="2144"/>
      <c r="AA166" s="2144"/>
      <c r="AB166" s="2144"/>
      <c r="AC166" s="2144"/>
      <c r="AD166" s="2144"/>
      <c r="AE166" s="2144"/>
      <c r="AF166" s="2144"/>
      <c r="AG166" s="2144"/>
    </row>
    <row r="167" spans="1:33" s="584" customFormat="1" ht="14">
      <c r="A167" s="597"/>
      <c r="D167" s="2144"/>
      <c r="E167" s="2144"/>
      <c r="F167" s="2144"/>
      <c r="G167" s="2144"/>
      <c r="H167" s="2144"/>
      <c r="I167" s="2144"/>
      <c r="J167" s="2144"/>
      <c r="K167" s="2144"/>
      <c r="L167" s="2144"/>
      <c r="M167" s="2144"/>
      <c r="N167" s="2144"/>
      <c r="O167" s="2144"/>
      <c r="P167" s="2144"/>
      <c r="Q167" s="2144"/>
      <c r="R167" s="2144"/>
      <c r="S167" s="2144"/>
      <c r="T167" s="2144"/>
      <c r="U167" s="2144"/>
      <c r="V167" s="2144"/>
      <c r="W167" s="2144"/>
      <c r="X167" s="2144"/>
      <c r="Y167" s="2144"/>
      <c r="Z167" s="2144"/>
      <c r="AA167" s="2144"/>
      <c r="AB167" s="2144"/>
      <c r="AC167" s="2144"/>
      <c r="AD167" s="2144"/>
      <c r="AE167" s="2144"/>
      <c r="AF167" s="2144"/>
      <c r="AG167" s="2144"/>
    </row>
    <row r="168" spans="1:33" s="584" customFormat="1" ht="14">
      <c r="A168" s="597"/>
    </row>
    <row r="169" spans="1:33" s="584" customFormat="1" ht="14">
      <c r="A169" s="597"/>
      <c r="D169" s="2100" t="s">
        <v>1775</v>
      </c>
      <c r="E169" s="2144"/>
      <c r="F169" s="2144"/>
      <c r="G169" s="2144"/>
      <c r="H169" s="2144"/>
      <c r="I169" s="2144"/>
      <c r="J169" s="2144"/>
      <c r="K169" s="2144"/>
      <c r="L169" s="2144"/>
      <c r="M169" s="2144"/>
      <c r="N169" s="2144"/>
      <c r="O169" s="2144"/>
      <c r="P169" s="2144"/>
      <c r="Q169" s="2144"/>
      <c r="R169" s="2144"/>
      <c r="S169" s="2144"/>
      <c r="T169" s="2144"/>
      <c r="U169" s="2144"/>
      <c r="V169" s="2144"/>
      <c r="W169" s="2144"/>
      <c r="X169" s="2144"/>
      <c r="Y169" s="2144"/>
      <c r="Z169" s="2144"/>
      <c r="AA169" s="2144"/>
      <c r="AB169" s="2144"/>
      <c r="AC169" s="2144"/>
      <c r="AD169" s="2144"/>
      <c r="AE169" s="2144"/>
      <c r="AF169" s="2144"/>
      <c r="AG169" s="2144"/>
    </row>
    <row r="170" spans="1:33" s="584" customFormat="1" ht="14">
      <c r="A170" s="597"/>
      <c r="D170" s="2144"/>
      <c r="E170" s="2144"/>
      <c r="F170" s="2144"/>
      <c r="G170" s="2144"/>
      <c r="H170" s="2144"/>
      <c r="I170" s="2144"/>
      <c r="J170" s="2144"/>
      <c r="K170" s="2144"/>
      <c r="L170" s="2144"/>
      <c r="M170" s="2144"/>
      <c r="N170" s="2144"/>
      <c r="O170" s="2144"/>
      <c r="P170" s="2144"/>
      <c r="Q170" s="2144"/>
      <c r="R170" s="2144"/>
      <c r="S170" s="2144"/>
      <c r="T170" s="2144"/>
      <c r="U170" s="2144"/>
      <c r="V170" s="2144"/>
      <c r="W170" s="2144"/>
      <c r="X170" s="2144"/>
      <c r="Y170" s="2144"/>
      <c r="Z170" s="2144"/>
      <c r="AA170" s="2144"/>
      <c r="AB170" s="2144"/>
      <c r="AC170" s="2144"/>
      <c r="AD170" s="2144"/>
      <c r="AE170" s="2144"/>
      <c r="AF170" s="2144"/>
      <c r="AG170" s="2144"/>
    </row>
    <row r="171" spans="1:33" s="584" customFormat="1" ht="14">
      <c r="A171" s="597"/>
    </row>
    <row r="172" spans="1:33" s="584" customFormat="1" ht="14">
      <c r="A172" s="597"/>
      <c r="D172" s="582" t="s">
        <v>3075</v>
      </c>
    </row>
    <row r="173" spans="1:33" s="584" customFormat="1" ht="14">
      <c r="A173" s="597"/>
    </row>
    <row r="174" spans="1:33" s="584" customFormat="1" ht="14">
      <c r="A174" s="597"/>
      <c r="D174" s="2100" t="s">
        <v>2967</v>
      </c>
      <c r="E174" s="2144"/>
      <c r="F174" s="2144"/>
      <c r="G174" s="2144"/>
      <c r="H174" s="2144"/>
      <c r="I174" s="2144"/>
      <c r="J174" s="2144"/>
      <c r="K174" s="2144"/>
      <c r="L174" s="2144"/>
      <c r="M174" s="2144"/>
      <c r="N174" s="2144"/>
      <c r="O174" s="2144"/>
      <c r="P174" s="2144"/>
      <c r="Q174" s="2144"/>
      <c r="R174" s="2144"/>
      <c r="S174" s="2144"/>
      <c r="T174" s="2144"/>
      <c r="U174" s="2144"/>
      <c r="V174" s="2144"/>
      <c r="W174" s="2144"/>
      <c r="X174" s="2144"/>
      <c r="Y174" s="2144"/>
      <c r="Z174" s="2144"/>
      <c r="AA174" s="2144"/>
      <c r="AB174" s="2144"/>
      <c r="AC174" s="2144"/>
      <c r="AD174" s="2144"/>
      <c r="AE174" s="2144"/>
      <c r="AF174" s="2144"/>
      <c r="AG174" s="2144"/>
    </row>
    <row r="175" spans="1:33" s="584" customFormat="1" ht="66.75" customHeight="1">
      <c r="A175" s="597"/>
      <c r="D175" s="2144"/>
      <c r="E175" s="2144"/>
      <c r="F175" s="2144"/>
      <c r="G175" s="2144"/>
      <c r="H175" s="2144"/>
      <c r="I175" s="2144"/>
      <c r="J175" s="2144"/>
      <c r="K175" s="2144"/>
      <c r="L175" s="2144"/>
      <c r="M175" s="2144"/>
      <c r="N175" s="2144"/>
      <c r="O175" s="2144"/>
      <c r="P175" s="2144"/>
      <c r="Q175" s="2144"/>
      <c r="R175" s="2144"/>
      <c r="S175" s="2144"/>
      <c r="T175" s="2144"/>
      <c r="U175" s="2144"/>
      <c r="V175" s="2144"/>
      <c r="W175" s="2144"/>
      <c r="X175" s="2144"/>
      <c r="Y175" s="2144"/>
      <c r="Z175" s="2144"/>
      <c r="AA175" s="2144"/>
      <c r="AB175" s="2144"/>
      <c r="AC175" s="2144"/>
      <c r="AD175" s="2144"/>
      <c r="AE175" s="2144"/>
      <c r="AF175" s="2144"/>
      <c r="AG175" s="2144"/>
    </row>
    <row r="176" spans="1:33" s="584" customFormat="1" ht="14">
      <c r="A176" s="597"/>
    </row>
    <row r="177" spans="1:33" s="584" customFormat="1" ht="14">
      <c r="A177" s="597"/>
      <c r="D177" s="582" t="s">
        <v>3076</v>
      </c>
    </row>
    <row r="178" spans="1:33" s="584" customFormat="1" ht="14">
      <c r="A178" s="597"/>
    </row>
    <row r="179" spans="1:33" s="584" customFormat="1" ht="14">
      <c r="A179" s="597"/>
      <c r="D179" s="2100" t="s">
        <v>1776</v>
      </c>
      <c r="E179" s="2144"/>
      <c r="F179" s="2144"/>
      <c r="G179" s="2144"/>
      <c r="H179" s="2144"/>
      <c r="I179" s="2144"/>
      <c r="J179" s="2144"/>
      <c r="K179" s="2144"/>
      <c r="L179" s="2144"/>
      <c r="M179" s="2144"/>
      <c r="N179" s="2144"/>
      <c r="O179" s="2144"/>
      <c r="P179" s="2144"/>
      <c r="Q179" s="2144"/>
      <c r="R179" s="2144"/>
      <c r="S179" s="2144"/>
      <c r="T179" s="2144"/>
      <c r="U179" s="2144"/>
      <c r="V179" s="2144"/>
      <c r="W179" s="2144"/>
      <c r="X179" s="2144"/>
      <c r="Y179" s="2144"/>
      <c r="Z179" s="2144"/>
      <c r="AA179" s="2144"/>
      <c r="AB179" s="2144"/>
      <c r="AC179" s="2144"/>
      <c r="AD179" s="2144"/>
      <c r="AE179" s="2144"/>
      <c r="AF179" s="2144"/>
      <c r="AG179" s="2144"/>
    </row>
    <row r="180" spans="1:33" s="584" customFormat="1" ht="14">
      <c r="A180" s="597"/>
      <c r="D180" s="2144"/>
      <c r="E180" s="2144"/>
      <c r="F180" s="2144"/>
      <c r="G180" s="2144"/>
      <c r="H180" s="2144"/>
      <c r="I180" s="2144"/>
      <c r="J180" s="2144"/>
      <c r="K180" s="2144"/>
      <c r="L180" s="2144"/>
      <c r="M180" s="2144"/>
      <c r="N180" s="2144"/>
      <c r="O180" s="2144"/>
      <c r="P180" s="2144"/>
      <c r="Q180" s="2144"/>
      <c r="R180" s="2144"/>
      <c r="S180" s="2144"/>
      <c r="T180" s="2144"/>
      <c r="U180" s="2144"/>
      <c r="V180" s="2144"/>
      <c r="W180" s="2144"/>
      <c r="X180" s="2144"/>
      <c r="Y180" s="2144"/>
      <c r="Z180" s="2144"/>
      <c r="AA180" s="2144"/>
      <c r="AB180" s="2144"/>
      <c r="AC180" s="2144"/>
      <c r="AD180" s="2144"/>
      <c r="AE180" s="2144"/>
      <c r="AF180" s="2144"/>
      <c r="AG180" s="2144"/>
    </row>
    <row r="181" spans="1:33" s="584" customFormat="1" ht="14">
      <c r="A181" s="597"/>
      <c r="D181" s="582" t="s">
        <v>3077</v>
      </c>
    </row>
    <row r="182" spans="1:33" s="584" customFormat="1" ht="14">
      <c r="A182" s="597"/>
    </row>
    <row r="183" spans="1:33" s="584" customFormat="1" ht="14">
      <c r="A183" s="597"/>
      <c r="D183" s="2100" t="s">
        <v>1777</v>
      </c>
      <c r="E183" s="2144"/>
      <c r="F183" s="2144"/>
      <c r="G183" s="2144"/>
      <c r="H183" s="2144"/>
      <c r="I183" s="2144"/>
      <c r="J183" s="2144"/>
      <c r="K183" s="2144"/>
      <c r="L183" s="2144"/>
      <c r="M183" s="2144"/>
      <c r="N183" s="2144"/>
      <c r="O183" s="2144"/>
      <c r="P183" s="2144"/>
      <c r="Q183" s="2144"/>
      <c r="R183" s="2144"/>
      <c r="S183" s="2144"/>
      <c r="T183" s="2144"/>
      <c r="U183" s="2144"/>
      <c r="V183" s="2144"/>
      <c r="W183" s="2144"/>
      <c r="X183" s="2144"/>
      <c r="Y183" s="2144"/>
      <c r="Z183" s="2144"/>
      <c r="AA183" s="2144"/>
      <c r="AB183" s="2144"/>
      <c r="AC183" s="2144"/>
      <c r="AD183" s="2144"/>
      <c r="AE183" s="2144"/>
      <c r="AF183" s="2144"/>
      <c r="AG183" s="2144"/>
    </row>
    <row r="184" spans="1:33" s="584" customFormat="1" ht="14">
      <c r="A184" s="597"/>
      <c r="D184" s="2144"/>
      <c r="E184" s="2144"/>
      <c r="F184" s="2144"/>
      <c r="G184" s="2144"/>
      <c r="H184" s="2144"/>
      <c r="I184" s="2144"/>
      <c r="J184" s="2144"/>
      <c r="K184" s="2144"/>
      <c r="L184" s="2144"/>
      <c r="M184" s="2144"/>
      <c r="N184" s="2144"/>
      <c r="O184" s="2144"/>
      <c r="P184" s="2144"/>
      <c r="Q184" s="2144"/>
      <c r="R184" s="2144"/>
      <c r="S184" s="2144"/>
      <c r="T184" s="2144"/>
      <c r="U184" s="2144"/>
      <c r="V184" s="2144"/>
      <c r="W184" s="2144"/>
      <c r="X184" s="2144"/>
      <c r="Y184" s="2144"/>
      <c r="Z184" s="2144"/>
      <c r="AA184" s="2144"/>
      <c r="AB184" s="2144"/>
      <c r="AC184" s="2144"/>
      <c r="AD184" s="2144"/>
      <c r="AE184" s="2144"/>
      <c r="AF184" s="2144"/>
      <c r="AG184" s="2144"/>
    </row>
    <row r="185" spans="1:33" s="584" customFormat="1" ht="14">
      <c r="A185" s="597"/>
    </row>
    <row r="186" spans="1:33" s="584" customFormat="1" ht="14">
      <c r="A186" s="597"/>
      <c r="D186" s="2100" t="s">
        <v>2800</v>
      </c>
      <c r="E186" s="2144"/>
      <c r="F186" s="2144"/>
      <c r="G186" s="2144"/>
      <c r="H186" s="2144"/>
      <c r="I186" s="2144"/>
      <c r="J186" s="2144"/>
      <c r="K186" s="2144"/>
      <c r="L186" s="2144"/>
      <c r="M186" s="2144"/>
      <c r="N186" s="2144"/>
      <c r="O186" s="2144"/>
      <c r="P186" s="2144"/>
      <c r="Q186" s="2144"/>
      <c r="R186" s="2144"/>
      <c r="S186" s="2144"/>
      <c r="T186" s="2144"/>
      <c r="U186" s="2144"/>
      <c r="V186" s="2144"/>
      <c r="W186" s="2144"/>
      <c r="X186" s="2144"/>
      <c r="Y186" s="2144"/>
      <c r="Z186" s="2144"/>
      <c r="AA186" s="2144"/>
      <c r="AB186" s="2144"/>
      <c r="AC186" s="2144"/>
      <c r="AD186" s="2144"/>
      <c r="AE186" s="2144"/>
      <c r="AF186" s="2144"/>
      <c r="AG186" s="2144"/>
    </row>
    <row r="187" spans="1:33" s="584" customFormat="1" ht="14">
      <c r="A187" s="597"/>
      <c r="D187" s="2144"/>
      <c r="E187" s="2144"/>
      <c r="F187" s="2144"/>
      <c r="G187" s="2144"/>
      <c r="H187" s="2144"/>
      <c r="I187" s="2144"/>
      <c r="J187" s="2144"/>
      <c r="K187" s="2144"/>
      <c r="L187" s="2144"/>
      <c r="M187" s="2144"/>
      <c r="N187" s="2144"/>
      <c r="O187" s="2144"/>
      <c r="P187" s="2144"/>
      <c r="Q187" s="2144"/>
      <c r="R187" s="2144"/>
      <c r="S187" s="2144"/>
      <c r="T187" s="2144"/>
      <c r="U187" s="2144"/>
      <c r="V187" s="2144"/>
      <c r="W187" s="2144"/>
      <c r="X187" s="2144"/>
      <c r="Y187" s="2144"/>
      <c r="Z187" s="2144"/>
      <c r="AA187" s="2144"/>
      <c r="AB187" s="2144"/>
      <c r="AC187" s="2144"/>
      <c r="AD187" s="2144"/>
      <c r="AE187" s="2144"/>
      <c r="AF187" s="2144"/>
      <c r="AG187" s="2144"/>
    </row>
    <row r="188" spans="1:33" s="584" customFormat="1" ht="14">
      <c r="A188" s="597"/>
      <c r="D188" s="2144"/>
      <c r="E188" s="2144"/>
      <c r="F188" s="2144"/>
      <c r="G188" s="2144"/>
      <c r="H188" s="2144"/>
      <c r="I188" s="2144"/>
      <c r="J188" s="2144"/>
      <c r="K188" s="2144"/>
      <c r="L188" s="2144"/>
      <c r="M188" s="2144"/>
      <c r="N188" s="2144"/>
      <c r="O188" s="2144"/>
      <c r="P188" s="2144"/>
      <c r="Q188" s="2144"/>
      <c r="R188" s="2144"/>
      <c r="S188" s="2144"/>
      <c r="T188" s="2144"/>
      <c r="U188" s="2144"/>
      <c r="V188" s="2144"/>
      <c r="W188" s="2144"/>
      <c r="X188" s="2144"/>
      <c r="Y188" s="2144"/>
      <c r="Z188" s="2144"/>
      <c r="AA188" s="2144"/>
      <c r="AB188" s="2144"/>
      <c r="AC188" s="2144"/>
      <c r="AD188" s="2144"/>
      <c r="AE188" s="2144"/>
      <c r="AF188" s="2144"/>
      <c r="AG188" s="2144"/>
    </row>
    <row r="189" spans="1:33" s="584" customFormat="1" ht="14">
      <c r="A189" s="597"/>
      <c r="D189" s="2144"/>
      <c r="E189" s="2144"/>
      <c r="F189" s="2144"/>
      <c r="G189" s="2144"/>
      <c r="H189" s="2144"/>
      <c r="I189" s="2144"/>
      <c r="J189" s="2144"/>
      <c r="K189" s="2144"/>
      <c r="L189" s="2144"/>
      <c r="M189" s="2144"/>
      <c r="N189" s="2144"/>
      <c r="O189" s="2144"/>
      <c r="P189" s="2144"/>
      <c r="Q189" s="2144"/>
      <c r="R189" s="2144"/>
      <c r="S189" s="2144"/>
      <c r="T189" s="2144"/>
      <c r="U189" s="2144"/>
      <c r="V189" s="2144"/>
      <c r="W189" s="2144"/>
      <c r="X189" s="2144"/>
      <c r="Y189" s="2144"/>
      <c r="Z189" s="2144"/>
      <c r="AA189" s="2144"/>
      <c r="AB189" s="2144"/>
      <c r="AC189" s="2144"/>
      <c r="AD189" s="2144"/>
      <c r="AE189" s="2144"/>
      <c r="AF189" s="2144"/>
      <c r="AG189" s="2144"/>
    </row>
    <row r="190" spans="1:33" s="584" customFormat="1" ht="14">
      <c r="A190" s="597"/>
      <c r="D190" s="2133" t="s">
        <v>2968</v>
      </c>
      <c r="E190" s="2675"/>
      <c r="F190" s="2675"/>
      <c r="G190" s="2675"/>
      <c r="H190" s="2675"/>
      <c r="I190" s="2675"/>
      <c r="J190" s="2675"/>
      <c r="K190" s="2675"/>
      <c r="L190" s="2675"/>
      <c r="M190" s="2675"/>
      <c r="N190" s="2675"/>
      <c r="O190" s="2675"/>
      <c r="P190" s="2675"/>
      <c r="Q190" s="2675"/>
      <c r="R190" s="2675"/>
      <c r="S190" s="2675"/>
      <c r="T190" s="2675"/>
      <c r="U190" s="2675"/>
      <c r="V190" s="2675"/>
      <c r="W190" s="2675"/>
      <c r="X190" s="2675"/>
      <c r="Y190" s="2675"/>
      <c r="Z190" s="2675"/>
      <c r="AA190" s="2675"/>
      <c r="AB190" s="2675"/>
      <c r="AC190" s="2675"/>
      <c r="AD190" s="2675"/>
      <c r="AE190" s="2675"/>
      <c r="AF190" s="2675"/>
      <c r="AG190" s="2675"/>
    </row>
    <row r="191" spans="1:33" s="584" customFormat="1" ht="14">
      <c r="A191" s="597"/>
      <c r="K191" s="767"/>
    </row>
    <row r="192" spans="1:33" s="584" customFormat="1" ht="14">
      <c r="A192" s="597"/>
      <c r="D192" s="582" t="s">
        <v>3078</v>
      </c>
    </row>
    <row r="193" spans="1:33" s="584" customFormat="1" ht="6.65" customHeight="1">
      <c r="A193" s="597"/>
    </row>
    <row r="194" spans="1:33" s="584" customFormat="1" ht="14">
      <c r="A194" s="597"/>
      <c r="D194" s="2100" t="s">
        <v>1778</v>
      </c>
      <c r="E194" s="2144"/>
      <c r="F194" s="2144"/>
      <c r="G194" s="2144"/>
      <c r="H194" s="2144"/>
      <c r="I194" s="2144"/>
      <c r="J194" s="2144"/>
      <c r="K194" s="2144"/>
      <c r="L194" s="2144"/>
      <c r="M194" s="2144"/>
      <c r="N194" s="2144"/>
      <c r="O194" s="2144"/>
      <c r="P194" s="2144"/>
      <c r="Q194" s="2144"/>
      <c r="R194" s="2144"/>
      <c r="S194" s="2144"/>
      <c r="T194" s="2144"/>
      <c r="U194" s="2144"/>
      <c r="V194" s="2144"/>
      <c r="W194" s="2144"/>
      <c r="X194" s="2144"/>
      <c r="Y194" s="2144"/>
      <c r="Z194" s="2144"/>
      <c r="AA194" s="2144"/>
      <c r="AB194" s="2144"/>
      <c r="AC194" s="2144"/>
      <c r="AD194" s="2144"/>
      <c r="AE194" s="2144"/>
      <c r="AF194" s="2144"/>
      <c r="AG194" s="2144"/>
    </row>
    <row r="195" spans="1:33" s="584" customFormat="1" ht="14">
      <c r="A195" s="597"/>
      <c r="D195" s="2144"/>
      <c r="E195" s="2144"/>
      <c r="F195" s="2144"/>
      <c r="G195" s="2144"/>
      <c r="H195" s="2144"/>
      <c r="I195" s="2144"/>
      <c r="J195" s="2144"/>
      <c r="K195" s="2144"/>
      <c r="L195" s="2144"/>
      <c r="M195" s="2144"/>
      <c r="N195" s="2144"/>
      <c r="O195" s="2144"/>
      <c r="P195" s="2144"/>
      <c r="Q195" s="2144"/>
      <c r="R195" s="2144"/>
      <c r="S195" s="2144"/>
      <c r="T195" s="2144"/>
      <c r="U195" s="2144"/>
      <c r="V195" s="2144"/>
      <c r="W195" s="2144"/>
      <c r="X195" s="2144"/>
      <c r="Y195" s="2144"/>
      <c r="Z195" s="2144"/>
      <c r="AA195" s="2144"/>
      <c r="AB195" s="2144"/>
      <c r="AC195" s="2144"/>
      <c r="AD195" s="2144"/>
      <c r="AE195" s="2144"/>
      <c r="AF195" s="2144"/>
      <c r="AG195" s="2144"/>
    </row>
    <row r="196" spans="1:33" s="584" customFormat="1" ht="14">
      <c r="A196" s="597"/>
    </row>
    <row r="197" spans="1:33" s="584" customFormat="1" ht="14">
      <c r="A197" s="597"/>
      <c r="D197" s="2100" t="s">
        <v>1779</v>
      </c>
      <c r="E197" s="2144"/>
      <c r="F197" s="2144"/>
      <c r="G197" s="2144"/>
      <c r="H197" s="2144"/>
      <c r="I197" s="2144"/>
      <c r="J197" s="2144"/>
      <c r="K197" s="2144"/>
      <c r="L197" s="2144"/>
      <c r="M197" s="2144"/>
      <c r="N197" s="2144"/>
      <c r="O197" s="2144"/>
      <c r="P197" s="2144"/>
      <c r="Q197" s="2144"/>
      <c r="R197" s="2144"/>
      <c r="S197" s="2144"/>
      <c r="T197" s="2144"/>
      <c r="U197" s="2144"/>
      <c r="V197" s="2144"/>
      <c r="W197" s="2144"/>
      <c r="X197" s="2144"/>
      <c r="Y197" s="2144"/>
      <c r="Z197" s="2144"/>
      <c r="AA197" s="2144"/>
      <c r="AB197" s="2144"/>
      <c r="AC197" s="2144"/>
      <c r="AD197" s="2144"/>
      <c r="AE197" s="2144"/>
      <c r="AF197" s="2144"/>
      <c r="AG197" s="2144"/>
    </row>
    <row r="198" spans="1:33" s="584" customFormat="1" ht="14">
      <c r="A198" s="597"/>
      <c r="D198" s="2144"/>
      <c r="E198" s="2144"/>
      <c r="F198" s="2144"/>
      <c r="G198" s="2144"/>
      <c r="H198" s="2144"/>
      <c r="I198" s="2144"/>
      <c r="J198" s="2144"/>
      <c r="K198" s="2144"/>
      <c r="L198" s="2144"/>
      <c r="M198" s="2144"/>
      <c r="N198" s="2144"/>
      <c r="O198" s="2144"/>
      <c r="P198" s="2144"/>
      <c r="Q198" s="2144"/>
      <c r="R198" s="2144"/>
      <c r="S198" s="2144"/>
      <c r="T198" s="2144"/>
      <c r="U198" s="2144"/>
      <c r="V198" s="2144"/>
      <c r="W198" s="2144"/>
      <c r="X198" s="2144"/>
      <c r="Y198" s="2144"/>
      <c r="Z198" s="2144"/>
      <c r="AA198" s="2144"/>
      <c r="AB198" s="2144"/>
      <c r="AC198" s="2144"/>
      <c r="AD198" s="2144"/>
      <c r="AE198" s="2144"/>
      <c r="AF198" s="2144"/>
      <c r="AG198" s="2144"/>
    </row>
    <row r="199" spans="1:33" s="584" customFormat="1" ht="9.65" customHeight="1">
      <c r="A199" s="597"/>
    </row>
    <row r="200" spans="1:33" s="584" customFormat="1" ht="27.75" customHeight="1">
      <c r="A200" s="597"/>
      <c r="D200" s="2100" t="s">
        <v>1780</v>
      </c>
      <c r="E200" s="2144"/>
      <c r="F200" s="2144"/>
      <c r="G200" s="2144"/>
      <c r="H200" s="2144"/>
      <c r="I200" s="2144"/>
      <c r="J200" s="2144"/>
      <c r="K200" s="2144"/>
      <c r="L200" s="2144"/>
      <c r="M200" s="2144"/>
      <c r="N200" s="2144"/>
      <c r="O200" s="2144"/>
      <c r="P200" s="2144"/>
      <c r="Q200" s="2144"/>
      <c r="R200" s="2144"/>
      <c r="S200" s="2144"/>
      <c r="T200" s="2144"/>
      <c r="U200" s="2144"/>
      <c r="V200" s="2144"/>
      <c r="W200" s="2144"/>
      <c r="X200" s="2144"/>
      <c r="Y200" s="2144"/>
      <c r="Z200" s="2144"/>
      <c r="AA200" s="2144"/>
      <c r="AB200" s="2144"/>
      <c r="AC200" s="2144"/>
      <c r="AD200" s="2144"/>
      <c r="AE200" s="2144"/>
      <c r="AF200" s="2144"/>
      <c r="AG200" s="2144"/>
    </row>
    <row r="201" spans="1:33" s="584" customFormat="1" ht="6.65" customHeight="1">
      <c r="A201" s="597"/>
    </row>
    <row r="202" spans="1:33" s="584" customFormat="1" ht="14">
      <c r="A202" s="597"/>
      <c r="D202" s="582" t="s">
        <v>3079</v>
      </c>
    </row>
    <row r="203" spans="1:33" s="584" customFormat="1" ht="6.65" customHeight="1">
      <c r="A203" s="597"/>
    </row>
    <row r="204" spans="1:33" s="584" customFormat="1" ht="14">
      <c r="A204" s="597"/>
      <c r="D204" s="2100" t="s">
        <v>2969</v>
      </c>
      <c r="E204" s="2144"/>
      <c r="F204" s="2144"/>
      <c r="G204" s="2144"/>
      <c r="H204" s="2144"/>
      <c r="I204" s="2144"/>
      <c r="J204" s="2144"/>
      <c r="K204" s="2144"/>
      <c r="L204" s="2144"/>
      <c r="M204" s="2144"/>
      <c r="N204" s="2144"/>
      <c r="O204" s="2144"/>
      <c r="P204" s="2144"/>
      <c r="Q204" s="2144"/>
      <c r="R204" s="2144"/>
      <c r="S204" s="2144"/>
      <c r="T204" s="2144"/>
      <c r="U204" s="2144"/>
      <c r="V204" s="2144"/>
      <c r="W204" s="2144"/>
      <c r="X204" s="2144"/>
      <c r="Y204" s="2144"/>
      <c r="Z204" s="2144"/>
      <c r="AA204" s="2144"/>
      <c r="AB204" s="2144"/>
      <c r="AC204" s="2144"/>
      <c r="AD204" s="2144"/>
      <c r="AE204" s="2144"/>
      <c r="AF204" s="2144"/>
      <c r="AG204" s="2144"/>
    </row>
    <row r="205" spans="1:33" s="584" customFormat="1" ht="40.9" customHeight="1">
      <c r="A205" s="597"/>
      <c r="D205" s="2144"/>
      <c r="E205" s="2144"/>
      <c r="F205" s="2144"/>
      <c r="G205" s="2144"/>
      <c r="H205" s="2144"/>
      <c r="I205" s="2144"/>
      <c r="J205" s="2144"/>
      <c r="K205" s="2144"/>
      <c r="L205" s="2144"/>
      <c r="M205" s="2144"/>
      <c r="N205" s="2144"/>
      <c r="O205" s="2144"/>
      <c r="P205" s="2144"/>
      <c r="Q205" s="2144"/>
      <c r="R205" s="2144"/>
      <c r="S205" s="2144"/>
      <c r="T205" s="2144"/>
      <c r="U205" s="2144"/>
      <c r="V205" s="2144"/>
      <c r="W205" s="2144"/>
      <c r="X205" s="2144"/>
      <c r="Y205" s="2144"/>
      <c r="Z205" s="2144"/>
      <c r="AA205" s="2144"/>
      <c r="AB205" s="2144"/>
      <c r="AC205" s="2144"/>
      <c r="AD205" s="2144"/>
      <c r="AE205" s="2144"/>
      <c r="AF205" s="2144"/>
      <c r="AG205" s="2144"/>
    </row>
    <row r="206" spans="1:33" s="584" customFormat="1" ht="9.65" customHeight="1">
      <c r="A206" s="597"/>
    </row>
    <row r="207" spans="1:33" s="584" customFormat="1" ht="14">
      <c r="A207" s="597"/>
      <c r="D207" s="582" t="s">
        <v>3080</v>
      </c>
    </row>
    <row r="208" spans="1:33" s="584" customFormat="1" ht="9.65" customHeight="1">
      <c r="A208" s="597"/>
    </row>
    <row r="209" spans="1:33" s="584" customFormat="1" ht="13.9" customHeight="1">
      <c r="A209" s="597"/>
      <c r="D209" s="2126" t="s">
        <v>3083</v>
      </c>
      <c r="E209" s="2126"/>
      <c r="F209" s="2126"/>
      <c r="G209" s="2126"/>
      <c r="H209" s="2126"/>
      <c r="I209" s="2126"/>
      <c r="J209" s="2126"/>
      <c r="K209" s="2126"/>
      <c r="L209" s="2126"/>
      <c r="M209" s="2126"/>
      <c r="N209" s="2126"/>
      <c r="O209" s="2126"/>
      <c r="P209" s="2126"/>
      <c r="Q209" s="2126"/>
      <c r="R209" s="2126"/>
      <c r="S209" s="2126"/>
      <c r="T209" s="2126"/>
      <c r="U209" s="2126"/>
      <c r="V209" s="2126"/>
      <c r="W209" s="2126"/>
      <c r="X209" s="2126"/>
      <c r="Y209" s="2126"/>
      <c r="Z209" s="2126"/>
      <c r="AA209" s="2126"/>
      <c r="AB209" s="2126"/>
      <c r="AC209" s="2126"/>
      <c r="AD209" s="2126"/>
      <c r="AE209" s="2126"/>
      <c r="AF209" s="2126"/>
      <c r="AG209" s="2126"/>
    </row>
    <row r="210" spans="1:33" s="584" customFormat="1" ht="14">
      <c r="A210" s="597"/>
      <c r="D210" s="2126"/>
      <c r="E210" s="2126"/>
      <c r="F210" s="2126"/>
      <c r="G210" s="2126"/>
      <c r="H210" s="2126"/>
      <c r="I210" s="2126"/>
      <c r="J210" s="2126"/>
      <c r="K210" s="2126"/>
      <c r="L210" s="2126"/>
      <c r="M210" s="2126"/>
      <c r="N210" s="2126"/>
      <c r="O210" s="2126"/>
      <c r="P210" s="2126"/>
      <c r="Q210" s="2126"/>
      <c r="R210" s="2126"/>
      <c r="S210" s="2126"/>
      <c r="T210" s="2126"/>
      <c r="U210" s="2126"/>
      <c r="V210" s="2126"/>
      <c r="W210" s="2126"/>
      <c r="X210" s="2126"/>
      <c r="Y210" s="2126"/>
      <c r="Z210" s="2126"/>
      <c r="AA210" s="2126"/>
      <c r="AB210" s="2126"/>
      <c r="AC210" s="2126"/>
      <c r="AD210" s="2126"/>
      <c r="AE210" s="2126"/>
      <c r="AF210" s="2126"/>
      <c r="AG210" s="2126"/>
    </row>
    <row r="211" spans="1:33" s="584" customFormat="1" ht="14">
      <c r="A211" s="597"/>
      <c r="D211" s="2126"/>
      <c r="E211" s="2126"/>
      <c r="F211" s="2126"/>
      <c r="G211" s="2126"/>
      <c r="H211" s="2126"/>
      <c r="I211" s="2126"/>
      <c r="J211" s="2126"/>
      <c r="K211" s="2126"/>
      <c r="L211" s="2126"/>
      <c r="M211" s="2126"/>
      <c r="N211" s="2126"/>
      <c r="O211" s="2126"/>
      <c r="P211" s="2126"/>
      <c r="Q211" s="2126"/>
      <c r="R211" s="2126"/>
      <c r="S211" s="2126"/>
      <c r="T211" s="2126"/>
      <c r="U211" s="2126"/>
      <c r="V211" s="2126"/>
      <c r="W211" s="2126"/>
      <c r="X211" s="2126"/>
      <c r="Y211" s="2126"/>
      <c r="Z211" s="2126"/>
      <c r="AA211" s="2126"/>
      <c r="AB211" s="2126"/>
      <c r="AC211" s="2126"/>
      <c r="AD211" s="2126"/>
      <c r="AE211" s="2126"/>
      <c r="AF211" s="2126"/>
      <c r="AG211" s="2126"/>
    </row>
    <row r="212" spans="1:33" s="584" customFormat="1" ht="14">
      <c r="A212" s="597"/>
      <c r="D212" s="2126"/>
      <c r="E212" s="2126"/>
      <c r="F212" s="2126"/>
      <c r="G212" s="2126"/>
      <c r="H212" s="2126"/>
      <c r="I212" s="2126"/>
      <c r="J212" s="2126"/>
      <c r="K212" s="2126"/>
      <c r="L212" s="2126"/>
      <c r="M212" s="2126"/>
      <c r="N212" s="2126"/>
      <c r="O212" s="2126"/>
      <c r="P212" s="2126"/>
      <c r="Q212" s="2126"/>
      <c r="R212" s="2126"/>
      <c r="S212" s="2126"/>
      <c r="T212" s="2126"/>
      <c r="U212" s="2126"/>
      <c r="V212" s="2126"/>
      <c r="W212" s="2126"/>
      <c r="X212" s="2126"/>
      <c r="Y212" s="2126"/>
      <c r="Z212" s="2126"/>
      <c r="AA212" s="2126"/>
      <c r="AB212" s="2126"/>
      <c r="AC212" s="2126"/>
      <c r="AD212" s="2126"/>
      <c r="AE212" s="2126"/>
      <c r="AF212" s="2126"/>
      <c r="AG212" s="2126"/>
    </row>
    <row r="213" spans="1:33" s="584" customFormat="1" ht="14">
      <c r="A213" s="597"/>
      <c r="D213" s="2126"/>
      <c r="E213" s="2126"/>
      <c r="F213" s="2126"/>
      <c r="G213" s="2126"/>
      <c r="H213" s="2126"/>
      <c r="I213" s="2126"/>
      <c r="J213" s="2126"/>
      <c r="K213" s="2126"/>
      <c r="L213" s="2126"/>
      <c r="M213" s="2126"/>
      <c r="N213" s="2126"/>
      <c r="O213" s="2126"/>
      <c r="P213" s="2126"/>
      <c r="Q213" s="2126"/>
      <c r="R213" s="2126"/>
      <c r="S213" s="2126"/>
      <c r="T213" s="2126"/>
      <c r="U213" s="2126"/>
      <c r="V213" s="2126"/>
      <c r="W213" s="2126"/>
      <c r="X213" s="2126"/>
      <c r="Y213" s="2126"/>
      <c r="Z213" s="2126"/>
      <c r="AA213" s="2126"/>
      <c r="AB213" s="2126"/>
      <c r="AC213" s="2126"/>
      <c r="AD213" s="2126"/>
      <c r="AE213" s="2126"/>
      <c r="AF213" s="2126"/>
      <c r="AG213" s="2126"/>
    </row>
    <row r="214" spans="1:33" s="584" customFormat="1" ht="14">
      <c r="A214" s="597"/>
      <c r="D214" s="2712" t="s">
        <v>3082</v>
      </c>
      <c r="E214" s="2712"/>
      <c r="F214" s="2712"/>
      <c r="G214" s="2712"/>
      <c r="H214" s="2712"/>
      <c r="I214" s="2712"/>
      <c r="J214" s="2712"/>
      <c r="K214" s="2712"/>
      <c r="L214" s="2712"/>
      <c r="M214" s="2712"/>
      <c r="N214" s="2712"/>
      <c r="O214" s="2712"/>
      <c r="P214" s="2712"/>
      <c r="Q214" s="2712"/>
      <c r="R214" s="2712"/>
      <c r="S214" s="2712"/>
      <c r="T214" s="2712"/>
      <c r="U214" s="2712"/>
      <c r="V214" s="2712"/>
      <c r="W214" s="2712"/>
      <c r="X214" s="2712"/>
      <c r="Y214" s="2712"/>
      <c r="Z214" s="2712"/>
      <c r="AA214" s="2712"/>
      <c r="AB214" s="2712"/>
      <c r="AC214" s="2712"/>
      <c r="AD214" s="2712"/>
      <c r="AE214" s="2712"/>
      <c r="AF214" s="2712"/>
      <c r="AG214" s="2712"/>
    </row>
    <row r="215" spans="1:33" s="584" customFormat="1" ht="14">
      <c r="A215" s="597"/>
    </row>
    <row r="216" spans="1:33" s="584" customFormat="1" ht="14">
      <c r="A216" s="597"/>
      <c r="D216" s="584" t="s">
        <v>1339</v>
      </c>
      <c r="E216" s="2100" t="s">
        <v>1781</v>
      </c>
      <c r="F216" s="2144"/>
      <c r="G216" s="2144"/>
      <c r="H216" s="2144"/>
      <c r="I216" s="2144"/>
      <c r="J216" s="2144"/>
      <c r="K216" s="2144"/>
      <c r="L216" s="2144"/>
      <c r="M216" s="2144"/>
      <c r="N216" s="2144"/>
      <c r="O216" s="2144"/>
      <c r="P216" s="2144"/>
      <c r="Q216" s="2144"/>
      <c r="R216" s="2144"/>
      <c r="S216" s="2144"/>
      <c r="T216" s="2144"/>
      <c r="U216" s="2144"/>
      <c r="V216" s="2144"/>
      <c r="W216" s="2144"/>
      <c r="X216" s="2144"/>
      <c r="Y216" s="2144"/>
      <c r="Z216" s="2144"/>
      <c r="AA216" s="2144"/>
      <c r="AB216" s="2144"/>
      <c r="AC216" s="2144"/>
      <c r="AD216" s="2144"/>
      <c r="AE216" s="2144"/>
      <c r="AF216" s="2144"/>
      <c r="AG216" s="2144"/>
    </row>
    <row r="217" spans="1:33" s="584" customFormat="1" ht="14">
      <c r="A217" s="597"/>
      <c r="E217" s="2144"/>
      <c r="F217" s="2144"/>
      <c r="G217" s="2144"/>
      <c r="H217" s="2144"/>
      <c r="I217" s="2144"/>
      <c r="J217" s="2144"/>
      <c r="K217" s="2144"/>
      <c r="L217" s="2144"/>
      <c r="M217" s="2144"/>
      <c r="N217" s="2144"/>
      <c r="O217" s="2144"/>
      <c r="P217" s="2144"/>
      <c r="Q217" s="2144"/>
      <c r="R217" s="2144"/>
      <c r="S217" s="2144"/>
      <c r="T217" s="2144"/>
      <c r="U217" s="2144"/>
      <c r="V217" s="2144"/>
      <c r="W217" s="2144"/>
      <c r="X217" s="2144"/>
      <c r="Y217" s="2144"/>
      <c r="Z217" s="2144"/>
      <c r="AA217" s="2144"/>
      <c r="AB217" s="2144"/>
      <c r="AC217" s="2144"/>
      <c r="AD217" s="2144"/>
      <c r="AE217" s="2144"/>
      <c r="AF217" s="2144"/>
      <c r="AG217" s="2144"/>
    </row>
    <row r="218" spans="1:33" s="584" customFormat="1" ht="14">
      <c r="A218" s="597"/>
      <c r="E218" s="603"/>
      <c r="F218" s="603"/>
      <c r="G218" s="603"/>
      <c r="H218" s="603"/>
      <c r="I218" s="603"/>
      <c r="J218" s="603"/>
      <c r="K218" s="603"/>
      <c r="L218" s="603"/>
      <c r="M218" s="603"/>
      <c r="N218" s="603"/>
      <c r="O218" s="603"/>
      <c r="P218" s="603"/>
      <c r="Q218" s="603"/>
      <c r="R218" s="603"/>
      <c r="S218" s="603"/>
      <c r="T218" s="603"/>
      <c r="U218" s="603"/>
      <c r="V218" s="603"/>
      <c r="W218" s="603"/>
      <c r="X218" s="603"/>
      <c r="Y218" s="603"/>
      <c r="Z218" s="603"/>
      <c r="AA218" s="603"/>
      <c r="AB218" s="603"/>
      <c r="AC218" s="603"/>
      <c r="AD218" s="603"/>
      <c r="AE218" s="603"/>
      <c r="AF218" s="603"/>
      <c r="AG218" s="603"/>
    </row>
    <row r="219" spans="1:33" s="584" customFormat="1" ht="14">
      <c r="A219" s="597"/>
      <c r="D219" s="584" t="s">
        <v>1339</v>
      </c>
      <c r="E219" s="2100" t="s">
        <v>1782</v>
      </c>
      <c r="F219" s="2144"/>
      <c r="G219" s="2144"/>
      <c r="H219" s="2144"/>
      <c r="I219" s="2144"/>
      <c r="J219" s="2144"/>
      <c r="K219" s="2144"/>
      <c r="L219" s="2144"/>
      <c r="M219" s="2144"/>
      <c r="N219" s="2144"/>
      <c r="O219" s="2144"/>
      <c r="P219" s="2144"/>
      <c r="Q219" s="2144"/>
      <c r="R219" s="2144"/>
      <c r="S219" s="2144"/>
      <c r="T219" s="2144"/>
      <c r="U219" s="2144"/>
      <c r="V219" s="2144"/>
      <c r="W219" s="2144"/>
      <c r="X219" s="2144"/>
      <c r="Y219" s="2144"/>
      <c r="Z219" s="2144"/>
      <c r="AA219" s="2144"/>
      <c r="AB219" s="2144"/>
      <c r="AC219" s="2144"/>
      <c r="AD219" s="2144"/>
      <c r="AE219" s="2144"/>
      <c r="AF219" s="2144"/>
      <c r="AG219" s="2144"/>
    </row>
    <row r="220" spans="1:33" s="584" customFormat="1" ht="14">
      <c r="A220" s="597"/>
      <c r="E220" s="2144"/>
      <c r="F220" s="2144"/>
      <c r="G220" s="2144"/>
      <c r="H220" s="2144"/>
      <c r="I220" s="2144"/>
      <c r="J220" s="2144"/>
      <c r="K220" s="2144"/>
      <c r="L220" s="2144"/>
      <c r="M220" s="2144"/>
      <c r="N220" s="2144"/>
      <c r="O220" s="2144"/>
      <c r="P220" s="2144"/>
      <c r="Q220" s="2144"/>
      <c r="R220" s="2144"/>
      <c r="S220" s="2144"/>
      <c r="T220" s="2144"/>
      <c r="U220" s="2144"/>
      <c r="V220" s="2144"/>
      <c r="W220" s="2144"/>
      <c r="X220" s="2144"/>
      <c r="Y220" s="2144"/>
      <c r="Z220" s="2144"/>
      <c r="AA220" s="2144"/>
      <c r="AB220" s="2144"/>
      <c r="AC220" s="2144"/>
      <c r="AD220" s="2144"/>
      <c r="AE220" s="2144"/>
      <c r="AF220" s="2144"/>
      <c r="AG220" s="2144"/>
    </row>
    <row r="221" spans="1:33" s="584" customFormat="1" ht="14">
      <c r="A221" s="597"/>
      <c r="D221" s="584" t="s">
        <v>1339</v>
      </c>
      <c r="E221" s="2100" t="s">
        <v>2707</v>
      </c>
      <c r="F221" s="2144"/>
      <c r="G221" s="2144"/>
      <c r="H221" s="2144"/>
      <c r="I221" s="2144"/>
      <c r="J221" s="2144"/>
      <c r="K221" s="2144"/>
      <c r="L221" s="2144"/>
      <c r="M221" s="2144"/>
      <c r="N221" s="2144"/>
      <c r="O221" s="2144"/>
      <c r="P221" s="2144"/>
      <c r="Q221" s="2144"/>
      <c r="R221" s="2144"/>
      <c r="S221" s="2144"/>
      <c r="T221" s="2144"/>
      <c r="U221" s="2144"/>
      <c r="V221" s="2144"/>
      <c r="W221" s="2144"/>
      <c r="X221" s="2144"/>
      <c r="Y221" s="2144"/>
      <c r="Z221" s="2144"/>
      <c r="AA221" s="2144"/>
      <c r="AB221" s="2144"/>
      <c r="AC221" s="2144"/>
      <c r="AD221" s="2144"/>
      <c r="AE221" s="2144"/>
      <c r="AF221" s="2144"/>
      <c r="AG221" s="2144"/>
    </row>
    <row r="222" spans="1:33" s="584" customFormat="1" ht="14">
      <c r="A222" s="597"/>
      <c r="E222" s="1561"/>
      <c r="F222" s="1560"/>
      <c r="G222" s="1560"/>
      <c r="H222" s="1560"/>
      <c r="I222" s="1560"/>
      <c r="J222" s="1560"/>
      <c r="K222" s="1560"/>
      <c r="L222" s="1560"/>
      <c r="M222" s="1560"/>
      <c r="N222" s="1560"/>
      <c r="O222" s="1560"/>
      <c r="P222" s="1560"/>
      <c r="Q222" s="1560"/>
      <c r="R222" s="1560"/>
      <c r="S222" s="1560"/>
      <c r="T222" s="1560"/>
      <c r="U222" s="1560"/>
      <c r="V222" s="1560"/>
      <c r="W222" s="1560"/>
      <c r="X222" s="1560"/>
      <c r="Y222" s="1560"/>
      <c r="Z222" s="1560"/>
      <c r="AA222" s="1560"/>
      <c r="AB222" s="1560"/>
      <c r="AC222" s="1560"/>
      <c r="AD222" s="1560"/>
      <c r="AE222" s="1560"/>
      <c r="AF222" s="1560"/>
      <c r="AG222" s="1560"/>
    </row>
    <row r="223" spans="1:33" s="584" customFormat="1" ht="13.9" customHeight="1">
      <c r="A223" s="597"/>
      <c r="D223" s="2713" t="s">
        <v>3084</v>
      </c>
      <c r="E223" s="2713"/>
      <c r="F223" s="2713"/>
      <c r="G223" s="2713"/>
      <c r="H223" s="2713"/>
      <c r="I223" s="2713"/>
      <c r="J223" s="2713"/>
      <c r="K223" s="2713"/>
      <c r="L223" s="2713"/>
      <c r="M223" s="2713"/>
      <c r="N223" s="2713"/>
      <c r="O223" s="2713"/>
      <c r="P223" s="2713"/>
      <c r="Q223" s="2713"/>
      <c r="R223" s="2713"/>
      <c r="S223" s="2713"/>
      <c r="T223" s="2713"/>
      <c r="U223" s="2713"/>
      <c r="V223" s="2713"/>
      <c r="W223" s="2713"/>
      <c r="X223" s="2713"/>
      <c r="Y223" s="2713"/>
      <c r="Z223" s="2713"/>
      <c r="AA223" s="2713"/>
      <c r="AB223" s="2713"/>
      <c r="AC223" s="2713"/>
      <c r="AD223" s="2713"/>
      <c r="AE223" s="2713"/>
      <c r="AF223" s="2713"/>
      <c r="AG223" s="2713"/>
    </row>
    <row r="224" spans="1:33" s="584" customFormat="1" ht="14">
      <c r="A224" s="597"/>
      <c r="D224" s="2713"/>
      <c r="E224" s="2713"/>
      <c r="F224" s="2713"/>
      <c r="G224" s="2713"/>
      <c r="H224" s="2713"/>
      <c r="I224" s="2713"/>
      <c r="J224" s="2713"/>
      <c r="K224" s="2713"/>
      <c r="L224" s="2713"/>
      <c r="M224" s="2713"/>
      <c r="N224" s="2713"/>
      <c r="O224" s="2713"/>
      <c r="P224" s="2713"/>
      <c r="Q224" s="2713"/>
      <c r="R224" s="2713"/>
      <c r="S224" s="2713"/>
      <c r="T224" s="2713"/>
      <c r="U224" s="2713"/>
      <c r="V224" s="2713"/>
      <c r="W224" s="2713"/>
      <c r="X224" s="2713"/>
      <c r="Y224" s="2713"/>
      <c r="Z224" s="2713"/>
      <c r="AA224" s="2713"/>
      <c r="AB224" s="2713"/>
      <c r="AC224" s="2713"/>
      <c r="AD224" s="2713"/>
      <c r="AE224" s="2713"/>
      <c r="AF224" s="2713"/>
      <c r="AG224" s="2713"/>
    </row>
    <row r="225" spans="1:33" s="584" customFormat="1" ht="14">
      <c r="A225" s="597"/>
      <c r="D225" s="2713"/>
      <c r="E225" s="2713"/>
      <c r="F225" s="2713"/>
      <c r="G225" s="2713"/>
      <c r="H225" s="2713"/>
      <c r="I225" s="2713"/>
      <c r="J225" s="2713"/>
      <c r="K225" s="2713"/>
      <c r="L225" s="2713"/>
      <c r="M225" s="2713"/>
      <c r="N225" s="2713"/>
      <c r="O225" s="2713"/>
      <c r="P225" s="2713"/>
      <c r="Q225" s="2713"/>
      <c r="R225" s="2713"/>
      <c r="S225" s="2713"/>
      <c r="T225" s="2713"/>
      <c r="U225" s="2713"/>
      <c r="V225" s="2713"/>
      <c r="W225" s="2713"/>
      <c r="X225" s="2713"/>
      <c r="Y225" s="2713"/>
      <c r="Z225" s="2713"/>
      <c r="AA225" s="2713"/>
      <c r="AB225" s="2713"/>
      <c r="AC225" s="2713"/>
      <c r="AD225" s="2713"/>
      <c r="AE225" s="2713"/>
      <c r="AF225" s="2713"/>
      <c r="AG225" s="2713"/>
    </row>
    <row r="226" spans="1:33" s="584" customFormat="1" ht="14">
      <c r="A226" s="597"/>
    </row>
    <row r="227" spans="1:33" s="584" customFormat="1" ht="30" customHeight="1">
      <c r="A227" s="597"/>
      <c r="D227" s="2100" t="s">
        <v>2895</v>
      </c>
      <c r="E227" s="2144"/>
      <c r="F227" s="2144"/>
      <c r="G227" s="2144"/>
      <c r="H227" s="2144"/>
      <c r="I227" s="2144"/>
      <c r="J227" s="2144"/>
      <c r="K227" s="2144"/>
      <c r="L227" s="2144"/>
      <c r="M227" s="2144"/>
      <c r="N227" s="2144"/>
      <c r="O227" s="2144"/>
      <c r="P227" s="2144"/>
      <c r="Q227" s="2144"/>
      <c r="R227" s="2144"/>
      <c r="S227" s="2144"/>
      <c r="T227" s="2144"/>
      <c r="U227" s="2144"/>
      <c r="V227" s="2144"/>
      <c r="W227" s="2144"/>
      <c r="X227" s="2144"/>
      <c r="Y227" s="2144"/>
      <c r="Z227" s="2144"/>
      <c r="AA227" s="2144"/>
      <c r="AB227" s="2144"/>
      <c r="AC227" s="2144"/>
      <c r="AD227" s="2144"/>
      <c r="AE227" s="2144"/>
      <c r="AF227" s="2144"/>
      <c r="AG227" s="2144"/>
    </row>
    <row r="228" spans="1:33" s="584" customFormat="1" ht="14">
      <c r="A228" s="597"/>
      <c r="D228" s="1497"/>
      <c r="E228" s="1498"/>
      <c r="F228" s="1498"/>
      <c r="G228" s="1498"/>
      <c r="H228" s="1498"/>
      <c r="I228" s="1498"/>
      <c r="J228" s="1498"/>
      <c r="K228" s="1498"/>
      <c r="L228" s="1498"/>
      <c r="M228" s="1498"/>
      <c r="N228" s="1498"/>
      <c r="O228" s="1498"/>
      <c r="P228" s="1498"/>
      <c r="Q228" s="1498"/>
      <c r="R228" s="1498"/>
      <c r="S228" s="1498"/>
      <c r="T228" s="1498"/>
      <c r="U228" s="1498"/>
      <c r="V228" s="1498"/>
      <c r="W228" s="1498"/>
      <c r="X228" s="1498"/>
      <c r="Y228" s="1498"/>
      <c r="Z228" s="1498"/>
      <c r="AA228" s="1498"/>
      <c r="AB228" s="1498"/>
      <c r="AC228" s="1498"/>
      <c r="AD228" s="1498"/>
      <c r="AE228" s="1498"/>
      <c r="AF228" s="1498"/>
      <c r="AG228" s="1498"/>
    </row>
    <row r="229" spans="1:33" s="584" customFormat="1" ht="14">
      <c r="A229" s="597"/>
      <c r="D229" s="2319" t="s">
        <v>3081</v>
      </c>
      <c r="E229" s="2319"/>
      <c r="F229" s="2319"/>
      <c r="G229" s="2319"/>
      <c r="H229" s="2319"/>
      <c r="I229" s="2319"/>
      <c r="J229" s="2319"/>
      <c r="K229" s="2319"/>
      <c r="L229" s="2319"/>
      <c r="M229" s="2319"/>
      <c r="N229" s="2319"/>
      <c r="O229" s="2319"/>
      <c r="P229" s="2319"/>
      <c r="Q229" s="2319"/>
      <c r="R229" s="2319"/>
      <c r="S229" s="2319"/>
      <c r="T229" s="2319"/>
      <c r="U229" s="2319"/>
      <c r="V229" s="2319"/>
      <c r="W229" s="2319"/>
      <c r="X229" s="2319"/>
      <c r="Y229" s="2319"/>
      <c r="Z229" s="2319"/>
      <c r="AA229" s="2319"/>
      <c r="AB229" s="2319"/>
      <c r="AC229" s="2319"/>
      <c r="AD229" s="2319"/>
      <c r="AE229" s="2319"/>
      <c r="AF229" s="2319"/>
      <c r="AG229" s="2319"/>
    </row>
    <row r="230" spans="1:33" s="584" customFormat="1" ht="14">
      <c r="A230" s="597"/>
      <c r="D230" s="2319"/>
      <c r="E230" s="2319"/>
      <c r="F230" s="2319"/>
      <c r="G230" s="2319"/>
      <c r="H230" s="2319"/>
      <c r="I230" s="2319"/>
      <c r="J230" s="2319"/>
      <c r="K230" s="2319"/>
      <c r="L230" s="2319"/>
      <c r="M230" s="2319"/>
      <c r="N230" s="2319"/>
      <c r="O230" s="2319"/>
      <c r="P230" s="2319"/>
      <c r="Q230" s="2319"/>
      <c r="R230" s="2319"/>
      <c r="S230" s="2319"/>
      <c r="T230" s="2319"/>
      <c r="U230" s="2319"/>
      <c r="V230" s="2319"/>
      <c r="W230" s="2319"/>
      <c r="X230" s="2319"/>
      <c r="Y230" s="2319"/>
      <c r="Z230" s="2319"/>
      <c r="AA230" s="2319"/>
      <c r="AB230" s="2319"/>
      <c r="AC230" s="2319"/>
      <c r="AD230" s="2319"/>
      <c r="AE230" s="2319"/>
      <c r="AF230" s="2319"/>
      <c r="AG230" s="2319"/>
    </row>
    <row r="231" spans="1:33" s="584" customFormat="1" ht="14">
      <c r="A231" s="597"/>
      <c r="D231" s="2674" t="s">
        <v>2801</v>
      </c>
      <c r="E231" s="2674"/>
      <c r="F231" s="2674"/>
      <c r="G231" s="2674"/>
      <c r="H231" s="2674"/>
      <c r="I231" s="2674"/>
      <c r="J231" s="2674"/>
      <c r="K231" s="2674"/>
      <c r="L231" s="2674"/>
      <c r="M231" s="2674"/>
      <c r="N231" s="2674"/>
      <c r="O231" s="2674"/>
      <c r="P231" s="2674"/>
      <c r="Q231" s="2674"/>
      <c r="R231" s="2674"/>
      <c r="S231" s="2674"/>
      <c r="T231" s="2674"/>
      <c r="U231" s="2674"/>
      <c r="V231" s="2674"/>
      <c r="W231" s="2674"/>
      <c r="X231" s="2674"/>
      <c r="Y231" s="2674"/>
      <c r="Z231" s="2674"/>
      <c r="AA231" s="2674"/>
      <c r="AB231" s="2674"/>
      <c r="AC231" s="2674"/>
      <c r="AD231" s="2674"/>
      <c r="AE231" s="2674"/>
      <c r="AF231" s="2674"/>
      <c r="AG231" s="2674"/>
    </row>
    <row r="232" spans="1:33" s="584" customFormat="1" ht="9.25" customHeight="1">
      <c r="A232" s="597"/>
    </row>
    <row r="233" spans="1:33" s="584" customFormat="1" ht="14">
      <c r="A233" s="597"/>
      <c r="D233" s="582" t="s">
        <v>2970</v>
      </c>
    </row>
    <row r="234" spans="1:33" s="584" customFormat="1" ht="14">
      <c r="A234" s="597"/>
    </row>
    <row r="235" spans="1:33" s="584" customFormat="1" ht="14">
      <c r="A235" s="597"/>
      <c r="D235" s="582" t="s">
        <v>1783</v>
      </c>
      <c r="E235" s="774"/>
      <c r="F235" s="774"/>
    </row>
    <row r="236" spans="1:33" s="584" customFormat="1" ht="7.9" customHeight="1">
      <c r="A236" s="597"/>
    </row>
    <row r="237" spans="1:33" s="584" customFormat="1" ht="14">
      <c r="A237" s="597"/>
      <c r="D237" s="908" t="s">
        <v>2802</v>
      </c>
    </row>
    <row r="238" spans="1:33" s="584" customFormat="1" ht="14.5" thickBot="1">
      <c r="A238" s="597"/>
    </row>
    <row r="239" spans="1:33" s="584" customFormat="1" ht="15" customHeight="1" thickBot="1">
      <c r="A239" s="597" t="s">
        <v>1398</v>
      </c>
      <c r="D239" s="1877" t="s">
        <v>1784</v>
      </c>
      <c r="E239" s="1878"/>
      <c r="F239" s="1878"/>
      <c r="G239" s="1878"/>
      <c r="H239" s="1878"/>
      <c r="I239" s="1881"/>
      <c r="J239" s="1921" t="s">
        <v>1740</v>
      </c>
      <c r="K239" s="1921"/>
      <c r="L239" s="1921"/>
      <c r="M239" s="1921"/>
      <c r="N239" s="1921"/>
      <c r="O239" s="1921"/>
      <c r="P239" s="1921"/>
      <c r="Q239" s="1921"/>
      <c r="R239" s="1921"/>
      <c r="S239" s="1921"/>
      <c r="T239" s="1921"/>
      <c r="U239" s="1921"/>
      <c r="V239" s="1921"/>
      <c r="W239" s="1921"/>
      <c r="X239" s="1921"/>
      <c r="Y239" s="1921"/>
      <c r="Z239" s="1921"/>
      <c r="AA239" s="1921"/>
      <c r="AB239" s="1921"/>
      <c r="AC239" s="1921"/>
      <c r="AD239" s="1921"/>
      <c r="AE239" s="1921"/>
      <c r="AF239" s="1921"/>
      <c r="AG239" s="1921"/>
    </row>
    <row r="240" spans="1:33" s="584" customFormat="1" ht="46.5" customHeight="1" thickBot="1">
      <c r="A240" s="597"/>
      <c r="D240" s="1879"/>
      <c r="E240" s="1880"/>
      <c r="F240" s="1880"/>
      <c r="G240" s="1880"/>
      <c r="H240" s="1880"/>
      <c r="I240" s="1882"/>
      <c r="J240" s="2042" t="s">
        <v>1785</v>
      </c>
      <c r="K240" s="2043"/>
      <c r="L240" s="2044"/>
      <c r="M240" s="2042" t="s">
        <v>1758</v>
      </c>
      <c r="N240" s="2043"/>
      <c r="O240" s="2044"/>
      <c r="P240" s="1851" t="s">
        <v>1759</v>
      </c>
      <c r="Q240" s="1851"/>
      <c r="R240" s="1851"/>
      <c r="S240" s="1851" t="s">
        <v>22</v>
      </c>
      <c r="T240" s="1851"/>
      <c r="U240" s="1851"/>
      <c r="V240" s="1851" t="s">
        <v>1786</v>
      </c>
      <c r="W240" s="1851"/>
      <c r="X240" s="1851"/>
      <c r="Y240" s="1851" t="s">
        <v>1787</v>
      </c>
      <c r="Z240" s="1851"/>
      <c r="AA240" s="1851"/>
      <c r="AB240" s="1851" t="s">
        <v>1788</v>
      </c>
      <c r="AC240" s="1851"/>
      <c r="AD240" s="1851"/>
      <c r="AE240" s="1851" t="s">
        <v>1750</v>
      </c>
      <c r="AF240" s="1851"/>
      <c r="AG240" s="1851"/>
    </row>
    <row r="241" spans="1:34" s="584" customFormat="1" ht="14.5" thickBot="1">
      <c r="A241" s="597"/>
      <c r="D241" s="2673" t="s">
        <v>1789</v>
      </c>
      <c r="E241" s="1966"/>
      <c r="F241" s="1966"/>
      <c r="G241" s="1966"/>
      <c r="H241" s="1966"/>
      <c r="I241" s="1966"/>
      <c r="J241" s="1966"/>
      <c r="K241" s="1966"/>
      <c r="L241" s="1966"/>
      <c r="M241" s="1966"/>
      <c r="N241" s="1966"/>
      <c r="O241" s="1966"/>
      <c r="P241" s="1966"/>
      <c r="Q241" s="1966"/>
      <c r="R241" s="1966"/>
      <c r="S241" s="1966"/>
      <c r="T241" s="1966"/>
      <c r="U241" s="1966"/>
      <c r="V241" s="1966"/>
      <c r="W241" s="1966"/>
      <c r="X241" s="1966"/>
      <c r="Y241" s="1966"/>
      <c r="Z241" s="1966"/>
      <c r="AA241" s="1966"/>
      <c r="AB241" s="1966"/>
      <c r="AC241" s="1966"/>
      <c r="AD241" s="1966"/>
      <c r="AE241" s="1966"/>
      <c r="AF241" s="1966"/>
      <c r="AG241" s="1966"/>
      <c r="AH241" s="605"/>
    </row>
    <row r="242" spans="1:34" s="584" customFormat="1" ht="21.75" customHeight="1">
      <c r="A242" s="597"/>
      <c r="D242" s="1922" t="s">
        <v>1790</v>
      </c>
      <c r="E242" s="1922"/>
      <c r="F242" s="1922"/>
      <c r="G242" s="1922"/>
      <c r="H242" s="1922"/>
      <c r="I242" s="1922"/>
      <c r="J242" s="1818">
        <f>'Notes- SK Template'!J244</f>
        <v>39396</v>
      </c>
      <c r="K242" s="1818"/>
      <c r="L242" s="1818"/>
      <c r="M242" s="1818">
        <f>'Notes- SK Template'!M244</f>
        <v>0</v>
      </c>
      <c r="N242" s="1818"/>
      <c r="O242" s="1818"/>
      <c r="P242" s="1818">
        <f>'Notes- SK Template'!P244</f>
        <v>0</v>
      </c>
      <c r="Q242" s="1818"/>
      <c r="R242" s="1818"/>
      <c r="S242" s="1818">
        <f>'Notes- SK Template'!S244</f>
        <v>2211884</v>
      </c>
      <c r="T242" s="1818"/>
      <c r="U242" s="1818"/>
      <c r="V242" s="1818">
        <f>'Notes- SK Template'!V244</f>
        <v>0</v>
      </c>
      <c r="W242" s="1818"/>
      <c r="X242" s="1818"/>
      <c r="Y242" s="1818">
        <f>'Notes- SK Template'!Y244</f>
        <v>0</v>
      </c>
      <c r="Z242" s="1818"/>
      <c r="AA242" s="1818"/>
      <c r="AB242" s="1818">
        <f>'Notes- SK Template'!AB244</f>
        <v>0</v>
      </c>
      <c r="AC242" s="1818"/>
      <c r="AD242" s="1818"/>
      <c r="AE242" s="1899">
        <f>'Notes- SK Template'!AE244</f>
        <v>2251280</v>
      </c>
      <c r="AF242" s="1899"/>
      <c r="AG242" s="1899"/>
    </row>
    <row r="243" spans="1:34" s="584" customFormat="1" ht="14">
      <c r="A243" s="597"/>
      <c r="D243" s="2571" t="s">
        <v>1791</v>
      </c>
      <c r="E243" s="1789"/>
      <c r="F243" s="1789"/>
      <c r="G243" s="1789"/>
      <c r="H243" s="1789"/>
      <c r="I243" s="1789"/>
      <c r="J243" s="1967">
        <f>'Notes- SK Template'!J245</f>
        <v>0</v>
      </c>
      <c r="K243" s="1967"/>
      <c r="L243" s="1967"/>
      <c r="M243" s="1967">
        <f>'Notes- SK Template'!M245</f>
        <v>0</v>
      </c>
      <c r="N243" s="1967"/>
      <c r="O243" s="1967"/>
      <c r="P243" s="1967">
        <f>'Notes- SK Template'!P245</f>
        <v>0</v>
      </c>
      <c r="Q243" s="1967"/>
      <c r="R243" s="1967"/>
      <c r="S243" s="1967">
        <f>'Notes- SK Template'!S245</f>
        <v>0</v>
      </c>
      <c r="T243" s="1967"/>
      <c r="U243" s="1967"/>
      <c r="V243" s="1967">
        <f>'Notes- SK Template'!V245</f>
        <v>0</v>
      </c>
      <c r="W243" s="1967"/>
      <c r="X243" s="1967"/>
      <c r="Y243" s="1967">
        <f>'Notes- SK Template'!Y245</f>
        <v>0</v>
      </c>
      <c r="Z243" s="1967"/>
      <c r="AA243" s="1967"/>
      <c r="AB243" s="1967">
        <f>'Notes- SK Template'!AB245</f>
        <v>0</v>
      </c>
      <c r="AC243" s="1967"/>
      <c r="AD243" s="1967"/>
      <c r="AE243" s="1794">
        <f>'Notes- SK Template'!AE245</f>
        <v>0</v>
      </c>
      <c r="AF243" s="1794"/>
      <c r="AG243" s="1794"/>
    </row>
    <row r="244" spans="1:34" s="584" customFormat="1" ht="14">
      <c r="A244" s="597"/>
      <c r="D244" s="2571" t="s">
        <v>1792</v>
      </c>
      <c r="E244" s="1789"/>
      <c r="F244" s="1789"/>
      <c r="G244" s="1789"/>
      <c r="H244" s="1789"/>
      <c r="I244" s="1789"/>
      <c r="J244" s="1967">
        <f>'Notes- SK Template'!J246</f>
        <v>0</v>
      </c>
      <c r="K244" s="1967"/>
      <c r="L244" s="1967"/>
      <c r="M244" s="1967">
        <f>'Notes- SK Template'!M246</f>
        <v>0</v>
      </c>
      <c r="N244" s="1967"/>
      <c r="O244" s="1967"/>
      <c r="P244" s="1967">
        <f>'Notes- SK Template'!P246</f>
        <v>0</v>
      </c>
      <c r="Q244" s="1967"/>
      <c r="R244" s="1967"/>
      <c r="S244" s="1967">
        <f>'Notes- SK Template'!S246</f>
        <v>0</v>
      </c>
      <c r="T244" s="1967"/>
      <c r="U244" s="1967"/>
      <c r="V244" s="1967">
        <f>'Notes- SK Template'!V246</f>
        <v>0</v>
      </c>
      <c r="W244" s="1967"/>
      <c r="X244" s="1967"/>
      <c r="Y244" s="1967">
        <f>'Notes- SK Template'!Y246</f>
        <v>0</v>
      </c>
      <c r="Z244" s="1967"/>
      <c r="AA244" s="1967"/>
      <c r="AB244" s="1967">
        <f>'Notes- SK Template'!AB246</f>
        <v>0</v>
      </c>
      <c r="AC244" s="1967"/>
      <c r="AD244" s="1967"/>
      <c r="AE244" s="1794">
        <f>'Notes- SK Template'!AE246</f>
        <v>0</v>
      </c>
      <c r="AF244" s="1794"/>
      <c r="AG244" s="1794"/>
    </row>
    <row r="245" spans="1:34" s="584" customFormat="1" ht="14">
      <c r="A245" s="597"/>
      <c r="D245" s="2571" t="s">
        <v>1793</v>
      </c>
      <c r="E245" s="1789"/>
      <c r="F245" s="1789"/>
      <c r="G245" s="1789"/>
      <c r="H245" s="1789"/>
      <c r="I245" s="1789"/>
      <c r="J245" s="1967">
        <f>'Notes- SK Template'!J247</f>
        <v>0</v>
      </c>
      <c r="K245" s="1967"/>
      <c r="L245" s="1967"/>
      <c r="M245" s="1967">
        <f>'Notes- SK Template'!M247</f>
        <v>0</v>
      </c>
      <c r="N245" s="1967"/>
      <c r="O245" s="1967"/>
      <c r="P245" s="1967">
        <f>'Notes- SK Template'!P247</f>
        <v>0</v>
      </c>
      <c r="Q245" s="1967"/>
      <c r="R245" s="1967"/>
      <c r="S245" s="1967">
        <f>'Notes- SK Template'!S247</f>
        <v>0</v>
      </c>
      <c r="T245" s="1967"/>
      <c r="U245" s="1967"/>
      <c r="V245" s="1967">
        <f>'Notes- SK Template'!V247</f>
        <v>0</v>
      </c>
      <c r="W245" s="1967"/>
      <c r="X245" s="1967"/>
      <c r="Y245" s="1967">
        <f>'Notes- SK Template'!Y247</f>
        <v>0</v>
      </c>
      <c r="Z245" s="1967"/>
      <c r="AA245" s="1967"/>
      <c r="AB245" s="1967">
        <f>'Notes- SK Template'!AB247</f>
        <v>0</v>
      </c>
      <c r="AC245" s="1967"/>
      <c r="AD245" s="1967"/>
      <c r="AE245" s="1794">
        <f>'Notes- SK Template'!AE247</f>
        <v>0</v>
      </c>
      <c r="AF245" s="1794"/>
      <c r="AG245" s="1794"/>
    </row>
    <row r="246" spans="1:34" s="584" customFormat="1" ht="21.75" customHeight="1" thickBot="1">
      <c r="A246" s="597"/>
      <c r="D246" s="1894" t="s">
        <v>1794</v>
      </c>
      <c r="E246" s="1894"/>
      <c r="F246" s="1894"/>
      <c r="G246" s="1894"/>
      <c r="H246" s="1894"/>
      <c r="I246" s="1894"/>
      <c r="J246" s="1831">
        <f>'Notes- SK Template'!J248</f>
        <v>39396</v>
      </c>
      <c r="K246" s="1831"/>
      <c r="L246" s="1831"/>
      <c r="M246" s="1831">
        <f>'Notes- SK Template'!M248</f>
        <v>0</v>
      </c>
      <c r="N246" s="1831"/>
      <c r="O246" s="1831"/>
      <c r="P246" s="1831">
        <f>'Notes- SK Template'!P248</f>
        <v>0</v>
      </c>
      <c r="Q246" s="1831"/>
      <c r="R246" s="1831"/>
      <c r="S246" s="1831">
        <f>'Notes- SK Template'!S248</f>
        <v>2211884</v>
      </c>
      <c r="T246" s="1831"/>
      <c r="U246" s="1831"/>
      <c r="V246" s="1831">
        <f>'Notes- SK Template'!V248</f>
        <v>0</v>
      </c>
      <c r="W246" s="1831"/>
      <c r="X246" s="1831"/>
      <c r="Y246" s="1831">
        <f>'Notes- SK Template'!Y248</f>
        <v>0</v>
      </c>
      <c r="Z246" s="1831"/>
      <c r="AA246" s="1831"/>
      <c r="AB246" s="1831">
        <f>'Notes- SK Template'!AB248</f>
        <v>0</v>
      </c>
      <c r="AC246" s="1831"/>
      <c r="AD246" s="1831"/>
      <c r="AE246" s="1831">
        <f>'Notes- SK Template'!AE248</f>
        <v>2251280</v>
      </c>
      <c r="AF246" s="1831"/>
      <c r="AG246" s="1831"/>
    </row>
    <row r="247" spans="1:34" s="584" customFormat="1" ht="14.5" thickBot="1">
      <c r="A247" s="597"/>
      <c r="D247" s="2673" t="s">
        <v>1795</v>
      </c>
      <c r="E247" s="1966"/>
      <c r="F247" s="1966"/>
      <c r="G247" s="1966"/>
      <c r="H247" s="1966"/>
      <c r="I247" s="1966"/>
      <c r="J247" s="1966"/>
      <c r="K247" s="1966"/>
      <c r="L247" s="1966"/>
      <c r="M247" s="1966"/>
      <c r="N247" s="1966"/>
      <c r="O247" s="1966"/>
      <c r="P247" s="1966"/>
      <c r="Q247" s="1966"/>
      <c r="R247" s="1966"/>
      <c r="S247" s="1966"/>
      <c r="T247" s="1966"/>
      <c r="U247" s="1966"/>
      <c r="V247" s="1966"/>
      <c r="W247" s="1966"/>
      <c r="X247" s="1966"/>
      <c r="Y247" s="1966"/>
      <c r="Z247" s="1966"/>
      <c r="AA247" s="1966"/>
      <c r="AB247" s="1966"/>
      <c r="AC247" s="1966"/>
      <c r="AD247" s="1966"/>
      <c r="AE247" s="1966"/>
      <c r="AF247" s="1966"/>
      <c r="AG247" s="1966"/>
      <c r="AH247" s="605"/>
    </row>
    <row r="248" spans="1:34" s="584" customFormat="1" ht="21.75" customHeight="1">
      <c r="A248" s="597"/>
      <c r="D248" s="1922" t="s">
        <v>1790</v>
      </c>
      <c r="E248" s="1922"/>
      <c r="F248" s="1922"/>
      <c r="G248" s="1922"/>
      <c r="H248" s="1922"/>
      <c r="I248" s="1922"/>
      <c r="J248" s="1818">
        <f>'Notes- SK Template'!J250</f>
        <v>15768</v>
      </c>
      <c r="K248" s="1818"/>
      <c r="L248" s="1818"/>
      <c r="M248" s="1818">
        <f>'Notes- SK Template'!M250</f>
        <v>0</v>
      </c>
      <c r="N248" s="1818"/>
      <c r="O248" s="1818"/>
      <c r="P248" s="1818">
        <f>'Notes- SK Template'!P250</f>
        <v>0</v>
      </c>
      <c r="Q248" s="1818"/>
      <c r="R248" s="1818"/>
      <c r="S248" s="1818">
        <f>'Notes- SK Template'!S250</f>
        <v>711160</v>
      </c>
      <c r="T248" s="1818"/>
      <c r="U248" s="1818"/>
      <c r="V248" s="1818">
        <f>'Notes- SK Template'!V250</f>
        <v>0</v>
      </c>
      <c r="W248" s="1818"/>
      <c r="X248" s="1818"/>
      <c r="Y248" s="1818">
        <f>'Notes- SK Template'!Y250</f>
        <v>0</v>
      </c>
      <c r="Z248" s="1818"/>
      <c r="AA248" s="1818"/>
      <c r="AB248" s="1818">
        <f>'Notes- SK Template'!AB250</f>
        <v>0</v>
      </c>
      <c r="AC248" s="1818"/>
      <c r="AD248" s="1818"/>
      <c r="AE248" s="1899">
        <f>'Notes- SK Template'!AE250</f>
        <v>726928</v>
      </c>
      <c r="AF248" s="1899"/>
      <c r="AG248" s="1899"/>
    </row>
    <row r="249" spans="1:34" s="584" customFormat="1" ht="14">
      <c r="A249" s="597"/>
      <c r="D249" s="2571" t="s">
        <v>1791</v>
      </c>
      <c r="E249" s="1789"/>
      <c r="F249" s="1789"/>
      <c r="G249" s="1789"/>
      <c r="H249" s="1789"/>
      <c r="I249" s="1789"/>
      <c r="J249" s="1967">
        <f>'Notes- SK Template'!J251</f>
        <v>7884</v>
      </c>
      <c r="K249" s="1967"/>
      <c r="L249" s="1967"/>
      <c r="M249" s="1967">
        <f>'Notes- SK Template'!M251</f>
        <v>0</v>
      </c>
      <c r="N249" s="1967"/>
      <c r="O249" s="1967"/>
      <c r="P249" s="1967">
        <f>'Notes- SK Template'!P251</f>
        <v>0</v>
      </c>
      <c r="Q249" s="1967"/>
      <c r="R249" s="1967"/>
      <c r="S249" s="1967">
        <f>'Notes- SK Template'!S251</f>
        <v>316080</v>
      </c>
      <c r="T249" s="1967"/>
      <c r="U249" s="1967"/>
      <c r="V249" s="1967">
        <f>'Notes- SK Template'!V251</f>
        <v>0</v>
      </c>
      <c r="W249" s="1967"/>
      <c r="X249" s="1967"/>
      <c r="Y249" s="1967">
        <f>'Notes- SK Template'!Y251</f>
        <v>0</v>
      </c>
      <c r="Z249" s="1967"/>
      <c r="AA249" s="1967"/>
      <c r="AB249" s="1967">
        <f>'Notes- SK Template'!AB251</f>
        <v>0</v>
      </c>
      <c r="AC249" s="1967"/>
      <c r="AD249" s="1967"/>
      <c r="AE249" s="1794">
        <f>'Notes- SK Template'!AE251</f>
        <v>323964</v>
      </c>
      <c r="AF249" s="1794"/>
      <c r="AG249" s="1794"/>
    </row>
    <row r="250" spans="1:34" s="584" customFormat="1" ht="14">
      <c r="A250" s="597"/>
      <c r="D250" s="2571" t="s">
        <v>1792</v>
      </c>
      <c r="E250" s="1789"/>
      <c r="F250" s="1789"/>
      <c r="G250" s="1789"/>
      <c r="H250" s="1789"/>
      <c r="I250" s="1789"/>
      <c r="J250" s="1967">
        <f>'Notes- SK Template'!J252</f>
        <v>0</v>
      </c>
      <c r="K250" s="1967"/>
      <c r="L250" s="1967"/>
      <c r="M250" s="1967">
        <f>'Notes- SK Template'!M252</f>
        <v>0</v>
      </c>
      <c r="N250" s="1967"/>
      <c r="O250" s="1967"/>
      <c r="P250" s="1967">
        <f>'Notes- SK Template'!P252</f>
        <v>0</v>
      </c>
      <c r="Q250" s="1967"/>
      <c r="R250" s="1967"/>
      <c r="S250" s="1967">
        <f>'Notes- SK Template'!S252</f>
        <v>0</v>
      </c>
      <c r="T250" s="1967"/>
      <c r="U250" s="1967"/>
      <c r="V250" s="1967">
        <f>'Notes- SK Template'!V252</f>
        <v>0</v>
      </c>
      <c r="W250" s="1967"/>
      <c r="X250" s="1967"/>
      <c r="Y250" s="1967">
        <f>'Notes- SK Template'!Y252</f>
        <v>0</v>
      </c>
      <c r="Z250" s="1967"/>
      <c r="AA250" s="1967"/>
      <c r="AB250" s="1967">
        <f>'Notes- SK Template'!AB252</f>
        <v>0</v>
      </c>
      <c r="AC250" s="1967"/>
      <c r="AD250" s="1967"/>
      <c r="AE250" s="1794">
        <f>'Notes- SK Template'!AE252</f>
        <v>0</v>
      </c>
      <c r="AF250" s="1794"/>
      <c r="AG250" s="1794"/>
    </row>
    <row r="251" spans="1:34" s="584" customFormat="1" ht="14">
      <c r="A251" s="597"/>
      <c r="D251" s="2571" t="s">
        <v>1793</v>
      </c>
      <c r="E251" s="1789"/>
      <c r="F251" s="1789"/>
      <c r="G251" s="1789"/>
      <c r="H251" s="1789"/>
      <c r="I251" s="1789"/>
      <c r="J251" s="1967">
        <f>'Notes- SK Template'!J253</f>
        <v>0</v>
      </c>
      <c r="K251" s="1967"/>
      <c r="L251" s="1967"/>
      <c r="M251" s="1967">
        <f>'Notes- SK Template'!M253</f>
        <v>0</v>
      </c>
      <c r="N251" s="1967"/>
      <c r="O251" s="1967"/>
      <c r="P251" s="1967">
        <f>'Notes- SK Template'!P253</f>
        <v>0</v>
      </c>
      <c r="Q251" s="1967"/>
      <c r="R251" s="1967"/>
      <c r="S251" s="1967">
        <f>'Notes- SK Template'!S253</f>
        <v>0</v>
      </c>
      <c r="T251" s="1967"/>
      <c r="U251" s="1967"/>
      <c r="V251" s="1967">
        <f>'Notes- SK Template'!V253</f>
        <v>0</v>
      </c>
      <c r="W251" s="1967"/>
      <c r="X251" s="1967"/>
      <c r="Y251" s="1967">
        <f>'Notes- SK Template'!Y253</f>
        <v>0</v>
      </c>
      <c r="Z251" s="1967"/>
      <c r="AA251" s="1967"/>
      <c r="AB251" s="1967">
        <f>'Notes- SK Template'!AB253</f>
        <v>0</v>
      </c>
      <c r="AC251" s="1967"/>
      <c r="AD251" s="1967"/>
      <c r="AE251" s="1794">
        <f>'Notes- SK Template'!AE253</f>
        <v>0</v>
      </c>
      <c r="AF251" s="1794"/>
      <c r="AG251" s="1794"/>
    </row>
    <row r="252" spans="1:34" s="584" customFormat="1" ht="21.75" customHeight="1" thickBot="1">
      <c r="A252" s="597"/>
      <c r="D252" s="1894" t="s">
        <v>1794</v>
      </c>
      <c r="E252" s="1894"/>
      <c r="F252" s="1894"/>
      <c r="G252" s="1894"/>
      <c r="H252" s="1894"/>
      <c r="I252" s="1894"/>
      <c r="J252" s="1831">
        <f>'Notes- SK Template'!J254</f>
        <v>23652</v>
      </c>
      <c r="K252" s="1831"/>
      <c r="L252" s="1831"/>
      <c r="M252" s="1831">
        <f>'Notes- SK Template'!M254</f>
        <v>0</v>
      </c>
      <c r="N252" s="1831"/>
      <c r="O252" s="1831"/>
      <c r="P252" s="1831">
        <f>'Notes- SK Template'!P254</f>
        <v>0</v>
      </c>
      <c r="Q252" s="1831"/>
      <c r="R252" s="1831"/>
      <c r="S252" s="1831">
        <f>'Notes- SK Template'!S254</f>
        <v>1027240</v>
      </c>
      <c r="T252" s="1831"/>
      <c r="U252" s="1831"/>
      <c r="V252" s="1831">
        <f>'Notes- SK Template'!V254</f>
        <v>0</v>
      </c>
      <c r="W252" s="1831"/>
      <c r="X252" s="1831"/>
      <c r="Y252" s="1831">
        <f>'Notes- SK Template'!Y254</f>
        <v>0</v>
      </c>
      <c r="Z252" s="1831"/>
      <c r="AA252" s="1831"/>
      <c r="AB252" s="1831">
        <f>'Notes- SK Template'!AB254</f>
        <v>0</v>
      </c>
      <c r="AC252" s="1831"/>
      <c r="AD252" s="1831"/>
      <c r="AE252" s="1831">
        <f>'Notes- SK Template'!AE254</f>
        <v>1050892</v>
      </c>
      <c r="AF252" s="1831"/>
      <c r="AG252" s="1831"/>
    </row>
    <row r="253" spans="1:34" s="584" customFormat="1" ht="14.5" thickBot="1">
      <c r="A253" s="597"/>
      <c r="D253" s="2673" t="s">
        <v>1796</v>
      </c>
      <c r="E253" s="1966"/>
      <c r="F253" s="1966"/>
      <c r="G253" s="1966"/>
      <c r="H253" s="1966"/>
      <c r="I253" s="1966"/>
      <c r="J253" s="1966"/>
      <c r="K253" s="1966"/>
      <c r="L253" s="1966"/>
      <c r="M253" s="1966"/>
      <c r="N253" s="1966"/>
      <c r="O253" s="1966"/>
      <c r="P253" s="1966"/>
      <c r="Q253" s="1966"/>
      <c r="R253" s="1966"/>
      <c r="S253" s="1966"/>
      <c r="T253" s="1966"/>
      <c r="U253" s="1966"/>
      <c r="V253" s="1966"/>
      <c r="W253" s="1966"/>
      <c r="X253" s="1966"/>
      <c r="Y253" s="1966"/>
      <c r="Z253" s="1966"/>
      <c r="AA253" s="1966"/>
      <c r="AB253" s="1966"/>
      <c r="AC253" s="1966"/>
      <c r="AD253" s="1966"/>
      <c r="AE253" s="1966"/>
      <c r="AF253" s="1966"/>
      <c r="AG253" s="1966"/>
      <c r="AH253" s="605"/>
    </row>
    <row r="254" spans="1:34" s="584" customFormat="1" ht="21.75" customHeight="1">
      <c r="A254" s="597"/>
      <c r="D254" s="1922" t="s">
        <v>1790</v>
      </c>
      <c r="E254" s="1922"/>
      <c r="F254" s="1922"/>
      <c r="G254" s="1922"/>
      <c r="H254" s="1922"/>
      <c r="I254" s="1922"/>
      <c r="J254" s="1818">
        <f>'Notes- SK Template'!J256</f>
        <v>0</v>
      </c>
      <c r="K254" s="1818"/>
      <c r="L254" s="1818"/>
      <c r="M254" s="1818">
        <f>'Notes- SK Template'!M256</f>
        <v>0</v>
      </c>
      <c r="N254" s="1818"/>
      <c r="O254" s="1818"/>
      <c r="P254" s="1818">
        <f>'Notes- SK Template'!P256</f>
        <v>0</v>
      </c>
      <c r="Q254" s="1818"/>
      <c r="R254" s="1818"/>
      <c r="S254" s="1818">
        <f>'Notes- SK Template'!S256</f>
        <v>0</v>
      </c>
      <c r="T254" s="1818"/>
      <c r="U254" s="1818"/>
      <c r="V254" s="1818">
        <f>'Notes- SK Template'!V256</f>
        <v>0</v>
      </c>
      <c r="W254" s="1818"/>
      <c r="X254" s="1818"/>
      <c r="Y254" s="1818">
        <f>'Notes- SK Template'!Y256</f>
        <v>0</v>
      </c>
      <c r="Z254" s="1818"/>
      <c r="AA254" s="1818"/>
      <c r="AB254" s="1818">
        <f>'Notes- SK Template'!AB256</f>
        <v>0</v>
      </c>
      <c r="AC254" s="1818"/>
      <c r="AD254" s="1818"/>
      <c r="AE254" s="1899">
        <f>'Notes- SK Template'!AE256</f>
        <v>0</v>
      </c>
      <c r="AF254" s="1899"/>
      <c r="AG254" s="1899"/>
    </row>
    <row r="255" spans="1:34" s="584" customFormat="1" ht="14">
      <c r="A255" s="597"/>
      <c r="D255" s="2571" t="s">
        <v>1791</v>
      </c>
      <c r="E255" s="1789"/>
      <c r="F255" s="1789"/>
      <c r="G255" s="1789"/>
      <c r="H255" s="1789"/>
      <c r="I255" s="1789"/>
      <c r="J255" s="1967">
        <f>'Notes- SK Template'!J257</f>
        <v>0</v>
      </c>
      <c r="K255" s="1967"/>
      <c r="L255" s="1967"/>
      <c r="M255" s="1967">
        <f>'Notes- SK Template'!M257</f>
        <v>0</v>
      </c>
      <c r="N255" s="1967"/>
      <c r="O255" s="1967"/>
      <c r="P255" s="1967">
        <f>'Notes- SK Template'!P257</f>
        <v>0</v>
      </c>
      <c r="Q255" s="1967"/>
      <c r="R255" s="1967"/>
      <c r="S255" s="1967">
        <f>'Notes- SK Template'!S257</f>
        <v>0</v>
      </c>
      <c r="T255" s="1967"/>
      <c r="U255" s="1967"/>
      <c r="V255" s="1967">
        <f>'Notes- SK Template'!V257</f>
        <v>0</v>
      </c>
      <c r="W255" s="1967"/>
      <c r="X255" s="1967"/>
      <c r="Y255" s="1967">
        <f>'Notes- SK Template'!Y257</f>
        <v>0</v>
      </c>
      <c r="Z255" s="1967"/>
      <c r="AA255" s="1967"/>
      <c r="AB255" s="1967">
        <f>'Notes- SK Template'!AB257</f>
        <v>0</v>
      </c>
      <c r="AC255" s="1967"/>
      <c r="AD255" s="1967"/>
      <c r="AE255" s="1794">
        <f>'Notes- SK Template'!AE257</f>
        <v>0</v>
      </c>
      <c r="AF255" s="1794"/>
      <c r="AG255" s="1794"/>
    </row>
    <row r="256" spans="1:34" s="584" customFormat="1" ht="14">
      <c r="A256" s="597"/>
      <c r="D256" s="2571" t="s">
        <v>1792</v>
      </c>
      <c r="E256" s="1789"/>
      <c r="F256" s="1789"/>
      <c r="G256" s="1789"/>
      <c r="H256" s="1789"/>
      <c r="I256" s="1789"/>
      <c r="J256" s="1967">
        <f>'Notes- SK Template'!J258</f>
        <v>0</v>
      </c>
      <c r="K256" s="1967"/>
      <c r="L256" s="1967"/>
      <c r="M256" s="1967">
        <f>'Notes- SK Template'!M258</f>
        <v>0</v>
      </c>
      <c r="N256" s="1967"/>
      <c r="O256" s="1967"/>
      <c r="P256" s="1967">
        <f>'Notes- SK Template'!P258</f>
        <v>0</v>
      </c>
      <c r="Q256" s="1967"/>
      <c r="R256" s="1967"/>
      <c r="S256" s="1967">
        <f>'Notes- SK Template'!S258</f>
        <v>0</v>
      </c>
      <c r="T256" s="1967"/>
      <c r="U256" s="1967"/>
      <c r="V256" s="1967">
        <f>'Notes- SK Template'!V258</f>
        <v>0</v>
      </c>
      <c r="W256" s="1967"/>
      <c r="X256" s="1967"/>
      <c r="Y256" s="1967">
        <f>'Notes- SK Template'!Y258</f>
        <v>0</v>
      </c>
      <c r="Z256" s="1967"/>
      <c r="AA256" s="1967"/>
      <c r="AB256" s="1967">
        <f>'Notes- SK Template'!AB258</f>
        <v>0</v>
      </c>
      <c r="AC256" s="1967"/>
      <c r="AD256" s="1967"/>
      <c r="AE256" s="1794">
        <f>'Notes- SK Template'!AE258</f>
        <v>0</v>
      </c>
      <c r="AF256" s="1794"/>
      <c r="AG256" s="1794"/>
    </row>
    <row r="257" spans="1:34" s="584" customFormat="1" ht="14">
      <c r="A257" s="597"/>
      <c r="D257" s="2571" t="s">
        <v>1793</v>
      </c>
      <c r="E257" s="1789"/>
      <c r="F257" s="1789"/>
      <c r="G257" s="1789"/>
      <c r="H257" s="1789"/>
      <c r="I257" s="1789"/>
      <c r="J257" s="1967">
        <f>'Notes- SK Template'!J259</f>
        <v>0</v>
      </c>
      <c r="K257" s="1967"/>
      <c r="L257" s="1967"/>
      <c r="M257" s="1967">
        <f>'Notes- SK Template'!M259</f>
        <v>0</v>
      </c>
      <c r="N257" s="1967"/>
      <c r="O257" s="1967"/>
      <c r="P257" s="1967">
        <f>'Notes- SK Template'!P259</f>
        <v>0</v>
      </c>
      <c r="Q257" s="1967"/>
      <c r="R257" s="1967"/>
      <c r="S257" s="1967">
        <f>'Notes- SK Template'!S259</f>
        <v>0</v>
      </c>
      <c r="T257" s="1967"/>
      <c r="U257" s="1967"/>
      <c r="V257" s="1967">
        <f>'Notes- SK Template'!V259</f>
        <v>0</v>
      </c>
      <c r="W257" s="1967"/>
      <c r="X257" s="1967"/>
      <c r="Y257" s="1967">
        <f>'Notes- SK Template'!Y259</f>
        <v>0</v>
      </c>
      <c r="Z257" s="1967"/>
      <c r="AA257" s="1967"/>
      <c r="AB257" s="1967">
        <f>'Notes- SK Template'!AB259</f>
        <v>0</v>
      </c>
      <c r="AC257" s="1967"/>
      <c r="AD257" s="1967"/>
      <c r="AE257" s="1794">
        <f>'Notes- SK Template'!AE259</f>
        <v>0</v>
      </c>
      <c r="AF257" s="1794"/>
      <c r="AG257" s="1794"/>
    </row>
    <row r="258" spans="1:34" s="584" customFormat="1" ht="21.75" customHeight="1" thickBot="1">
      <c r="A258" s="597"/>
      <c r="D258" s="1894" t="s">
        <v>1794</v>
      </c>
      <c r="E258" s="1894"/>
      <c r="F258" s="1894"/>
      <c r="G258" s="1894"/>
      <c r="H258" s="1894"/>
      <c r="I258" s="1894"/>
      <c r="J258" s="1831">
        <f>'Notes- SK Template'!J260</f>
        <v>0</v>
      </c>
      <c r="K258" s="1831"/>
      <c r="L258" s="1831"/>
      <c r="M258" s="1831">
        <f>'Notes- SK Template'!M260</f>
        <v>0</v>
      </c>
      <c r="N258" s="1831"/>
      <c r="O258" s="1831"/>
      <c r="P258" s="1831">
        <f>'Notes- SK Template'!P260</f>
        <v>0</v>
      </c>
      <c r="Q258" s="1831"/>
      <c r="R258" s="1831"/>
      <c r="S258" s="1831">
        <f>'Notes- SK Template'!S260</f>
        <v>0</v>
      </c>
      <c r="T258" s="1831"/>
      <c r="U258" s="1831"/>
      <c r="V258" s="1831">
        <f>'Notes- SK Template'!V260</f>
        <v>0</v>
      </c>
      <c r="W258" s="1831"/>
      <c r="X258" s="1831"/>
      <c r="Y258" s="1831">
        <f>'Notes- SK Template'!Y260</f>
        <v>0</v>
      </c>
      <c r="Z258" s="1831"/>
      <c r="AA258" s="1831"/>
      <c r="AB258" s="1831">
        <f>'Notes- SK Template'!AB260</f>
        <v>0</v>
      </c>
      <c r="AC258" s="1831"/>
      <c r="AD258" s="1831"/>
      <c r="AE258" s="1831">
        <f>'Notes- SK Template'!AE260</f>
        <v>0</v>
      </c>
      <c r="AF258" s="1831"/>
      <c r="AG258" s="1831"/>
    </row>
    <row r="259" spans="1:34" s="584" customFormat="1" ht="14.5" thickBot="1">
      <c r="A259" s="597"/>
      <c r="D259" s="2673" t="s">
        <v>1797</v>
      </c>
      <c r="E259" s="1966"/>
      <c r="F259" s="1966"/>
      <c r="G259" s="1966"/>
      <c r="H259" s="1966"/>
      <c r="I259" s="1966"/>
      <c r="J259" s="1966"/>
      <c r="K259" s="1966"/>
      <c r="L259" s="1966"/>
      <c r="M259" s="1966"/>
      <c r="N259" s="1966"/>
      <c r="O259" s="1966"/>
      <c r="P259" s="1966"/>
      <c r="Q259" s="1966"/>
      <c r="R259" s="1966"/>
      <c r="S259" s="1966"/>
      <c r="T259" s="1966"/>
      <c r="U259" s="1966"/>
      <c r="V259" s="1966"/>
      <c r="W259" s="1966"/>
      <c r="X259" s="1966"/>
      <c r="Y259" s="1966"/>
      <c r="Z259" s="1966"/>
      <c r="AA259" s="1966"/>
      <c r="AB259" s="1966"/>
      <c r="AC259" s="1966"/>
      <c r="AD259" s="1966"/>
      <c r="AE259" s="1966"/>
      <c r="AF259" s="1966"/>
      <c r="AG259" s="1966"/>
      <c r="AH259" s="605"/>
    </row>
    <row r="260" spans="1:34" s="584" customFormat="1" ht="21.75" customHeight="1">
      <c r="A260" s="597"/>
      <c r="D260" s="1959" t="s">
        <v>1790</v>
      </c>
      <c r="E260" s="1960"/>
      <c r="F260" s="1960"/>
      <c r="G260" s="1960"/>
      <c r="H260" s="1960"/>
      <c r="I260" s="1961"/>
      <c r="J260" s="1965">
        <f>'Notes- SK Template'!J262</f>
        <v>23628</v>
      </c>
      <c r="K260" s="1965"/>
      <c r="L260" s="1965"/>
      <c r="M260" s="1965">
        <f>'Notes- SK Template'!M262</f>
        <v>0</v>
      </c>
      <c r="N260" s="1965"/>
      <c r="O260" s="1965"/>
      <c r="P260" s="1965">
        <f>'Notes- SK Template'!P262</f>
        <v>0</v>
      </c>
      <c r="Q260" s="1965"/>
      <c r="R260" s="1965"/>
      <c r="S260" s="1965">
        <f>'Notes- SK Template'!S262</f>
        <v>1500724</v>
      </c>
      <c r="T260" s="1965"/>
      <c r="U260" s="1965"/>
      <c r="V260" s="1965">
        <f>'Notes- SK Template'!V262</f>
        <v>0</v>
      </c>
      <c r="W260" s="1965"/>
      <c r="X260" s="1965"/>
      <c r="Y260" s="1965">
        <f>'Notes- SK Template'!Y262</f>
        <v>0</v>
      </c>
      <c r="Z260" s="1965"/>
      <c r="AA260" s="1965"/>
      <c r="AB260" s="1965">
        <f>'Notes- SK Template'!AB262</f>
        <v>0</v>
      </c>
      <c r="AC260" s="1965"/>
      <c r="AD260" s="1965"/>
      <c r="AE260" s="1965">
        <f>'Notes- SK Template'!AE262</f>
        <v>1524352</v>
      </c>
      <c r="AF260" s="1965"/>
      <c r="AG260" s="1965"/>
    </row>
    <row r="261" spans="1:34" s="584" customFormat="1" ht="21.75" customHeight="1" thickBot="1">
      <c r="A261" s="597"/>
      <c r="D261" s="1894" t="s">
        <v>1794</v>
      </c>
      <c r="E261" s="1894"/>
      <c r="F261" s="1894"/>
      <c r="G261" s="1894"/>
      <c r="H261" s="1894"/>
      <c r="I261" s="1894"/>
      <c r="J261" s="1831">
        <f>'Notes- SK Template'!J263</f>
        <v>15744</v>
      </c>
      <c r="K261" s="1831"/>
      <c r="L261" s="1831"/>
      <c r="M261" s="1831">
        <f>'Notes- SK Template'!M263</f>
        <v>0</v>
      </c>
      <c r="N261" s="1831"/>
      <c r="O261" s="1831"/>
      <c r="P261" s="1831">
        <f>'Notes- SK Template'!P263</f>
        <v>0</v>
      </c>
      <c r="Q261" s="1831"/>
      <c r="R261" s="1831"/>
      <c r="S261" s="1831">
        <f>'Notes- SK Template'!S263</f>
        <v>1184644</v>
      </c>
      <c r="T261" s="1831"/>
      <c r="U261" s="1831"/>
      <c r="V261" s="1831">
        <f>'Notes- SK Template'!V263</f>
        <v>0</v>
      </c>
      <c r="W261" s="1831"/>
      <c r="X261" s="1831"/>
      <c r="Y261" s="1831">
        <f>'Notes- SK Template'!Y263</f>
        <v>0</v>
      </c>
      <c r="Z261" s="1831"/>
      <c r="AA261" s="1831"/>
      <c r="AB261" s="1831">
        <f>'Notes- SK Template'!AB263</f>
        <v>0</v>
      </c>
      <c r="AC261" s="1831"/>
      <c r="AD261" s="1831"/>
      <c r="AE261" s="1831">
        <f>'Notes- SK Template'!AE263</f>
        <v>1200388</v>
      </c>
      <c r="AF261" s="1831"/>
      <c r="AG261" s="1831"/>
    </row>
    <row r="262" spans="1:34" s="584" customFormat="1" ht="14">
      <c r="A262" s="597"/>
      <c r="D262" s="773"/>
      <c r="E262" s="773"/>
      <c r="F262" s="773"/>
      <c r="G262" s="773"/>
    </row>
    <row r="263" spans="1:34" s="584" customFormat="1" ht="14.5" thickBot="1">
      <c r="A263" s="597"/>
      <c r="D263" s="773"/>
      <c r="E263" s="773"/>
      <c r="F263" s="773"/>
      <c r="G263" s="773"/>
    </row>
    <row r="264" spans="1:34" s="584" customFormat="1" ht="15" customHeight="1" thickBot="1">
      <c r="A264" s="597" t="s">
        <v>1402</v>
      </c>
      <c r="D264" s="1877" t="s">
        <v>1784</v>
      </c>
      <c r="E264" s="1878"/>
      <c r="F264" s="1878"/>
      <c r="G264" s="1878"/>
      <c r="H264" s="1878"/>
      <c r="I264" s="1881"/>
      <c r="J264" s="1921" t="s">
        <v>1798</v>
      </c>
      <c r="K264" s="1921"/>
      <c r="L264" s="1921"/>
      <c r="M264" s="1921"/>
      <c r="N264" s="1921"/>
      <c r="O264" s="1921"/>
      <c r="P264" s="1921"/>
      <c r="Q264" s="1921"/>
      <c r="R264" s="1921"/>
      <c r="S264" s="1921"/>
      <c r="T264" s="1921"/>
      <c r="U264" s="1921"/>
      <c r="V264" s="1921"/>
      <c r="W264" s="1921"/>
      <c r="X264" s="1921"/>
      <c r="Y264" s="1921"/>
      <c r="Z264" s="1921"/>
      <c r="AA264" s="1921"/>
      <c r="AB264" s="1921"/>
      <c r="AC264" s="1921"/>
      <c r="AD264" s="1921"/>
      <c r="AE264" s="1921"/>
      <c r="AF264" s="1921"/>
      <c r="AG264" s="1921"/>
    </row>
    <row r="265" spans="1:34" s="584" customFormat="1" ht="46.5" customHeight="1" thickBot="1">
      <c r="A265" s="597"/>
      <c r="D265" s="1879"/>
      <c r="E265" s="1880"/>
      <c r="F265" s="1880"/>
      <c r="G265" s="1880"/>
      <c r="H265" s="1880"/>
      <c r="I265" s="1882"/>
      <c r="J265" s="2042" t="s">
        <v>1785</v>
      </c>
      <c r="K265" s="2043"/>
      <c r="L265" s="2044"/>
      <c r="M265" s="2042" t="s">
        <v>1758</v>
      </c>
      <c r="N265" s="2043"/>
      <c r="O265" s="2044"/>
      <c r="P265" s="1851" t="s">
        <v>1759</v>
      </c>
      <c r="Q265" s="1851"/>
      <c r="R265" s="1851"/>
      <c r="S265" s="1851" t="s">
        <v>22</v>
      </c>
      <c r="T265" s="1851"/>
      <c r="U265" s="1851"/>
      <c r="V265" s="1851" t="s">
        <v>1786</v>
      </c>
      <c r="W265" s="1851"/>
      <c r="X265" s="1851"/>
      <c r="Y265" s="1851" t="s">
        <v>1787</v>
      </c>
      <c r="Z265" s="1851"/>
      <c r="AA265" s="1851"/>
      <c r="AB265" s="1851" t="s">
        <v>1788</v>
      </c>
      <c r="AC265" s="1851"/>
      <c r="AD265" s="1851"/>
      <c r="AE265" s="1851" t="s">
        <v>1750</v>
      </c>
      <c r="AF265" s="1851"/>
      <c r="AG265" s="1851"/>
    </row>
    <row r="266" spans="1:34" s="584" customFormat="1" ht="14.5" thickBot="1">
      <c r="A266" s="597"/>
      <c r="D266" s="2673" t="s">
        <v>1789</v>
      </c>
      <c r="E266" s="1966"/>
      <c r="F266" s="1966"/>
      <c r="G266" s="1966"/>
      <c r="H266" s="1966"/>
      <c r="I266" s="1966"/>
      <c r="J266" s="1966"/>
      <c r="K266" s="1966"/>
      <c r="L266" s="1966"/>
      <c r="M266" s="1966"/>
      <c r="N266" s="1966"/>
      <c r="O266" s="1966"/>
      <c r="P266" s="1966"/>
      <c r="Q266" s="1966"/>
      <c r="R266" s="1966"/>
      <c r="S266" s="1966"/>
      <c r="T266" s="1966"/>
      <c r="U266" s="1966"/>
      <c r="V266" s="1966"/>
      <c r="W266" s="1966"/>
      <c r="X266" s="1966"/>
      <c r="Y266" s="1966"/>
      <c r="Z266" s="1966"/>
      <c r="AA266" s="1966"/>
      <c r="AB266" s="1966"/>
      <c r="AC266" s="1966"/>
      <c r="AD266" s="1966"/>
      <c r="AE266" s="1966"/>
      <c r="AF266" s="1966"/>
      <c r="AG266" s="1966"/>
      <c r="AH266" s="605"/>
    </row>
    <row r="267" spans="1:34" s="584" customFormat="1" ht="21.75" customHeight="1">
      <c r="A267" s="597"/>
      <c r="D267" s="1922" t="s">
        <v>1790</v>
      </c>
      <c r="E267" s="1922"/>
      <c r="F267" s="1922"/>
      <c r="G267" s="1922"/>
      <c r="H267" s="1922"/>
      <c r="I267" s="1922"/>
      <c r="J267" s="1818">
        <f>'Notes- SK Template'!J269</f>
        <v>39396</v>
      </c>
      <c r="K267" s="1818"/>
      <c r="L267" s="1818"/>
      <c r="M267" s="1818">
        <f>'Notes- SK Template'!M269</f>
        <v>0</v>
      </c>
      <c r="N267" s="1818"/>
      <c r="O267" s="1818"/>
      <c r="P267" s="1818">
        <f>'Notes- SK Template'!P269</f>
        <v>0</v>
      </c>
      <c r="Q267" s="1818"/>
      <c r="R267" s="1818"/>
      <c r="S267" s="1818">
        <f>'Notes- SK Template'!S269</f>
        <v>2211884</v>
      </c>
      <c r="T267" s="1818"/>
      <c r="U267" s="1818"/>
      <c r="V267" s="1818">
        <f>'Notes- SK Template'!V269</f>
        <v>0</v>
      </c>
      <c r="W267" s="1818"/>
      <c r="X267" s="1818"/>
      <c r="Y267" s="1818">
        <f>'Notes- SK Template'!Y269</f>
        <v>0</v>
      </c>
      <c r="Z267" s="1818"/>
      <c r="AA267" s="1818"/>
      <c r="AB267" s="1818">
        <f>'Notes- SK Template'!AB269</f>
        <v>0</v>
      </c>
      <c r="AC267" s="1818"/>
      <c r="AD267" s="1818"/>
      <c r="AE267" s="1899">
        <f>'Notes- SK Template'!AE269</f>
        <v>2251280</v>
      </c>
      <c r="AF267" s="1899"/>
      <c r="AG267" s="1899"/>
    </row>
    <row r="268" spans="1:34" s="584" customFormat="1" ht="14">
      <c r="A268" s="597"/>
      <c r="D268" s="2571" t="s">
        <v>1791</v>
      </c>
      <c r="E268" s="1789"/>
      <c r="F268" s="1789"/>
      <c r="G268" s="1789"/>
      <c r="H268" s="1789"/>
      <c r="I268" s="1789"/>
      <c r="J268" s="1967">
        <f>'Notes- SK Template'!J270</f>
        <v>0</v>
      </c>
      <c r="K268" s="1967"/>
      <c r="L268" s="1967"/>
      <c r="M268" s="1967">
        <f>'Notes- SK Template'!M270</f>
        <v>0</v>
      </c>
      <c r="N268" s="1967"/>
      <c r="O268" s="1967"/>
      <c r="P268" s="1967">
        <f>'Notes- SK Template'!P270</f>
        <v>0</v>
      </c>
      <c r="Q268" s="1967"/>
      <c r="R268" s="1967"/>
      <c r="S268" s="1967">
        <f>'Notes- SK Template'!S270</f>
        <v>0</v>
      </c>
      <c r="T268" s="1967"/>
      <c r="U268" s="1967"/>
      <c r="V268" s="1967">
        <f>'Notes- SK Template'!V270</f>
        <v>0</v>
      </c>
      <c r="W268" s="1967"/>
      <c r="X268" s="1967"/>
      <c r="Y268" s="1967">
        <f>'Notes- SK Template'!Y270</f>
        <v>0</v>
      </c>
      <c r="Z268" s="1967"/>
      <c r="AA268" s="1967"/>
      <c r="AB268" s="1967">
        <f>'Notes- SK Template'!AB270</f>
        <v>0</v>
      </c>
      <c r="AC268" s="1967"/>
      <c r="AD268" s="1967"/>
      <c r="AE268" s="1794">
        <f>'Notes- SK Template'!AE270</f>
        <v>0</v>
      </c>
      <c r="AF268" s="1794"/>
      <c r="AG268" s="1794"/>
    </row>
    <row r="269" spans="1:34" s="584" customFormat="1" ht="14">
      <c r="A269" s="597"/>
      <c r="D269" s="2571" t="s">
        <v>1792</v>
      </c>
      <c r="E269" s="1789"/>
      <c r="F269" s="1789"/>
      <c r="G269" s="1789"/>
      <c r="H269" s="1789"/>
      <c r="I269" s="1789"/>
      <c r="J269" s="1967">
        <f>'Notes- SK Template'!J271</f>
        <v>0</v>
      </c>
      <c r="K269" s="1967"/>
      <c r="L269" s="1967"/>
      <c r="M269" s="1967">
        <f>'Notes- SK Template'!M271</f>
        <v>0</v>
      </c>
      <c r="N269" s="1967"/>
      <c r="O269" s="1967"/>
      <c r="P269" s="1967">
        <f>'Notes- SK Template'!P271</f>
        <v>0</v>
      </c>
      <c r="Q269" s="1967"/>
      <c r="R269" s="1967"/>
      <c r="S269" s="1967">
        <f>'Notes- SK Template'!S271</f>
        <v>0</v>
      </c>
      <c r="T269" s="1967"/>
      <c r="U269" s="1967"/>
      <c r="V269" s="1967">
        <f>'Notes- SK Template'!V271</f>
        <v>0</v>
      </c>
      <c r="W269" s="1967"/>
      <c r="X269" s="1967"/>
      <c r="Y269" s="1967">
        <f>'Notes- SK Template'!Y271</f>
        <v>0</v>
      </c>
      <c r="Z269" s="1967"/>
      <c r="AA269" s="1967"/>
      <c r="AB269" s="1967">
        <f>'Notes- SK Template'!AB271</f>
        <v>0</v>
      </c>
      <c r="AC269" s="1967"/>
      <c r="AD269" s="1967"/>
      <c r="AE269" s="1794">
        <f>'Notes- SK Template'!AE271</f>
        <v>0</v>
      </c>
      <c r="AF269" s="1794"/>
      <c r="AG269" s="1794"/>
    </row>
    <row r="270" spans="1:34" s="584" customFormat="1" ht="14">
      <c r="A270" s="597"/>
      <c r="D270" s="2571" t="s">
        <v>1793</v>
      </c>
      <c r="E270" s="1789"/>
      <c r="F270" s="1789"/>
      <c r="G270" s="1789"/>
      <c r="H270" s="1789"/>
      <c r="I270" s="1789"/>
      <c r="J270" s="1967">
        <f>'Notes- SK Template'!J272</f>
        <v>0</v>
      </c>
      <c r="K270" s="1967"/>
      <c r="L270" s="1967"/>
      <c r="M270" s="1967">
        <f>'Notes- SK Template'!M272</f>
        <v>0</v>
      </c>
      <c r="N270" s="1967"/>
      <c r="O270" s="1967"/>
      <c r="P270" s="1967">
        <f>'Notes- SK Template'!P272</f>
        <v>0</v>
      </c>
      <c r="Q270" s="1967"/>
      <c r="R270" s="1967"/>
      <c r="S270" s="1967">
        <f>'Notes- SK Template'!S272</f>
        <v>0</v>
      </c>
      <c r="T270" s="1967"/>
      <c r="U270" s="1967"/>
      <c r="V270" s="1967">
        <f>'Notes- SK Template'!V272</f>
        <v>0</v>
      </c>
      <c r="W270" s="1967"/>
      <c r="X270" s="1967"/>
      <c r="Y270" s="1967">
        <f>'Notes- SK Template'!Y272</f>
        <v>0</v>
      </c>
      <c r="Z270" s="1967"/>
      <c r="AA270" s="1967"/>
      <c r="AB270" s="1967">
        <f>'Notes- SK Template'!AB272</f>
        <v>0</v>
      </c>
      <c r="AC270" s="1967"/>
      <c r="AD270" s="1967"/>
      <c r="AE270" s="1794">
        <f>'Notes- SK Template'!AE272</f>
        <v>0</v>
      </c>
      <c r="AF270" s="1794"/>
      <c r="AG270" s="1794"/>
    </row>
    <row r="271" spans="1:34" s="584" customFormat="1" ht="21.75" customHeight="1" thickBot="1">
      <c r="A271" s="597"/>
      <c r="D271" s="1894" t="s">
        <v>1794</v>
      </c>
      <c r="E271" s="1894"/>
      <c r="F271" s="1894"/>
      <c r="G271" s="1894"/>
      <c r="H271" s="1894"/>
      <c r="I271" s="1894"/>
      <c r="J271" s="1831">
        <f>'Notes- SK Template'!J273</f>
        <v>39396</v>
      </c>
      <c r="K271" s="1831"/>
      <c r="L271" s="1831"/>
      <c r="M271" s="1831">
        <f>'Notes- SK Template'!M273</f>
        <v>0</v>
      </c>
      <c r="N271" s="1831"/>
      <c r="O271" s="1831"/>
      <c r="P271" s="1831">
        <f>'Notes- SK Template'!P273</f>
        <v>0</v>
      </c>
      <c r="Q271" s="1831"/>
      <c r="R271" s="1831"/>
      <c r="S271" s="1831">
        <f>'Notes- SK Template'!S273</f>
        <v>2211884</v>
      </c>
      <c r="T271" s="1831"/>
      <c r="U271" s="1831"/>
      <c r="V271" s="1831">
        <f>'Notes- SK Template'!V273</f>
        <v>0</v>
      </c>
      <c r="W271" s="1831"/>
      <c r="X271" s="1831"/>
      <c r="Y271" s="1831">
        <f>'Notes- SK Template'!Y273</f>
        <v>0</v>
      </c>
      <c r="Z271" s="1831"/>
      <c r="AA271" s="1831"/>
      <c r="AB271" s="1831">
        <f>'Notes- SK Template'!AB273</f>
        <v>0</v>
      </c>
      <c r="AC271" s="1831"/>
      <c r="AD271" s="1831"/>
      <c r="AE271" s="1831">
        <f>'Notes- SK Template'!AE273</f>
        <v>2251280</v>
      </c>
      <c r="AF271" s="1831"/>
      <c r="AG271" s="1831"/>
    </row>
    <row r="272" spans="1:34" s="584" customFormat="1" ht="14.5" thickBot="1">
      <c r="A272" s="597"/>
      <c r="D272" s="2673" t="s">
        <v>1795</v>
      </c>
      <c r="E272" s="1966"/>
      <c r="F272" s="1966"/>
      <c r="G272" s="1966"/>
      <c r="H272" s="1966"/>
      <c r="I272" s="1966"/>
      <c r="J272" s="1966"/>
      <c r="K272" s="1966"/>
      <c r="L272" s="1966"/>
      <c r="M272" s="1966"/>
      <c r="N272" s="1966"/>
      <c r="O272" s="1966"/>
      <c r="P272" s="1966"/>
      <c r="Q272" s="1966"/>
      <c r="R272" s="1966"/>
      <c r="S272" s="1966"/>
      <c r="T272" s="1966"/>
      <c r="U272" s="1966"/>
      <c r="V272" s="1966"/>
      <c r="W272" s="1966"/>
      <c r="X272" s="1966"/>
      <c r="Y272" s="1966"/>
      <c r="Z272" s="1966"/>
      <c r="AA272" s="1966"/>
      <c r="AB272" s="1966"/>
      <c r="AC272" s="1966"/>
      <c r="AD272" s="1966"/>
      <c r="AE272" s="1966"/>
      <c r="AF272" s="1966"/>
      <c r="AG272" s="1966"/>
      <c r="AH272" s="605"/>
    </row>
    <row r="273" spans="1:34" s="584" customFormat="1" ht="21.75" customHeight="1">
      <c r="A273" s="597"/>
      <c r="D273" s="1922" t="s">
        <v>1790</v>
      </c>
      <c r="E273" s="1922"/>
      <c r="F273" s="1922"/>
      <c r="G273" s="1922"/>
      <c r="H273" s="1922"/>
      <c r="I273" s="1922"/>
      <c r="J273" s="1818">
        <f>'Notes- SK Template'!J275</f>
        <v>7884</v>
      </c>
      <c r="K273" s="1818"/>
      <c r="L273" s="1818"/>
      <c r="M273" s="1818">
        <f>'Notes- SK Template'!M275</f>
        <v>0</v>
      </c>
      <c r="N273" s="1818"/>
      <c r="O273" s="1818"/>
      <c r="P273" s="1818">
        <f>'Notes- SK Template'!P275</f>
        <v>0</v>
      </c>
      <c r="Q273" s="1818"/>
      <c r="R273" s="1818"/>
      <c r="S273" s="1818">
        <f>'Notes- SK Template'!S275</f>
        <v>395080</v>
      </c>
      <c r="T273" s="1818"/>
      <c r="U273" s="1818"/>
      <c r="V273" s="1818">
        <f>'Notes- SK Template'!V275</f>
        <v>0</v>
      </c>
      <c r="W273" s="1818"/>
      <c r="X273" s="1818"/>
      <c r="Y273" s="1818">
        <f>'Notes- SK Template'!Y275</f>
        <v>0</v>
      </c>
      <c r="Z273" s="1818"/>
      <c r="AA273" s="1818"/>
      <c r="AB273" s="1818">
        <f>'Notes- SK Template'!AB275</f>
        <v>0</v>
      </c>
      <c r="AC273" s="1818"/>
      <c r="AD273" s="1818"/>
      <c r="AE273" s="1899">
        <f>'Notes- SK Template'!AE275</f>
        <v>402964</v>
      </c>
      <c r="AF273" s="1899"/>
      <c r="AG273" s="1899"/>
    </row>
    <row r="274" spans="1:34" s="584" customFormat="1" ht="14">
      <c r="A274" s="597"/>
      <c r="D274" s="2571" t="s">
        <v>1791</v>
      </c>
      <c r="E274" s="1789"/>
      <c r="F274" s="1789"/>
      <c r="G274" s="1789"/>
      <c r="H274" s="1789"/>
      <c r="I274" s="1789"/>
      <c r="J274" s="1967">
        <f>'Notes- SK Template'!J276</f>
        <v>7884</v>
      </c>
      <c r="K274" s="1967"/>
      <c r="L274" s="1967"/>
      <c r="M274" s="1967">
        <f>'Notes- SK Template'!M276</f>
        <v>0</v>
      </c>
      <c r="N274" s="1967"/>
      <c r="O274" s="1967"/>
      <c r="P274" s="1967">
        <f>'Notes- SK Template'!P276</f>
        <v>0</v>
      </c>
      <c r="Q274" s="1967"/>
      <c r="R274" s="1967"/>
      <c r="S274" s="1967">
        <f>'Notes- SK Template'!S276</f>
        <v>316080</v>
      </c>
      <c r="T274" s="1967"/>
      <c r="U274" s="1967"/>
      <c r="V274" s="1967">
        <f>'Notes- SK Template'!V276</f>
        <v>0</v>
      </c>
      <c r="W274" s="1967"/>
      <c r="X274" s="1967"/>
      <c r="Y274" s="1967">
        <f>'Notes- SK Template'!Y276</f>
        <v>0</v>
      </c>
      <c r="Z274" s="1967"/>
      <c r="AA274" s="1967"/>
      <c r="AB274" s="1967">
        <f>'Notes- SK Template'!AB276</f>
        <v>0</v>
      </c>
      <c r="AC274" s="1967"/>
      <c r="AD274" s="1967"/>
      <c r="AE274" s="1794">
        <f>'Notes- SK Template'!AE276</f>
        <v>323964</v>
      </c>
      <c r="AF274" s="1794"/>
      <c r="AG274" s="1794"/>
    </row>
    <row r="275" spans="1:34" s="584" customFormat="1" ht="14">
      <c r="A275" s="597"/>
      <c r="D275" s="2571" t="s">
        <v>1792</v>
      </c>
      <c r="E275" s="1789"/>
      <c r="F275" s="1789"/>
      <c r="G275" s="1789"/>
      <c r="H275" s="1789"/>
      <c r="I275" s="1789"/>
      <c r="J275" s="1967">
        <f>'Notes- SK Template'!J277</f>
        <v>0</v>
      </c>
      <c r="K275" s="1967"/>
      <c r="L275" s="1967"/>
      <c r="M275" s="1967">
        <f>'Notes- SK Template'!M277</f>
        <v>0</v>
      </c>
      <c r="N275" s="1967"/>
      <c r="O275" s="1967"/>
      <c r="P275" s="1967">
        <f>'Notes- SK Template'!P277</f>
        <v>0</v>
      </c>
      <c r="Q275" s="1967"/>
      <c r="R275" s="1967"/>
      <c r="S275" s="1967">
        <f>'Notes- SK Template'!S277</f>
        <v>0</v>
      </c>
      <c r="T275" s="1967"/>
      <c r="U275" s="1967"/>
      <c r="V275" s="1967">
        <f>'Notes- SK Template'!V277</f>
        <v>0</v>
      </c>
      <c r="W275" s="1967"/>
      <c r="X275" s="1967"/>
      <c r="Y275" s="1967">
        <f>'Notes- SK Template'!Y277</f>
        <v>0</v>
      </c>
      <c r="Z275" s="1967"/>
      <c r="AA275" s="1967"/>
      <c r="AB275" s="1967">
        <f>'Notes- SK Template'!AB277</f>
        <v>0</v>
      </c>
      <c r="AC275" s="1967"/>
      <c r="AD275" s="1967"/>
      <c r="AE275" s="1794">
        <f>'Notes- SK Template'!AE277</f>
        <v>0</v>
      </c>
      <c r="AF275" s="1794"/>
      <c r="AG275" s="1794"/>
    </row>
    <row r="276" spans="1:34" s="584" customFormat="1" ht="14">
      <c r="A276" s="597"/>
      <c r="D276" s="2571" t="s">
        <v>1793</v>
      </c>
      <c r="E276" s="1789"/>
      <c r="F276" s="1789"/>
      <c r="G276" s="1789"/>
      <c r="H276" s="1789"/>
      <c r="I276" s="1789"/>
      <c r="J276" s="1967">
        <f>'Notes- SK Template'!J278</f>
        <v>0</v>
      </c>
      <c r="K276" s="1967"/>
      <c r="L276" s="1967"/>
      <c r="M276" s="1967">
        <f>'Notes- SK Template'!M278</f>
        <v>0</v>
      </c>
      <c r="N276" s="1967"/>
      <c r="O276" s="1967"/>
      <c r="P276" s="1967">
        <f>'Notes- SK Template'!P278</f>
        <v>0</v>
      </c>
      <c r="Q276" s="1967"/>
      <c r="R276" s="1967"/>
      <c r="S276" s="1967">
        <f>'Notes- SK Template'!S278</f>
        <v>0</v>
      </c>
      <c r="T276" s="1967"/>
      <c r="U276" s="1967"/>
      <c r="V276" s="1967">
        <f>'Notes- SK Template'!V278</f>
        <v>0</v>
      </c>
      <c r="W276" s="1967"/>
      <c r="X276" s="1967"/>
      <c r="Y276" s="1967">
        <f>'Notes- SK Template'!Y278</f>
        <v>0</v>
      </c>
      <c r="Z276" s="1967"/>
      <c r="AA276" s="1967"/>
      <c r="AB276" s="1967">
        <f>'Notes- SK Template'!AB278</f>
        <v>0</v>
      </c>
      <c r="AC276" s="1967"/>
      <c r="AD276" s="1967"/>
      <c r="AE276" s="1794">
        <f>'Notes- SK Template'!AE278</f>
        <v>0</v>
      </c>
      <c r="AF276" s="1794"/>
      <c r="AG276" s="1794"/>
    </row>
    <row r="277" spans="1:34" s="584" customFormat="1" ht="21.75" customHeight="1" thickBot="1">
      <c r="A277" s="597"/>
      <c r="D277" s="1894" t="s">
        <v>1794</v>
      </c>
      <c r="E277" s="1894"/>
      <c r="F277" s="1894"/>
      <c r="G277" s="1894"/>
      <c r="H277" s="1894"/>
      <c r="I277" s="1894"/>
      <c r="J277" s="1831">
        <f>'Notes- SK Template'!J279</f>
        <v>15768</v>
      </c>
      <c r="K277" s="1831"/>
      <c r="L277" s="1831"/>
      <c r="M277" s="1831">
        <f>'Notes- SK Template'!M279</f>
        <v>0</v>
      </c>
      <c r="N277" s="1831"/>
      <c r="O277" s="1831"/>
      <c r="P277" s="1831">
        <f>'Notes- SK Template'!P279</f>
        <v>0</v>
      </c>
      <c r="Q277" s="1831"/>
      <c r="R277" s="1831"/>
      <c r="S277" s="1831">
        <f>'Notes- SK Template'!S279</f>
        <v>711160</v>
      </c>
      <c r="T277" s="1831"/>
      <c r="U277" s="1831"/>
      <c r="V277" s="1831">
        <f>'Notes- SK Template'!V279</f>
        <v>0</v>
      </c>
      <c r="W277" s="1831"/>
      <c r="X277" s="1831"/>
      <c r="Y277" s="1831">
        <f>'Notes- SK Template'!Y279</f>
        <v>0</v>
      </c>
      <c r="Z277" s="1831"/>
      <c r="AA277" s="1831"/>
      <c r="AB277" s="1831">
        <f>'Notes- SK Template'!AB279</f>
        <v>0</v>
      </c>
      <c r="AC277" s="1831"/>
      <c r="AD277" s="1831"/>
      <c r="AE277" s="1831">
        <f>'Notes- SK Template'!AE279</f>
        <v>726928</v>
      </c>
      <c r="AF277" s="1831"/>
      <c r="AG277" s="1831"/>
    </row>
    <row r="278" spans="1:34" s="584" customFormat="1" ht="14.5" thickBot="1">
      <c r="A278" s="597"/>
      <c r="D278" s="2673" t="s">
        <v>1796</v>
      </c>
      <c r="E278" s="1966"/>
      <c r="F278" s="1966"/>
      <c r="G278" s="1966"/>
      <c r="H278" s="1966"/>
      <c r="I278" s="1966"/>
      <c r="J278" s="1966"/>
      <c r="K278" s="1966"/>
      <c r="L278" s="1966"/>
      <c r="M278" s="1966"/>
      <c r="N278" s="1966"/>
      <c r="O278" s="1966"/>
      <c r="P278" s="1966"/>
      <c r="Q278" s="1966"/>
      <c r="R278" s="1966"/>
      <c r="S278" s="1966"/>
      <c r="T278" s="1966"/>
      <c r="U278" s="1966"/>
      <c r="V278" s="1966"/>
      <c r="W278" s="1966"/>
      <c r="X278" s="1966"/>
      <c r="Y278" s="1966"/>
      <c r="Z278" s="1966"/>
      <c r="AA278" s="1966"/>
      <c r="AB278" s="1966"/>
      <c r="AC278" s="1966"/>
      <c r="AD278" s="1966"/>
      <c r="AE278" s="1966"/>
      <c r="AF278" s="1966"/>
      <c r="AG278" s="1966"/>
      <c r="AH278" s="605"/>
    </row>
    <row r="279" spans="1:34" s="584" customFormat="1" ht="21.75" customHeight="1">
      <c r="A279" s="597"/>
      <c r="D279" s="1922" t="s">
        <v>1790</v>
      </c>
      <c r="E279" s="1922"/>
      <c r="F279" s="1922"/>
      <c r="G279" s="1922"/>
      <c r="H279" s="1922"/>
      <c r="I279" s="1922"/>
      <c r="J279" s="1818">
        <f>'Notes- SK Template'!J281</f>
        <v>0</v>
      </c>
      <c r="K279" s="1818"/>
      <c r="L279" s="1818"/>
      <c r="M279" s="1818">
        <f>'Notes- SK Template'!M281</f>
        <v>0</v>
      </c>
      <c r="N279" s="1818"/>
      <c r="O279" s="1818"/>
      <c r="P279" s="1818">
        <f>'Notes- SK Template'!P281</f>
        <v>0</v>
      </c>
      <c r="Q279" s="1818"/>
      <c r="R279" s="1818"/>
      <c r="S279" s="1818">
        <f>'Notes- SK Template'!S281</f>
        <v>0</v>
      </c>
      <c r="T279" s="1818"/>
      <c r="U279" s="1818"/>
      <c r="V279" s="1818">
        <f>'Notes- SK Template'!V281</f>
        <v>0</v>
      </c>
      <c r="W279" s="1818"/>
      <c r="X279" s="1818"/>
      <c r="Y279" s="1818">
        <f>'Notes- SK Template'!Y281</f>
        <v>0</v>
      </c>
      <c r="Z279" s="1818"/>
      <c r="AA279" s="1818"/>
      <c r="AB279" s="1818">
        <f>'Notes- SK Template'!AB281</f>
        <v>0</v>
      </c>
      <c r="AC279" s="1818"/>
      <c r="AD279" s="1818"/>
      <c r="AE279" s="1899">
        <f>'Notes- SK Template'!AE281</f>
        <v>0</v>
      </c>
      <c r="AF279" s="1899"/>
      <c r="AG279" s="1899"/>
    </row>
    <row r="280" spans="1:34" s="584" customFormat="1" ht="14">
      <c r="A280" s="597"/>
      <c r="D280" s="2571" t="s">
        <v>1791</v>
      </c>
      <c r="E280" s="1789"/>
      <c r="F280" s="1789"/>
      <c r="G280" s="1789"/>
      <c r="H280" s="1789"/>
      <c r="I280" s="1789"/>
      <c r="J280" s="1967">
        <f>'Notes- SK Template'!J282</f>
        <v>0</v>
      </c>
      <c r="K280" s="1967"/>
      <c r="L280" s="1967"/>
      <c r="M280" s="1967">
        <f>'Notes- SK Template'!M282</f>
        <v>0</v>
      </c>
      <c r="N280" s="1967"/>
      <c r="O280" s="1967"/>
      <c r="P280" s="1967">
        <f>'Notes- SK Template'!P282</f>
        <v>0</v>
      </c>
      <c r="Q280" s="1967"/>
      <c r="R280" s="1967"/>
      <c r="S280" s="1967">
        <f>'Notes- SK Template'!S282</f>
        <v>0</v>
      </c>
      <c r="T280" s="1967"/>
      <c r="U280" s="1967"/>
      <c r="V280" s="1967">
        <f>'Notes- SK Template'!V282</f>
        <v>0</v>
      </c>
      <c r="W280" s="1967"/>
      <c r="X280" s="1967"/>
      <c r="Y280" s="1967">
        <f>'Notes- SK Template'!Y282</f>
        <v>0</v>
      </c>
      <c r="Z280" s="1967"/>
      <c r="AA280" s="1967"/>
      <c r="AB280" s="1967">
        <f>'Notes- SK Template'!AB282</f>
        <v>0</v>
      </c>
      <c r="AC280" s="1967"/>
      <c r="AD280" s="1967"/>
      <c r="AE280" s="1794">
        <f>'Notes- SK Template'!AE282</f>
        <v>0</v>
      </c>
      <c r="AF280" s="1794"/>
      <c r="AG280" s="1794"/>
    </row>
    <row r="281" spans="1:34" s="584" customFormat="1" ht="14">
      <c r="A281" s="597"/>
      <c r="D281" s="2571" t="s">
        <v>1792</v>
      </c>
      <c r="E281" s="1789"/>
      <c r="F281" s="1789"/>
      <c r="G281" s="1789"/>
      <c r="H281" s="1789"/>
      <c r="I281" s="1789"/>
      <c r="J281" s="1967">
        <f>'Notes- SK Template'!J283</f>
        <v>0</v>
      </c>
      <c r="K281" s="1967"/>
      <c r="L281" s="1967"/>
      <c r="M281" s="1967">
        <f>'Notes- SK Template'!M283</f>
        <v>0</v>
      </c>
      <c r="N281" s="1967"/>
      <c r="O281" s="1967"/>
      <c r="P281" s="1967">
        <f>'Notes- SK Template'!P283</f>
        <v>0</v>
      </c>
      <c r="Q281" s="1967"/>
      <c r="R281" s="1967"/>
      <c r="S281" s="1967">
        <f>'Notes- SK Template'!S283</f>
        <v>0</v>
      </c>
      <c r="T281" s="1967"/>
      <c r="U281" s="1967"/>
      <c r="V281" s="1967">
        <f>'Notes- SK Template'!V283</f>
        <v>0</v>
      </c>
      <c r="W281" s="1967"/>
      <c r="X281" s="1967"/>
      <c r="Y281" s="1967">
        <f>'Notes- SK Template'!Y283</f>
        <v>0</v>
      </c>
      <c r="Z281" s="1967"/>
      <c r="AA281" s="1967"/>
      <c r="AB281" s="1967">
        <f>'Notes- SK Template'!AB283</f>
        <v>0</v>
      </c>
      <c r="AC281" s="1967"/>
      <c r="AD281" s="1967"/>
      <c r="AE281" s="1794">
        <f>'Notes- SK Template'!AE283</f>
        <v>0</v>
      </c>
      <c r="AF281" s="1794"/>
      <c r="AG281" s="1794"/>
    </row>
    <row r="282" spans="1:34" s="584" customFormat="1" ht="14">
      <c r="A282" s="597"/>
      <c r="D282" s="2571" t="s">
        <v>1793</v>
      </c>
      <c r="E282" s="1789"/>
      <c r="F282" s="1789"/>
      <c r="G282" s="1789"/>
      <c r="H282" s="1789"/>
      <c r="I282" s="1789"/>
      <c r="J282" s="1967">
        <f>'Notes- SK Template'!J284</f>
        <v>0</v>
      </c>
      <c r="K282" s="1967"/>
      <c r="L282" s="1967"/>
      <c r="M282" s="1967">
        <f>'Notes- SK Template'!M284</f>
        <v>0</v>
      </c>
      <c r="N282" s="1967"/>
      <c r="O282" s="1967"/>
      <c r="P282" s="1967">
        <f>'Notes- SK Template'!P284</f>
        <v>0</v>
      </c>
      <c r="Q282" s="1967"/>
      <c r="R282" s="1967"/>
      <c r="S282" s="1967">
        <f>'Notes- SK Template'!S284</f>
        <v>0</v>
      </c>
      <c r="T282" s="1967"/>
      <c r="U282" s="1967"/>
      <c r="V282" s="1967">
        <f>'Notes- SK Template'!V284</f>
        <v>0</v>
      </c>
      <c r="W282" s="1967"/>
      <c r="X282" s="1967"/>
      <c r="Y282" s="1967">
        <f>'Notes- SK Template'!Y284</f>
        <v>0</v>
      </c>
      <c r="Z282" s="1967"/>
      <c r="AA282" s="1967"/>
      <c r="AB282" s="1967">
        <f>'Notes- SK Template'!AB284</f>
        <v>0</v>
      </c>
      <c r="AC282" s="1967"/>
      <c r="AD282" s="1967"/>
      <c r="AE282" s="1794">
        <f>'Notes- SK Template'!AE284</f>
        <v>0</v>
      </c>
      <c r="AF282" s="1794"/>
      <c r="AG282" s="1794"/>
    </row>
    <row r="283" spans="1:34" s="584" customFormat="1" ht="21.75" customHeight="1" thickBot="1">
      <c r="A283" s="597"/>
      <c r="D283" s="1894" t="s">
        <v>1794</v>
      </c>
      <c r="E283" s="1894"/>
      <c r="F283" s="1894"/>
      <c r="G283" s="1894"/>
      <c r="H283" s="1894"/>
      <c r="I283" s="1894"/>
      <c r="J283" s="1831">
        <f>'Notes- SK Template'!J285</f>
        <v>0</v>
      </c>
      <c r="K283" s="1831"/>
      <c r="L283" s="1831"/>
      <c r="M283" s="1831">
        <f>'Notes- SK Template'!M285</f>
        <v>0</v>
      </c>
      <c r="N283" s="1831"/>
      <c r="O283" s="1831"/>
      <c r="P283" s="1831">
        <f>'Notes- SK Template'!P285</f>
        <v>0</v>
      </c>
      <c r="Q283" s="1831"/>
      <c r="R283" s="1831"/>
      <c r="S283" s="1831">
        <f>'Notes- SK Template'!S285</f>
        <v>0</v>
      </c>
      <c r="T283" s="1831"/>
      <c r="U283" s="1831"/>
      <c r="V283" s="1831">
        <f>'Notes- SK Template'!V285</f>
        <v>0</v>
      </c>
      <c r="W283" s="1831"/>
      <c r="X283" s="1831"/>
      <c r="Y283" s="1831">
        <f>'Notes- SK Template'!Y285</f>
        <v>0</v>
      </c>
      <c r="Z283" s="1831"/>
      <c r="AA283" s="1831"/>
      <c r="AB283" s="1831">
        <f>'Notes- SK Template'!AB285</f>
        <v>0</v>
      </c>
      <c r="AC283" s="1831"/>
      <c r="AD283" s="1831"/>
      <c r="AE283" s="1831">
        <f>'Notes- SK Template'!AE285</f>
        <v>0</v>
      </c>
      <c r="AF283" s="1831"/>
      <c r="AG283" s="1831"/>
    </row>
    <row r="284" spans="1:34" s="584" customFormat="1" ht="14.5" thickBot="1">
      <c r="A284" s="597"/>
      <c r="D284" s="2673" t="s">
        <v>1797</v>
      </c>
      <c r="E284" s="1966"/>
      <c r="F284" s="1966"/>
      <c r="G284" s="1966"/>
      <c r="H284" s="1966"/>
      <c r="I284" s="1966"/>
      <c r="J284" s="1966"/>
      <c r="K284" s="1966"/>
      <c r="L284" s="1966"/>
      <c r="M284" s="1966"/>
      <c r="N284" s="1966"/>
      <c r="O284" s="1966"/>
      <c r="P284" s="1966"/>
      <c r="Q284" s="1966"/>
      <c r="R284" s="1966"/>
      <c r="S284" s="1966"/>
      <c r="T284" s="1966"/>
      <c r="U284" s="1966"/>
      <c r="V284" s="1966"/>
      <c r="W284" s="1966"/>
      <c r="X284" s="1966"/>
      <c r="Y284" s="1966"/>
      <c r="Z284" s="1966"/>
      <c r="AA284" s="1966"/>
      <c r="AB284" s="1966"/>
      <c r="AC284" s="1966"/>
      <c r="AD284" s="1966"/>
      <c r="AE284" s="1966"/>
      <c r="AF284" s="1966"/>
      <c r="AG284" s="1966"/>
      <c r="AH284" s="605"/>
    </row>
    <row r="285" spans="1:34" s="584" customFormat="1" ht="21.75" customHeight="1">
      <c r="A285" s="597"/>
      <c r="D285" s="1959" t="s">
        <v>1790</v>
      </c>
      <c r="E285" s="1960"/>
      <c r="F285" s="1960"/>
      <c r="G285" s="1960"/>
      <c r="H285" s="1960"/>
      <c r="I285" s="1961"/>
      <c r="J285" s="1965">
        <f>'Notes- SK Template'!J287</f>
        <v>31512</v>
      </c>
      <c r="K285" s="1965"/>
      <c r="L285" s="1965"/>
      <c r="M285" s="1965">
        <f>'Notes- SK Template'!M287</f>
        <v>0</v>
      </c>
      <c r="N285" s="1965"/>
      <c r="O285" s="1965"/>
      <c r="P285" s="1965">
        <f>'Notes- SK Template'!P287</f>
        <v>0</v>
      </c>
      <c r="Q285" s="1965"/>
      <c r="R285" s="1965"/>
      <c r="S285" s="1965">
        <f>'Notes- SK Template'!S287</f>
        <v>1816804</v>
      </c>
      <c r="T285" s="1965"/>
      <c r="U285" s="1965"/>
      <c r="V285" s="1965">
        <f>'Notes- SK Template'!V287</f>
        <v>0</v>
      </c>
      <c r="W285" s="1965"/>
      <c r="X285" s="1965"/>
      <c r="Y285" s="1965">
        <f>'Notes- SK Template'!Y287</f>
        <v>0</v>
      </c>
      <c r="Z285" s="1965"/>
      <c r="AA285" s="1965"/>
      <c r="AB285" s="1965">
        <f>'Notes- SK Template'!AB287</f>
        <v>0</v>
      </c>
      <c r="AC285" s="1965"/>
      <c r="AD285" s="1965"/>
      <c r="AE285" s="1965">
        <f>'Notes- SK Template'!AE287</f>
        <v>1848316</v>
      </c>
      <c r="AF285" s="1965"/>
      <c r="AG285" s="1965"/>
    </row>
    <row r="286" spans="1:34" s="584" customFormat="1" ht="21.75" customHeight="1" thickBot="1">
      <c r="A286" s="597"/>
      <c r="D286" s="1894" t="s">
        <v>1794</v>
      </c>
      <c r="E286" s="1894"/>
      <c r="F286" s="1894"/>
      <c r="G286" s="1894"/>
      <c r="H286" s="1894"/>
      <c r="I286" s="1894"/>
      <c r="J286" s="1831">
        <f>'Notes- SK Template'!J288</f>
        <v>23628</v>
      </c>
      <c r="K286" s="1831"/>
      <c r="L286" s="1831"/>
      <c r="M286" s="1831">
        <f>'Notes- SK Template'!M288</f>
        <v>0</v>
      </c>
      <c r="N286" s="1831"/>
      <c r="O286" s="1831"/>
      <c r="P286" s="1831">
        <f>'Notes- SK Template'!P288</f>
        <v>0</v>
      </c>
      <c r="Q286" s="1831"/>
      <c r="R286" s="1831"/>
      <c r="S286" s="1831">
        <f>'Notes- SK Template'!S288</f>
        <v>1500724</v>
      </c>
      <c r="T286" s="1831"/>
      <c r="U286" s="1831"/>
      <c r="V286" s="1831">
        <f>'Notes- SK Template'!V288</f>
        <v>0</v>
      </c>
      <c r="W286" s="1831"/>
      <c r="X286" s="1831"/>
      <c r="Y286" s="1831">
        <f>'Notes- SK Template'!Y288</f>
        <v>0</v>
      </c>
      <c r="Z286" s="1831"/>
      <c r="AA286" s="1831"/>
      <c r="AB286" s="1831">
        <f>'Notes- SK Template'!AB288</f>
        <v>0</v>
      </c>
      <c r="AC286" s="1831"/>
      <c r="AD286" s="1831"/>
      <c r="AE286" s="1831">
        <f>'Notes- SK Template'!AE288</f>
        <v>1524352</v>
      </c>
      <c r="AF286" s="1831"/>
      <c r="AG286" s="1831"/>
    </row>
    <row r="287" spans="1:34" s="584" customFormat="1" ht="14">
      <c r="A287" s="597"/>
      <c r="D287" s="773"/>
      <c r="E287" s="773"/>
      <c r="F287" s="773"/>
      <c r="G287" s="773"/>
    </row>
    <row r="288" spans="1:34" s="584" customFormat="1" ht="14">
      <c r="A288" s="597"/>
      <c r="D288" s="773"/>
      <c r="E288" s="773"/>
      <c r="F288" s="773"/>
      <c r="G288" s="773"/>
    </row>
    <row r="289" spans="1:33" s="584" customFormat="1" ht="14">
      <c r="A289" s="597"/>
      <c r="D289" s="773"/>
      <c r="E289" s="773"/>
      <c r="F289" s="773"/>
      <c r="G289" s="773"/>
    </row>
    <row r="290" spans="1:33" s="584" customFormat="1" ht="14.5" thickBot="1">
      <c r="A290" s="597"/>
    </row>
    <row r="291" spans="1:33" s="584" customFormat="1" ht="31.5" customHeight="1" thickBot="1">
      <c r="A291" s="597">
        <v>4</v>
      </c>
      <c r="D291" s="1921" t="s">
        <v>1784</v>
      </c>
      <c r="E291" s="1921"/>
      <c r="F291" s="1921"/>
      <c r="G291" s="1921"/>
      <c r="H291" s="1921"/>
      <c r="I291" s="1921"/>
      <c r="J291" s="1921"/>
      <c r="K291" s="1921"/>
      <c r="L291" s="1921"/>
      <c r="M291" s="1921"/>
      <c r="N291" s="1921"/>
      <c r="O291" s="1921"/>
      <c r="P291" s="1921"/>
      <c r="Q291" s="1921"/>
      <c r="R291" s="1921"/>
      <c r="S291" s="1921" t="s">
        <v>1799</v>
      </c>
      <c r="T291" s="1921"/>
      <c r="U291" s="1921"/>
      <c r="V291" s="1921"/>
      <c r="W291" s="1921"/>
      <c r="X291" s="1921"/>
      <c r="Y291" s="1921"/>
      <c r="Z291" s="1921"/>
      <c r="AA291" s="1921"/>
      <c r="AB291" s="1921"/>
      <c r="AC291" s="1921"/>
      <c r="AD291" s="1921"/>
      <c r="AE291" s="1921"/>
      <c r="AF291" s="1921"/>
      <c r="AG291" s="1921"/>
    </row>
    <row r="292" spans="1:33" s="584" customFormat="1" ht="31.5" customHeight="1">
      <c r="A292" s="597"/>
      <c r="D292" s="2665" t="s">
        <v>1800</v>
      </c>
      <c r="E292" s="2129"/>
      <c r="F292" s="2129"/>
      <c r="G292" s="2129"/>
      <c r="H292" s="2129"/>
      <c r="I292" s="2129"/>
      <c r="J292" s="2129"/>
      <c r="K292" s="2129"/>
      <c r="L292" s="2129"/>
      <c r="M292" s="2129"/>
      <c r="N292" s="2129"/>
      <c r="O292" s="2129"/>
      <c r="P292" s="2129"/>
      <c r="Q292" s="2129"/>
      <c r="R292" s="2129"/>
      <c r="S292" s="2578" t="str">
        <f>'Notes- SK Template'!S294</f>
        <v>-</v>
      </c>
      <c r="T292" s="2578"/>
      <c r="U292" s="2578"/>
      <c r="V292" s="2578">
        <f>'Notes- SK Template'!V294</f>
        <v>0</v>
      </c>
      <c r="W292" s="2578"/>
      <c r="X292" s="2578"/>
      <c r="Y292" s="2578">
        <f>'Notes- SK Template'!Y294</f>
        <v>0</v>
      </c>
      <c r="Z292" s="2578"/>
      <c r="AA292" s="2578"/>
      <c r="AB292" s="2578">
        <f>'Notes- SK Template'!AB294</f>
        <v>0</v>
      </c>
      <c r="AC292" s="2578"/>
      <c r="AD292" s="2578"/>
      <c r="AE292" s="2578">
        <f>'Notes- SK Template'!AE294</f>
        <v>0</v>
      </c>
      <c r="AF292" s="2578"/>
      <c r="AG292" s="2578"/>
    </row>
    <row r="293" spans="1:33" s="584" customFormat="1" ht="31.5" customHeight="1" thickBot="1">
      <c r="A293" s="597"/>
      <c r="D293" s="2668" t="s">
        <v>1801</v>
      </c>
      <c r="E293" s="1996"/>
      <c r="F293" s="1996"/>
      <c r="G293" s="1996"/>
      <c r="H293" s="1996"/>
      <c r="I293" s="1996"/>
      <c r="J293" s="1996"/>
      <c r="K293" s="1996"/>
      <c r="L293" s="1996"/>
      <c r="M293" s="1996"/>
      <c r="N293" s="1996"/>
      <c r="O293" s="1996"/>
      <c r="P293" s="1996"/>
      <c r="Q293" s="1996"/>
      <c r="R293" s="1996"/>
      <c r="S293" s="1859" t="str">
        <f>'Notes- SK Template'!S295</f>
        <v>-</v>
      </c>
      <c r="T293" s="1859"/>
      <c r="U293" s="1859"/>
      <c r="V293" s="1859">
        <f>'Notes- SK Template'!V295</f>
        <v>0</v>
      </c>
      <c r="W293" s="1859"/>
      <c r="X293" s="1859"/>
      <c r="Y293" s="1859">
        <f>'Notes- SK Template'!Y295</f>
        <v>0</v>
      </c>
      <c r="Z293" s="1859"/>
      <c r="AA293" s="1859"/>
      <c r="AB293" s="1859">
        <f>'Notes- SK Template'!AB295</f>
        <v>0</v>
      </c>
      <c r="AC293" s="1859"/>
      <c r="AD293" s="1859"/>
      <c r="AE293" s="1859">
        <f>'Notes- SK Template'!AE295</f>
        <v>0</v>
      </c>
      <c r="AF293" s="1859"/>
      <c r="AG293" s="1859"/>
    </row>
    <row r="294" spans="1:33" s="584" customFormat="1" ht="14">
      <c r="A294" s="597"/>
    </row>
    <row r="295" spans="1:33" s="584" customFormat="1" ht="14.25" customHeight="1">
      <c r="A295" s="597"/>
      <c r="D295" s="2126" t="s">
        <v>3015</v>
      </c>
      <c r="E295" s="2126"/>
      <c r="F295" s="2126"/>
      <c r="G295" s="2126"/>
      <c r="H295" s="2126"/>
      <c r="I295" s="2126"/>
      <c r="J295" s="2126"/>
      <c r="K295" s="2126"/>
      <c r="L295" s="2126"/>
      <c r="M295" s="2126"/>
      <c r="N295" s="2126"/>
      <c r="O295" s="2126"/>
      <c r="P295" s="2126"/>
      <c r="Q295" s="2126"/>
      <c r="R295" s="2126"/>
      <c r="S295" s="2126"/>
      <c r="T295" s="2126"/>
      <c r="U295" s="2126"/>
      <c r="V295" s="2126"/>
      <c r="W295" s="2126"/>
      <c r="X295" s="2126"/>
      <c r="Y295" s="2126"/>
      <c r="Z295" s="2126"/>
      <c r="AA295" s="2126"/>
      <c r="AB295" s="2126"/>
      <c r="AC295" s="2126"/>
      <c r="AD295" s="2126"/>
      <c r="AE295" s="2126"/>
      <c r="AF295" s="2126"/>
      <c r="AG295" s="2126"/>
    </row>
    <row r="296" spans="1:33" s="584" customFormat="1" ht="14">
      <c r="A296" s="597"/>
      <c r="D296" s="2126"/>
      <c r="E296" s="2126"/>
      <c r="F296" s="2126"/>
      <c r="G296" s="2126"/>
      <c r="H296" s="2126"/>
      <c r="I296" s="2126"/>
      <c r="J296" s="2126"/>
      <c r="K296" s="2126"/>
      <c r="L296" s="2126"/>
      <c r="M296" s="2126"/>
      <c r="N296" s="2126"/>
      <c r="O296" s="2126"/>
      <c r="P296" s="2126"/>
      <c r="Q296" s="2126"/>
      <c r="R296" s="2126"/>
      <c r="S296" s="2126"/>
      <c r="T296" s="2126"/>
      <c r="U296" s="2126"/>
      <c r="V296" s="2126"/>
      <c r="W296" s="2126"/>
      <c r="X296" s="2126"/>
      <c r="Y296" s="2126"/>
      <c r="Z296" s="2126"/>
      <c r="AA296" s="2126"/>
      <c r="AB296" s="2126"/>
      <c r="AC296" s="2126"/>
      <c r="AD296" s="2126"/>
      <c r="AE296" s="2126"/>
      <c r="AF296" s="2126"/>
      <c r="AG296" s="2126"/>
    </row>
    <row r="297" spans="1:33" s="584" customFormat="1" ht="14.25" customHeight="1">
      <c r="A297" s="597"/>
      <c r="D297" s="2126" t="s">
        <v>2836</v>
      </c>
      <c r="E297" s="2126"/>
      <c r="F297" s="2126"/>
      <c r="G297" s="2126"/>
      <c r="H297" s="2126"/>
      <c r="I297" s="2126"/>
      <c r="J297" s="2126"/>
      <c r="K297" s="2126"/>
      <c r="L297" s="2126"/>
      <c r="M297" s="2126"/>
      <c r="N297" s="2126"/>
      <c r="O297" s="2126"/>
      <c r="P297" s="2126"/>
      <c r="Q297" s="2126"/>
      <c r="R297" s="2126"/>
      <c r="S297" s="2126"/>
      <c r="T297" s="2126"/>
      <c r="U297" s="2126"/>
      <c r="V297" s="2126"/>
      <c r="W297" s="2126"/>
      <c r="X297" s="2126"/>
      <c r="Y297" s="2126"/>
      <c r="Z297" s="2126"/>
      <c r="AA297" s="2126"/>
      <c r="AB297" s="2126"/>
      <c r="AC297" s="2126"/>
      <c r="AD297" s="2126"/>
      <c r="AE297" s="2126"/>
      <c r="AF297" s="2126"/>
      <c r="AG297" s="2126"/>
    </row>
    <row r="298" spans="1:33" s="584" customFormat="1" ht="14.25" customHeight="1">
      <c r="A298" s="597"/>
      <c r="D298" s="2126"/>
      <c r="E298" s="2126"/>
      <c r="F298" s="2126"/>
      <c r="G298" s="2126"/>
      <c r="H298" s="2126"/>
      <c r="I298" s="2126"/>
      <c r="J298" s="2126"/>
      <c r="K298" s="2126"/>
      <c r="L298" s="2126"/>
      <c r="M298" s="2126"/>
      <c r="N298" s="2126"/>
      <c r="O298" s="2126"/>
      <c r="P298" s="2126"/>
      <c r="Q298" s="2126"/>
      <c r="R298" s="2126"/>
      <c r="S298" s="2126"/>
      <c r="T298" s="2126"/>
      <c r="U298" s="2126"/>
      <c r="V298" s="2126"/>
      <c r="W298" s="2126"/>
      <c r="X298" s="2126"/>
      <c r="Y298" s="2126"/>
      <c r="Z298" s="2126"/>
      <c r="AA298" s="2126"/>
      <c r="AB298" s="2126"/>
      <c r="AC298" s="2126"/>
      <c r="AD298" s="2126"/>
      <c r="AE298" s="2126"/>
      <c r="AF298" s="2126"/>
      <c r="AG298" s="2126"/>
    </row>
    <row r="299" spans="1:33" s="584" customFormat="1" ht="14.25" customHeight="1">
      <c r="A299" s="597"/>
      <c r="D299" s="2126"/>
      <c r="E299" s="2126"/>
      <c r="F299" s="2126"/>
      <c r="G299" s="2126"/>
      <c r="H299" s="2126"/>
      <c r="I299" s="2126"/>
      <c r="J299" s="2126"/>
      <c r="K299" s="2126"/>
      <c r="L299" s="2126"/>
      <c r="M299" s="2126"/>
      <c r="N299" s="2126"/>
      <c r="O299" s="2126"/>
      <c r="P299" s="2126"/>
      <c r="Q299" s="2126"/>
      <c r="R299" s="2126"/>
      <c r="S299" s="2126"/>
      <c r="T299" s="2126"/>
      <c r="U299" s="2126"/>
      <c r="V299" s="2126"/>
      <c r="W299" s="2126"/>
      <c r="X299" s="2126"/>
      <c r="Y299" s="2126"/>
      <c r="Z299" s="2126"/>
      <c r="AA299" s="2126"/>
      <c r="AB299" s="2126"/>
      <c r="AC299" s="2126"/>
      <c r="AD299" s="2126"/>
      <c r="AE299" s="2126"/>
      <c r="AF299" s="2126"/>
      <c r="AG299" s="2126"/>
    </row>
    <row r="300" spans="1:33" s="584" customFormat="1" ht="14.25" customHeight="1">
      <c r="A300" s="597"/>
      <c r="D300" s="2126"/>
      <c r="E300" s="2126"/>
      <c r="F300" s="2126"/>
      <c r="G300" s="2126"/>
      <c r="H300" s="2126"/>
      <c r="I300" s="2126"/>
      <c r="J300" s="2126"/>
      <c r="K300" s="2126"/>
      <c r="L300" s="2126"/>
      <c r="M300" s="2126"/>
      <c r="N300" s="2126"/>
      <c r="O300" s="2126"/>
      <c r="P300" s="2126"/>
      <c r="Q300" s="2126"/>
      <c r="R300" s="2126"/>
      <c r="S300" s="2126"/>
      <c r="T300" s="2126"/>
      <c r="U300" s="2126"/>
      <c r="V300" s="2126"/>
      <c r="W300" s="2126"/>
      <c r="X300" s="2126"/>
      <c r="Y300" s="2126"/>
      <c r="Z300" s="2126"/>
      <c r="AA300" s="2126"/>
      <c r="AB300" s="2126"/>
      <c r="AC300" s="2126"/>
      <c r="AD300" s="2126"/>
      <c r="AE300" s="2126"/>
      <c r="AF300" s="2126"/>
      <c r="AG300" s="2126"/>
    </row>
    <row r="301" spans="1:33" s="584" customFormat="1" ht="33.75" customHeight="1">
      <c r="A301" s="597"/>
      <c r="D301" s="2126"/>
      <c r="E301" s="2126"/>
      <c r="F301" s="2126"/>
      <c r="G301" s="2126"/>
      <c r="H301" s="2126"/>
      <c r="I301" s="2126"/>
      <c r="J301" s="2126"/>
      <c r="K301" s="2126"/>
      <c r="L301" s="2126"/>
      <c r="M301" s="2126"/>
      <c r="N301" s="2126"/>
      <c r="O301" s="2126"/>
      <c r="P301" s="2126"/>
      <c r="Q301" s="2126"/>
      <c r="R301" s="2126"/>
      <c r="S301" s="2126"/>
      <c r="T301" s="2126"/>
      <c r="U301" s="2126"/>
      <c r="V301" s="2126"/>
      <c r="W301" s="2126"/>
      <c r="X301" s="2126"/>
      <c r="Y301" s="2126"/>
      <c r="Z301" s="2126"/>
      <c r="AA301" s="2126"/>
      <c r="AB301" s="2126"/>
      <c r="AC301" s="2126"/>
      <c r="AD301" s="2126"/>
      <c r="AE301" s="2126"/>
      <c r="AF301" s="2126"/>
      <c r="AG301" s="2126"/>
    </row>
    <row r="302" spans="1:33" s="584" customFormat="1" ht="14.25" customHeight="1">
      <c r="A302" s="597"/>
      <c r="D302" s="2126" t="s">
        <v>3028</v>
      </c>
      <c r="E302" s="2126"/>
      <c r="F302" s="2126"/>
      <c r="G302" s="2126"/>
      <c r="H302" s="2126"/>
      <c r="I302" s="2126"/>
      <c r="J302" s="2126"/>
      <c r="K302" s="2126"/>
      <c r="L302" s="2126"/>
      <c r="M302" s="2126"/>
      <c r="N302" s="2126"/>
      <c r="O302" s="2126"/>
      <c r="P302" s="2126"/>
      <c r="Q302" s="2126"/>
      <c r="R302" s="2126"/>
      <c r="S302" s="2126"/>
      <c r="T302" s="2126"/>
      <c r="U302" s="2126"/>
      <c r="V302" s="2126"/>
      <c r="W302" s="2126"/>
      <c r="X302" s="2126"/>
      <c r="Y302" s="2126"/>
      <c r="Z302" s="2126"/>
      <c r="AA302" s="2126"/>
      <c r="AB302" s="2126"/>
      <c r="AC302" s="2126"/>
      <c r="AD302" s="2126"/>
      <c r="AE302" s="2126"/>
      <c r="AF302" s="2126"/>
      <c r="AG302" s="2126"/>
    </row>
    <row r="303" spans="1:33" s="584" customFormat="1" ht="14.25" customHeight="1">
      <c r="A303" s="597"/>
      <c r="D303" s="1499"/>
      <c r="E303" s="1499"/>
      <c r="F303" s="1499"/>
      <c r="G303" s="1499"/>
      <c r="H303" s="1499"/>
      <c r="I303" s="1499"/>
      <c r="J303" s="1499"/>
      <c r="K303" s="1499"/>
      <c r="L303" s="1499"/>
      <c r="M303" s="1499"/>
      <c r="N303" s="1499"/>
      <c r="O303" s="1499"/>
      <c r="P303" s="1499"/>
      <c r="Q303" s="1499"/>
      <c r="R303" s="1499"/>
      <c r="S303" s="1499"/>
      <c r="T303" s="1499"/>
      <c r="U303" s="1499"/>
      <c r="V303" s="1499"/>
      <c r="W303" s="1499"/>
      <c r="X303" s="1499"/>
      <c r="Y303" s="1499"/>
      <c r="Z303" s="1499"/>
      <c r="AA303" s="1499"/>
      <c r="AB303" s="1499"/>
      <c r="AC303" s="1499"/>
      <c r="AD303" s="1499"/>
      <c r="AE303" s="1499"/>
      <c r="AF303" s="1499"/>
      <c r="AG303" s="1499"/>
    </row>
    <row r="304" spans="1:33" s="584" customFormat="1" ht="14">
      <c r="A304" s="597"/>
      <c r="D304" s="582" t="s">
        <v>1999</v>
      </c>
      <c r="E304" s="909"/>
      <c r="F304" s="909"/>
      <c r="G304" s="909"/>
      <c r="H304" s="909"/>
      <c r="I304" s="909"/>
      <c r="J304" s="909"/>
      <c r="K304" s="909"/>
      <c r="L304" s="909"/>
      <c r="M304" s="909"/>
      <c r="N304" s="909"/>
      <c r="O304" s="909"/>
      <c r="P304" s="909"/>
      <c r="Q304" s="909"/>
      <c r="R304" s="909"/>
      <c r="S304" s="909"/>
      <c r="T304" s="909"/>
      <c r="U304" s="909"/>
      <c r="V304" s="909"/>
      <c r="W304" s="909"/>
      <c r="X304" s="909"/>
      <c r="Y304" s="909"/>
      <c r="Z304" s="909"/>
      <c r="AA304" s="909"/>
      <c r="AB304" s="909"/>
      <c r="AC304" s="909"/>
      <c r="AD304" s="909"/>
      <c r="AE304" s="909"/>
      <c r="AF304" s="909"/>
      <c r="AG304" s="909"/>
    </row>
    <row r="305" spans="1:34" s="584" customFormat="1" ht="14">
      <c r="A305" s="597"/>
      <c r="E305" s="909"/>
      <c r="F305" s="909"/>
      <c r="G305" s="909"/>
      <c r="H305" s="909"/>
      <c r="I305" s="909"/>
      <c r="J305" s="909"/>
      <c r="K305" s="909"/>
      <c r="L305" s="909"/>
      <c r="M305" s="909"/>
      <c r="N305" s="909"/>
      <c r="O305" s="909"/>
      <c r="P305" s="909"/>
      <c r="Q305" s="909"/>
      <c r="R305" s="909"/>
      <c r="S305" s="909"/>
      <c r="T305" s="909"/>
      <c r="U305" s="909"/>
      <c r="V305" s="909"/>
      <c r="W305" s="909"/>
      <c r="X305" s="909"/>
      <c r="Y305" s="909"/>
      <c r="Z305" s="909"/>
      <c r="AA305" s="909"/>
      <c r="AB305" s="909"/>
      <c r="AC305" s="909"/>
      <c r="AD305" s="909"/>
      <c r="AE305" s="909"/>
      <c r="AF305" s="909"/>
      <c r="AG305" s="909"/>
    </row>
    <row r="306" spans="1:34" s="584" customFormat="1" ht="14">
      <c r="A306" s="597"/>
      <c r="D306" s="908" t="s">
        <v>2803</v>
      </c>
      <c r="E306" s="909"/>
      <c r="F306" s="909"/>
      <c r="G306" s="909"/>
      <c r="H306" s="909"/>
      <c r="I306" s="909"/>
      <c r="J306" s="909"/>
      <c r="K306" s="909"/>
      <c r="L306" s="909"/>
      <c r="M306" s="909"/>
      <c r="N306" s="909"/>
      <c r="O306" s="909"/>
      <c r="P306" s="909"/>
      <c r="Q306" s="909"/>
      <c r="R306" s="909"/>
      <c r="S306" s="909"/>
      <c r="T306" s="909"/>
      <c r="U306" s="909"/>
      <c r="V306" s="909"/>
      <c r="W306" s="909"/>
      <c r="X306" s="909"/>
      <c r="Y306" s="909"/>
      <c r="Z306" s="909"/>
      <c r="AA306" s="909"/>
      <c r="AB306" s="909"/>
      <c r="AC306" s="909"/>
      <c r="AD306" s="909"/>
      <c r="AE306" s="909"/>
      <c r="AF306" s="909"/>
      <c r="AG306" s="909"/>
    </row>
    <row r="307" spans="1:34" s="584" customFormat="1" ht="14.5" thickBot="1">
      <c r="A307" s="597"/>
      <c r="D307" s="910"/>
      <c r="E307" s="909"/>
      <c r="F307" s="909"/>
      <c r="G307" s="909"/>
      <c r="H307" s="909"/>
      <c r="I307" s="909"/>
      <c r="J307" s="909"/>
      <c r="K307" s="909"/>
      <c r="L307" s="909"/>
      <c r="M307" s="909"/>
      <c r="N307" s="909"/>
      <c r="O307" s="909"/>
      <c r="P307" s="909"/>
      <c r="Q307" s="909"/>
      <c r="R307" s="909"/>
      <c r="S307" s="909"/>
      <c r="T307" s="909"/>
      <c r="U307" s="909"/>
      <c r="V307" s="909"/>
      <c r="W307" s="909"/>
      <c r="X307" s="909"/>
      <c r="Y307" s="909"/>
      <c r="Z307" s="909"/>
      <c r="AA307" s="909"/>
      <c r="AB307" s="909"/>
      <c r="AC307" s="909"/>
      <c r="AD307" s="909"/>
      <c r="AE307" s="909"/>
      <c r="AF307" s="909"/>
      <c r="AG307" s="909"/>
    </row>
    <row r="308" spans="1:34" s="584" customFormat="1" ht="15.75" customHeight="1" thickBot="1">
      <c r="A308" s="597" t="s">
        <v>1405</v>
      </c>
      <c r="D308" s="1877" t="s">
        <v>1809</v>
      </c>
      <c r="E308" s="1878"/>
      <c r="F308" s="1878"/>
      <c r="G308" s="1881"/>
      <c r="H308" s="1921" t="s">
        <v>1740</v>
      </c>
      <c r="I308" s="1921"/>
      <c r="J308" s="1921"/>
      <c r="K308" s="1921"/>
      <c r="L308" s="1921"/>
      <c r="M308" s="1921"/>
      <c r="N308" s="1921"/>
      <c r="O308" s="1921"/>
      <c r="P308" s="1921"/>
      <c r="Q308" s="1921"/>
      <c r="R308" s="1921"/>
      <c r="S308" s="1921"/>
      <c r="T308" s="1921"/>
      <c r="U308" s="1921"/>
      <c r="V308" s="1921"/>
      <c r="W308" s="1921"/>
      <c r="X308" s="1921"/>
      <c r="Y308" s="1921"/>
      <c r="Z308" s="1921"/>
      <c r="AA308" s="1921"/>
      <c r="AB308" s="1921"/>
      <c r="AC308" s="1921"/>
      <c r="AD308" s="1921"/>
      <c r="AE308" s="1921"/>
      <c r="AF308" s="1921"/>
      <c r="AG308" s="1921"/>
      <c r="AH308" s="1921"/>
    </row>
    <row r="309" spans="1:34" s="584" customFormat="1" ht="55.5" customHeight="1" thickBot="1">
      <c r="A309" s="597"/>
      <c r="D309" s="1879"/>
      <c r="E309" s="1880"/>
      <c r="F309" s="1880"/>
      <c r="G309" s="1882"/>
      <c r="H309" s="1851" t="s">
        <v>1802</v>
      </c>
      <c r="I309" s="1851"/>
      <c r="J309" s="1851"/>
      <c r="K309" s="1851" t="s">
        <v>1766</v>
      </c>
      <c r="L309" s="1851"/>
      <c r="M309" s="1851"/>
      <c r="N309" s="1851" t="s">
        <v>1803</v>
      </c>
      <c r="O309" s="1851"/>
      <c r="P309" s="1851"/>
      <c r="Q309" s="1851" t="s">
        <v>1804</v>
      </c>
      <c r="R309" s="1851"/>
      <c r="S309" s="1851"/>
      <c r="T309" s="1851" t="s">
        <v>1805</v>
      </c>
      <c r="U309" s="1851"/>
      <c r="V309" s="1851"/>
      <c r="W309" s="1851" t="s">
        <v>1806</v>
      </c>
      <c r="X309" s="1851"/>
      <c r="Y309" s="1851"/>
      <c r="Z309" s="1851" t="s">
        <v>1807</v>
      </c>
      <c r="AA309" s="1851"/>
      <c r="AB309" s="1851"/>
      <c r="AC309" s="1851" t="s">
        <v>1808</v>
      </c>
      <c r="AD309" s="1851"/>
      <c r="AE309" s="1851"/>
      <c r="AF309" s="1851" t="s">
        <v>1750</v>
      </c>
      <c r="AG309" s="1851"/>
      <c r="AH309" s="1851"/>
    </row>
    <row r="310" spans="1:34" s="584" customFormat="1" ht="15.75" customHeight="1" thickBot="1">
      <c r="A310" s="597"/>
      <c r="D310" s="1795" t="s">
        <v>1789</v>
      </c>
      <c r="E310" s="1796"/>
      <c r="F310" s="1796"/>
      <c r="G310" s="1796"/>
      <c r="H310" s="1796"/>
      <c r="I310" s="1796"/>
      <c r="J310" s="1796"/>
      <c r="K310" s="1796"/>
      <c r="L310" s="1796"/>
      <c r="M310" s="1796"/>
      <c r="N310" s="1796"/>
      <c r="O310" s="1796"/>
      <c r="P310" s="1796"/>
      <c r="Q310" s="1796"/>
      <c r="R310" s="1796"/>
      <c r="S310" s="1796"/>
      <c r="T310" s="1796"/>
      <c r="U310" s="1796"/>
      <c r="V310" s="1796"/>
      <c r="W310" s="1796"/>
      <c r="X310" s="1796"/>
      <c r="Y310" s="1796"/>
      <c r="Z310" s="1796"/>
      <c r="AA310" s="1796"/>
      <c r="AB310" s="1796"/>
      <c r="AC310" s="1796"/>
      <c r="AD310" s="1796"/>
      <c r="AE310" s="1796"/>
      <c r="AF310" s="1796"/>
      <c r="AG310" s="1796"/>
      <c r="AH310" s="1797"/>
    </row>
    <row r="311" spans="1:34" s="584" customFormat="1" ht="21.75" customHeight="1">
      <c r="A311" s="597"/>
      <c r="D311" s="1922" t="s">
        <v>1790</v>
      </c>
      <c r="E311" s="1922"/>
      <c r="F311" s="1922"/>
      <c r="G311" s="1922"/>
      <c r="H311" s="1923">
        <f>'Notes- SK Template'!H308</f>
        <v>0</v>
      </c>
      <c r="I311" s="1923"/>
      <c r="J311" s="1923"/>
      <c r="K311" s="1830">
        <f>'Notes- SK Template'!K308</f>
        <v>364187</v>
      </c>
      <c r="L311" s="1830"/>
      <c r="M311" s="1830"/>
      <c r="N311" s="1830">
        <f>'Notes- SK Template'!N308</f>
        <v>481014</v>
      </c>
      <c r="O311" s="1830"/>
      <c r="P311" s="1830"/>
      <c r="Q311" s="1830">
        <f>'Notes- SK Template'!Q308</f>
        <v>0</v>
      </c>
      <c r="R311" s="1830"/>
      <c r="S311" s="1830"/>
      <c r="T311" s="1830">
        <f>'Notes- SK Template'!T308</f>
        <v>0</v>
      </c>
      <c r="U311" s="1830"/>
      <c r="V311" s="1830"/>
      <c r="W311" s="1830">
        <f>'Notes- SK Template'!W308</f>
        <v>0</v>
      </c>
      <c r="X311" s="1830"/>
      <c r="Y311" s="1830"/>
      <c r="Z311" s="1830">
        <f>'Notes- SK Template'!Z308</f>
        <v>0</v>
      </c>
      <c r="AA311" s="1830"/>
      <c r="AB311" s="1830"/>
      <c r="AC311" s="1830">
        <f>'Notes- SK Template'!AC308</f>
        <v>0</v>
      </c>
      <c r="AD311" s="1830"/>
      <c r="AE311" s="1830"/>
      <c r="AF311" s="1899">
        <f>'Notes- SK Template'!AF308</f>
        <v>845201</v>
      </c>
      <c r="AG311" s="1899"/>
      <c r="AH311" s="1899"/>
    </row>
    <row r="312" spans="1:34" s="584" customFormat="1" ht="14">
      <c r="A312" s="597"/>
      <c r="D312" s="2571" t="s">
        <v>1791</v>
      </c>
      <c r="E312" s="1789"/>
      <c r="F312" s="1789"/>
      <c r="G312" s="1789"/>
      <c r="H312" s="1790">
        <f>'Notes- SK Template'!H309</f>
        <v>0</v>
      </c>
      <c r="I312" s="1790"/>
      <c r="J312" s="1790"/>
      <c r="K312" s="1791">
        <f>'Notes- SK Template'!K309</f>
        <v>0</v>
      </c>
      <c r="L312" s="1791"/>
      <c r="M312" s="1791"/>
      <c r="N312" s="1791">
        <f>'Notes- SK Template'!N309</f>
        <v>0</v>
      </c>
      <c r="O312" s="1791"/>
      <c r="P312" s="1791"/>
      <c r="Q312" s="1791">
        <f>'Notes- SK Template'!Q309</f>
        <v>0</v>
      </c>
      <c r="R312" s="1791"/>
      <c r="S312" s="1791"/>
      <c r="T312" s="1791">
        <f>'Notes- SK Template'!T309</f>
        <v>0</v>
      </c>
      <c r="U312" s="1791"/>
      <c r="V312" s="1791"/>
      <c r="W312" s="1791">
        <f>'Notes- SK Template'!W309</f>
        <v>0</v>
      </c>
      <c r="X312" s="1791"/>
      <c r="Y312" s="1791"/>
      <c r="Z312" s="1791">
        <f>'Notes- SK Template'!Z309</f>
        <v>54415</v>
      </c>
      <c r="AA312" s="1791"/>
      <c r="AB312" s="1791"/>
      <c r="AC312" s="1791">
        <f>'Notes- SK Template'!AC309</f>
        <v>0</v>
      </c>
      <c r="AD312" s="1791"/>
      <c r="AE312" s="1791"/>
      <c r="AF312" s="1794">
        <f>'Notes- SK Template'!AF309</f>
        <v>54415</v>
      </c>
      <c r="AG312" s="1794"/>
      <c r="AH312" s="1794"/>
    </row>
    <row r="313" spans="1:34" s="584" customFormat="1" ht="14">
      <c r="A313" s="597"/>
      <c r="D313" s="2571" t="s">
        <v>1792</v>
      </c>
      <c r="E313" s="1789"/>
      <c r="F313" s="1789"/>
      <c r="G313" s="1789"/>
      <c r="H313" s="1790">
        <f>'Notes- SK Template'!H310</f>
        <v>0</v>
      </c>
      <c r="I313" s="1790"/>
      <c r="J313" s="1790"/>
      <c r="K313" s="1791">
        <f>'Notes- SK Template'!K310</f>
        <v>0</v>
      </c>
      <c r="L313" s="1791"/>
      <c r="M313" s="1791"/>
      <c r="N313" s="1791">
        <f>'Notes- SK Template'!N310</f>
        <v>0</v>
      </c>
      <c r="O313" s="1791"/>
      <c r="P313" s="1791"/>
      <c r="Q313" s="1791">
        <f>'Notes- SK Template'!Q310</f>
        <v>0</v>
      </c>
      <c r="R313" s="1791"/>
      <c r="S313" s="1791"/>
      <c r="T313" s="1791">
        <f>'Notes- SK Template'!T310</f>
        <v>0</v>
      </c>
      <c r="U313" s="1791"/>
      <c r="V313" s="1791"/>
      <c r="W313" s="1791">
        <f>'Notes- SK Template'!W310</f>
        <v>0</v>
      </c>
      <c r="X313" s="1791"/>
      <c r="Y313" s="1791"/>
      <c r="Z313" s="1791">
        <f>'Notes- SK Template'!Z310</f>
        <v>0</v>
      </c>
      <c r="AA313" s="1791"/>
      <c r="AB313" s="1791"/>
      <c r="AC313" s="1791">
        <f>'Notes- SK Template'!AC310</f>
        <v>0</v>
      </c>
      <c r="AD313" s="1791"/>
      <c r="AE313" s="1791"/>
      <c r="AF313" s="1794">
        <f>'Notes- SK Template'!AF310</f>
        <v>0</v>
      </c>
      <c r="AG313" s="1794"/>
      <c r="AH313" s="1794"/>
    </row>
    <row r="314" spans="1:34" s="584" customFormat="1" ht="14">
      <c r="A314" s="597"/>
      <c r="D314" s="2571" t="s">
        <v>1793</v>
      </c>
      <c r="E314" s="1789"/>
      <c r="F314" s="1789"/>
      <c r="G314" s="1789"/>
      <c r="H314" s="1790">
        <f>'Notes- SK Template'!H311</f>
        <v>0</v>
      </c>
      <c r="I314" s="1790"/>
      <c r="J314" s="1790"/>
      <c r="K314" s="1791">
        <f>'Notes- SK Template'!K311</f>
        <v>10539</v>
      </c>
      <c r="L314" s="1791"/>
      <c r="M314" s="1791"/>
      <c r="N314" s="1791">
        <f>'Notes- SK Template'!N311</f>
        <v>40432</v>
      </c>
      <c r="O314" s="1791"/>
      <c r="P314" s="1791"/>
      <c r="Q314" s="1791">
        <f>'Notes- SK Template'!Q311</f>
        <v>0</v>
      </c>
      <c r="R314" s="1791"/>
      <c r="S314" s="1791"/>
      <c r="T314" s="1791">
        <f>'Notes- SK Template'!T311</f>
        <v>0</v>
      </c>
      <c r="U314" s="1791"/>
      <c r="V314" s="1791"/>
      <c r="W314" s="1791">
        <f>'Notes- SK Template'!W311</f>
        <v>0</v>
      </c>
      <c r="X314" s="1791"/>
      <c r="Y314" s="1791"/>
      <c r="Z314" s="1791">
        <f>'Notes- SK Template'!Z311</f>
        <v>-50971</v>
      </c>
      <c r="AA314" s="1791"/>
      <c r="AB314" s="1791"/>
      <c r="AC314" s="1791">
        <f>'Notes- SK Template'!AC311</f>
        <v>0</v>
      </c>
      <c r="AD314" s="1791"/>
      <c r="AE314" s="1791"/>
      <c r="AF314" s="1794">
        <f>'Notes- SK Template'!AF311</f>
        <v>0</v>
      </c>
      <c r="AG314" s="1794"/>
      <c r="AH314" s="1794"/>
    </row>
    <row r="315" spans="1:34" s="584" customFormat="1" ht="22.5" customHeight="1" thickBot="1">
      <c r="A315" s="597"/>
      <c r="D315" s="1894" t="s">
        <v>1794</v>
      </c>
      <c r="E315" s="1894"/>
      <c r="F315" s="1894"/>
      <c r="G315" s="1894"/>
      <c r="H315" s="1801">
        <f>'Notes- SK Template'!H312</f>
        <v>0</v>
      </c>
      <c r="I315" s="1801"/>
      <c r="J315" s="1801"/>
      <c r="K315" s="1801">
        <f>'Notes- SK Template'!K312</f>
        <v>374726</v>
      </c>
      <c r="L315" s="1801"/>
      <c r="M315" s="1801"/>
      <c r="N315" s="1801">
        <f>'Notes- SK Template'!N312</f>
        <v>521446</v>
      </c>
      <c r="O315" s="1801"/>
      <c r="P315" s="1801"/>
      <c r="Q315" s="1801">
        <f>'Notes- SK Template'!Q312</f>
        <v>0</v>
      </c>
      <c r="R315" s="1801"/>
      <c r="S315" s="1801"/>
      <c r="T315" s="1801">
        <f>'Notes- SK Template'!T312</f>
        <v>0</v>
      </c>
      <c r="U315" s="1801"/>
      <c r="V315" s="1801"/>
      <c r="W315" s="1801">
        <f>'Notes- SK Template'!W312</f>
        <v>0</v>
      </c>
      <c r="X315" s="1801"/>
      <c r="Y315" s="1801"/>
      <c r="Z315" s="1801">
        <f>'Notes- SK Template'!Z312</f>
        <v>3444</v>
      </c>
      <c r="AA315" s="1801"/>
      <c r="AB315" s="1801"/>
      <c r="AC315" s="1801">
        <f>'Notes- SK Template'!AC312</f>
        <v>0</v>
      </c>
      <c r="AD315" s="1801"/>
      <c r="AE315" s="1801"/>
      <c r="AF315" s="1801">
        <f>'Notes- SK Template'!AF312</f>
        <v>899616</v>
      </c>
      <c r="AG315" s="1801"/>
      <c r="AH315" s="1801"/>
    </row>
    <row r="316" spans="1:34" s="584" customFormat="1" ht="15.75" customHeight="1" thickBot="1">
      <c r="A316" s="597"/>
      <c r="D316" s="2672" t="s">
        <v>1795</v>
      </c>
      <c r="E316" s="1796"/>
      <c r="F316" s="1796"/>
      <c r="G316" s="1796"/>
      <c r="H316" s="1796"/>
      <c r="I316" s="1796"/>
      <c r="J316" s="1796"/>
      <c r="K316" s="1796"/>
      <c r="L316" s="1796"/>
      <c r="M316" s="1796"/>
      <c r="N316" s="1796"/>
      <c r="O316" s="1796"/>
      <c r="P316" s="1796"/>
      <c r="Q316" s="1796"/>
      <c r="R316" s="1796"/>
      <c r="S316" s="1796"/>
      <c r="T316" s="1796"/>
      <c r="U316" s="1796"/>
      <c r="V316" s="1796"/>
      <c r="W316" s="1796"/>
      <c r="X316" s="1796"/>
      <c r="Y316" s="1796"/>
      <c r="Z316" s="1796"/>
      <c r="AA316" s="1796"/>
      <c r="AB316" s="1796"/>
      <c r="AC316" s="1796"/>
      <c r="AD316" s="1796"/>
      <c r="AE316" s="1796"/>
      <c r="AF316" s="1796"/>
      <c r="AG316" s="1796"/>
      <c r="AH316" s="1797"/>
    </row>
    <row r="317" spans="1:34" s="584" customFormat="1" ht="22.5" customHeight="1">
      <c r="A317" s="597"/>
      <c r="D317" s="1922" t="s">
        <v>1790</v>
      </c>
      <c r="E317" s="1922"/>
      <c r="F317" s="1922"/>
      <c r="G317" s="1922"/>
      <c r="H317" s="1923">
        <f>'Notes- SK Template'!H314</f>
        <v>0</v>
      </c>
      <c r="I317" s="1923"/>
      <c r="J317" s="1923"/>
      <c r="K317" s="1830">
        <f>'Notes- SK Template'!K314</f>
        <v>5947</v>
      </c>
      <c r="L317" s="1830"/>
      <c r="M317" s="1830"/>
      <c r="N317" s="1830">
        <f>'Notes- SK Template'!N314</f>
        <v>333398</v>
      </c>
      <c r="O317" s="1830"/>
      <c r="P317" s="1830"/>
      <c r="Q317" s="1830">
        <f>'Notes- SK Template'!Q314</f>
        <v>0</v>
      </c>
      <c r="R317" s="1830"/>
      <c r="S317" s="1830"/>
      <c r="T317" s="1830">
        <f>'Notes- SK Template'!T314</f>
        <v>0</v>
      </c>
      <c r="U317" s="1830"/>
      <c r="V317" s="1830"/>
      <c r="W317" s="1830">
        <f>'Notes- SK Template'!W314</f>
        <v>0</v>
      </c>
      <c r="X317" s="1830"/>
      <c r="Y317" s="1830"/>
      <c r="Z317" s="1830">
        <f>'Notes- SK Template'!Z314</f>
        <v>0</v>
      </c>
      <c r="AA317" s="1830"/>
      <c r="AB317" s="1830"/>
      <c r="AC317" s="1830">
        <f>'Notes- SK Template'!AC314</f>
        <v>0</v>
      </c>
      <c r="AD317" s="1830"/>
      <c r="AE317" s="1830"/>
      <c r="AF317" s="1899">
        <f>'Notes- SK Template'!AF314</f>
        <v>339345</v>
      </c>
      <c r="AG317" s="1899"/>
      <c r="AH317" s="1899"/>
    </row>
    <row r="318" spans="1:34" s="584" customFormat="1" ht="14">
      <c r="A318" s="597"/>
      <c r="D318" s="1789" t="s">
        <v>1791</v>
      </c>
      <c r="E318" s="1789"/>
      <c r="F318" s="1789"/>
      <c r="G318" s="1789"/>
      <c r="H318" s="1790">
        <f>'Notes- SK Template'!H315</f>
        <v>0</v>
      </c>
      <c r="I318" s="1790"/>
      <c r="J318" s="1790"/>
      <c r="K318" s="1791">
        <f>'Notes- SK Template'!K315</f>
        <v>37140</v>
      </c>
      <c r="L318" s="1791"/>
      <c r="M318" s="1791"/>
      <c r="N318" s="1791">
        <f>'Notes- SK Template'!N315</f>
        <v>68575</v>
      </c>
      <c r="O318" s="1791"/>
      <c r="P318" s="1791"/>
      <c r="Q318" s="1791">
        <f>'Notes- SK Template'!Q315</f>
        <v>0</v>
      </c>
      <c r="R318" s="1791"/>
      <c r="S318" s="1791"/>
      <c r="T318" s="1791">
        <f>'Notes- SK Template'!T315</f>
        <v>0</v>
      </c>
      <c r="U318" s="1791"/>
      <c r="V318" s="1791"/>
      <c r="W318" s="1791">
        <f>'Notes- SK Template'!W315</f>
        <v>0</v>
      </c>
      <c r="X318" s="1791"/>
      <c r="Y318" s="1791"/>
      <c r="Z318" s="1791">
        <f>'Notes- SK Template'!Z315</f>
        <v>0</v>
      </c>
      <c r="AA318" s="1791"/>
      <c r="AB318" s="1791"/>
      <c r="AC318" s="1791">
        <f>'Notes- SK Template'!AC315</f>
        <v>0</v>
      </c>
      <c r="AD318" s="1791"/>
      <c r="AE318" s="1791"/>
      <c r="AF318" s="1794">
        <f>'Notes- SK Template'!AF315</f>
        <v>105715</v>
      </c>
      <c r="AG318" s="1794"/>
      <c r="AH318" s="1794"/>
    </row>
    <row r="319" spans="1:34" s="584" customFormat="1" ht="14">
      <c r="A319" s="597"/>
      <c r="D319" s="1789" t="s">
        <v>1792</v>
      </c>
      <c r="E319" s="1789"/>
      <c r="F319" s="1789"/>
      <c r="G319" s="1789"/>
      <c r="H319" s="1790">
        <f>'Notes- SK Template'!H316</f>
        <v>0</v>
      </c>
      <c r="I319" s="1790"/>
      <c r="J319" s="1790"/>
      <c r="K319" s="1791">
        <f>'Notes- SK Template'!K316</f>
        <v>0</v>
      </c>
      <c r="L319" s="1791"/>
      <c r="M319" s="1791"/>
      <c r="N319" s="1791">
        <f>'Notes- SK Template'!N316</f>
        <v>0</v>
      </c>
      <c r="O319" s="1791"/>
      <c r="P319" s="1791"/>
      <c r="Q319" s="1791">
        <f>'Notes- SK Template'!Q316</f>
        <v>0</v>
      </c>
      <c r="R319" s="1791"/>
      <c r="S319" s="1791"/>
      <c r="T319" s="1791">
        <f>'Notes- SK Template'!T316</f>
        <v>0</v>
      </c>
      <c r="U319" s="1791"/>
      <c r="V319" s="1791"/>
      <c r="W319" s="1791">
        <f>'Notes- SK Template'!W316</f>
        <v>0</v>
      </c>
      <c r="X319" s="1791"/>
      <c r="Y319" s="1791"/>
      <c r="Z319" s="1791">
        <f>'Notes- SK Template'!Z316</f>
        <v>0</v>
      </c>
      <c r="AA319" s="1791"/>
      <c r="AB319" s="1791"/>
      <c r="AC319" s="1791">
        <f>'Notes- SK Template'!AC316</f>
        <v>0</v>
      </c>
      <c r="AD319" s="1791"/>
      <c r="AE319" s="1791"/>
      <c r="AF319" s="1794">
        <f>'Notes- SK Template'!AF316</f>
        <v>0</v>
      </c>
      <c r="AG319" s="1794"/>
      <c r="AH319" s="1794"/>
    </row>
    <row r="320" spans="1:34" s="584" customFormat="1" ht="14">
      <c r="A320" s="597"/>
      <c r="D320" s="2571" t="s">
        <v>1793</v>
      </c>
      <c r="E320" s="1789"/>
      <c r="F320" s="1789"/>
      <c r="G320" s="1789"/>
      <c r="H320" s="1790">
        <f>'Notes- SK Template'!H317</f>
        <v>0</v>
      </c>
      <c r="I320" s="1790"/>
      <c r="J320" s="1790"/>
      <c r="K320" s="1791">
        <f>'Notes- SK Template'!K317</f>
        <v>0</v>
      </c>
      <c r="L320" s="1791"/>
      <c r="M320" s="1791"/>
      <c r="N320" s="1791">
        <f>'Notes- SK Template'!N317</f>
        <v>0</v>
      </c>
      <c r="O320" s="1791"/>
      <c r="P320" s="1791"/>
      <c r="Q320" s="1791">
        <f>'Notes- SK Template'!Q317</f>
        <v>0</v>
      </c>
      <c r="R320" s="1791"/>
      <c r="S320" s="1791"/>
      <c r="T320" s="1791">
        <f>'Notes- SK Template'!T317</f>
        <v>0</v>
      </c>
      <c r="U320" s="1791"/>
      <c r="V320" s="1791"/>
      <c r="W320" s="1791">
        <f>'Notes- SK Template'!W317</f>
        <v>0</v>
      </c>
      <c r="X320" s="1791"/>
      <c r="Y320" s="1791"/>
      <c r="Z320" s="1791">
        <f>'Notes- SK Template'!Z317</f>
        <v>0</v>
      </c>
      <c r="AA320" s="1791"/>
      <c r="AB320" s="1791"/>
      <c r="AC320" s="1791">
        <f>'Notes- SK Template'!AC317</f>
        <v>0</v>
      </c>
      <c r="AD320" s="1791"/>
      <c r="AE320" s="1791"/>
      <c r="AF320" s="1794">
        <f>'Notes- SK Template'!AF317</f>
        <v>0</v>
      </c>
      <c r="AG320" s="1794"/>
      <c r="AH320" s="1794"/>
    </row>
    <row r="321" spans="1:34" s="584" customFormat="1" ht="22.5" customHeight="1" thickBot="1">
      <c r="A321" s="597"/>
      <c r="D321" s="1894" t="s">
        <v>1794</v>
      </c>
      <c r="E321" s="1894"/>
      <c r="F321" s="1894"/>
      <c r="G321" s="1894"/>
      <c r="H321" s="1801">
        <f>'Notes- SK Template'!H318</f>
        <v>0</v>
      </c>
      <c r="I321" s="1801"/>
      <c r="J321" s="1801"/>
      <c r="K321" s="1801">
        <f>'Notes- SK Template'!K318</f>
        <v>43087</v>
      </c>
      <c r="L321" s="1801"/>
      <c r="M321" s="1801"/>
      <c r="N321" s="1801">
        <f>'Notes- SK Template'!N318</f>
        <v>401973</v>
      </c>
      <c r="O321" s="1801"/>
      <c r="P321" s="1801"/>
      <c r="Q321" s="1801">
        <f>'Notes- SK Template'!Q318</f>
        <v>0</v>
      </c>
      <c r="R321" s="1801"/>
      <c r="S321" s="1801"/>
      <c r="T321" s="1801">
        <f>'Notes- SK Template'!T318</f>
        <v>0</v>
      </c>
      <c r="U321" s="1801"/>
      <c r="V321" s="1801"/>
      <c r="W321" s="1801">
        <f>'Notes- SK Template'!W318</f>
        <v>0</v>
      </c>
      <c r="X321" s="1801"/>
      <c r="Y321" s="1801"/>
      <c r="Z321" s="1801">
        <f>'Notes- SK Template'!Z318</f>
        <v>0</v>
      </c>
      <c r="AA321" s="1801"/>
      <c r="AB321" s="1801"/>
      <c r="AC321" s="1801">
        <f>'Notes- SK Template'!AC318</f>
        <v>0</v>
      </c>
      <c r="AD321" s="1801"/>
      <c r="AE321" s="1801"/>
      <c r="AF321" s="1801">
        <f>'Notes- SK Template'!AF318</f>
        <v>445060</v>
      </c>
      <c r="AG321" s="1801"/>
      <c r="AH321" s="1801"/>
    </row>
    <row r="322" spans="1:34" s="584" customFormat="1" ht="15.75" customHeight="1" thickBot="1">
      <c r="A322" s="597"/>
      <c r="D322" s="2672" t="s">
        <v>1796</v>
      </c>
      <c r="E322" s="1796"/>
      <c r="F322" s="1796"/>
      <c r="G322" s="1796"/>
      <c r="H322" s="1796"/>
      <c r="I322" s="1796"/>
      <c r="J322" s="1796"/>
      <c r="K322" s="1796"/>
      <c r="L322" s="1796"/>
      <c r="M322" s="1796"/>
      <c r="N322" s="1796"/>
      <c r="O322" s="1796"/>
      <c r="P322" s="1796"/>
      <c r="Q322" s="1796"/>
      <c r="R322" s="1796"/>
      <c r="S322" s="1796"/>
      <c r="T322" s="1796"/>
      <c r="U322" s="1796"/>
      <c r="V322" s="1796"/>
      <c r="W322" s="1796"/>
      <c r="X322" s="1796"/>
      <c r="Y322" s="1796"/>
      <c r="Z322" s="1796"/>
      <c r="AA322" s="1796"/>
      <c r="AB322" s="1796"/>
      <c r="AC322" s="1796"/>
      <c r="AD322" s="1796"/>
      <c r="AE322" s="1796"/>
      <c r="AF322" s="1796"/>
      <c r="AG322" s="1796"/>
      <c r="AH322" s="1797"/>
    </row>
    <row r="323" spans="1:34" s="584" customFormat="1" ht="22.5" customHeight="1">
      <c r="A323" s="597"/>
      <c r="D323" s="1922" t="s">
        <v>1790</v>
      </c>
      <c r="E323" s="1922"/>
      <c r="F323" s="1922"/>
      <c r="G323" s="1922"/>
      <c r="H323" s="1923">
        <f>'Notes- SK Template'!H320</f>
        <v>0</v>
      </c>
      <c r="I323" s="1923"/>
      <c r="J323" s="1923"/>
      <c r="K323" s="1830">
        <f>'Notes- SK Template'!K320</f>
        <v>0</v>
      </c>
      <c r="L323" s="1830"/>
      <c r="M323" s="1830"/>
      <c r="N323" s="1830">
        <f>'Notes- SK Template'!N320</f>
        <v>0</v>
      </c>
      <c r="O323" s="1830"/>
      <c r="P323" s="1830"/>
      <c r="Q323" s="1830">
        <f>'Notes- SK Template'!Q320</f>
        <v>0</v>
      </c>
      <c r="R323" s="1830"/>
      <c r="S323" s="1830"/>
      <c r="T323" s="1830">
        <f>'Notes- SK Template'!T320</f>
        <v>0</v>
      </c>
      <c r="U323" s="1830"/>
      <c r="V323" s="1830"/>
      <c r="W323" s="1830">
        <f>'Notes- SK Template'!W320</f>
        <v>0</v>
      </c>
      <c r="X323" s="1830"/>
      <c r="Y323" s="1830"/>
      <c r="Z323" s="1830">
        <f>'Notes- SK Template'!Z320</f>
        <v>0</v>
      </c>
      <c r="AA323" s="1830"/>
      <c r="AB323" s="1830"/>
      <c r="AC323" s="1830">
        <f>'Notes- SK Template'!AC320</f>
        <v>0</v>
      </c>
      <c r="AD323" s="1830"/>
      <c r="AE323" s="1830"/>
      <c r="AF323" s="1899">
        <f>'Notes- SK Template'!AF320</f>
        <v>0</v>
      </c>
      <c r="AG323" s="1899"/>
      <c r="AH323" s="1899"/>
    </row>
    <row r="324" spans="1:34" s="584" customFormat="1" ht="15" customHeight="1">
      <c r="A324" s="597"/>
      <c r="D324" s="1789" t="s">
        <v>1791</v>
      </c>
      <c r="E324" s="1789"/>
      <c r="F324" s="1789"/>
      <c r="G324" s="1789"/>
      <c r="H324" s="1790">
        <f>'Notes- SK Template'!H321</f>
        <v>0</v>
      </c>
      <c r="I324" s="1790"/>
      <c r="J324" s="1790"/>
      <c r="K324" s="1791">
        <f>'Notes- SK Template'!K321</f>
        <v>0</v>
      </c>
      <c r="L324" s="1791"/>
      <c r="M324" s="1791"/>
      <c r="N324" s="1791">
        <f>'Notes- SK Template'!N321</f>
        <v>0</v>
      </c>
      <c r="O324" s="1791"/>
      <c r="P324" s="1791"/>
      <c r="Q324" s="1791">
        <f>'Notes- SK Template'!Q321</f>
        <v>0</v>
      </c>
      <c r="R324" s="1791"/>
      <c r="S324" s="1791"/>
      <c r="T324" s="1791">
        <f>'Notes- SK Template'!T321</f>
        <v>0</v>
      </c>
      <c r="U324" s="1791"/>
      <c r="V324" s="1791"/>
      <c r="W324" s="1791">
        <f>'Notes- SK Template'!W321</f>
        <v>0</v>
      </c>
      <c r="X324" s="1791"/>
      <c r="Y324" s="1791"/>
      <c r="Z324" s="1791">
        <f>'Notes- SK Template'!Z321</f>
        <v>0</v>
      </c>
      <c r="AA324" s="1791"/>
      <c r="AB324" s="1791"/>
      <c r="AC324" s="1791">
        <f>'Notes- SK Template'!AC321</f>
        <v>0</v>
      </c>
      <c r="AD324" s="1791"/>
      <c r="AE324" s="1791"/>
      <c r="AF324" s="1794">
        <f>'Notes- SK Template'!AF321</f>
        <v>0</v>
      </c>
      <c r="AG324" s="1794"/>
      <c r="AH324" s="1794"/>
    </row>
    <row r="325" spans="1:34" s="584" customFormat="1" ht="15" customHeight="1">
      <c r="A325" s="597"/>
      <c r="D325" s="1789" t="s">
        <v>1792</v>
      </c>
      <c r="E325" s="1789"/>
      <c r="F325" s="1789"/>
      <c r="G325" s="1789"/>
      <c r="H325" s="1790">
        <f>'Notes- SK Template'!H322</f>
        <v>0</v>
      </c>
      <c r="I325" s="1790"/>
      <c r="J325" s="1790"/>
      <c r="K325" s="1791">
        <f>'Notes- SK Template'!K322</f>
        <v>0</v>
      </c>
      <c r="L325" s="1791"/>
      <c r="M325" s="1791"/>
      <c r="N325" s="1791">
        <f>'Notes- SK Template'!N322</f>
        <v>0</v>
      </c>
      <c r="O325" s="1791"/>
      <c r="P325" s="1791"/>
      <c r="Q325" s="1791">
        <f>'Notes- SK Template'!Q322</f>
        <v>0</v>
      </c>
      <c r="R325" s="1791"/>
      <c r="S325" s="1791"/>
      <c r="T325" s="1791">
        <f>'Notes- SK Template'!T322</f>
        <v>0</v>
      </c>
      <c r="U325" s="1791"/>
      <c r="V325" s="1791"/>
      <c r="W325" s="1791">
        <f>'Notes- SK Template'!W322</f>
        <v>0</v>
      </c>
      <c r="X325" s="1791"/>
      <c r="Y325" s="1791"/>
      <c r="Z325" s="1791">
        <f>'Notes- SK Template'!Z322</f>
        <v>0</v>
      </c>
      <c r="AA325" s="1791"/>
      <c r="AB325" s="1791"/>
      <c r="AC325" s="1791">
        <f>'Notes- SK Template'!AC322</f>
        <v>0</v>
      </c>
      <c r="AD325" s="1791"/>
      <c r="AE325" s="1791"/>
      <c r="AF325" s="1794">
        <f>'Notes- SK Template'!AF322</f>
        <v>0</v>
      </c>
      <c r="AG325" s="1794"/>
      <c r="AH325" s="1794"/>
    </row>
    <row r="326" spans="1:34" s="584" customFormat="1" ht="14">
      <c r="A326" s="597"/>
      <c r="D326" s="2571" t="s">
        <v>1793</v>
      </c>
      <c r="E326" s="1789"/>
      <c r="F326" s="1789"/>
      <c r="G326" s="1789"/>
      <c r="H326" s="1790">
        <f>'Notes- SK Template'!H323</f>
        <v>0</v>
      </c>
      <c r="I326" s="1790"/>
      <c r="J326" s="1790"/>
      <c r="K326" s="1791">
        <f>'Notes- SK Template'!K323</f>
        <v>0</v>
      </c>
      <c r="L326" s="1791"/>
      <c r="M326" s="1791"/>
      <c r="N326" s="1791">
        <f>'Notes- SK Template'!N323</f>
        <v>0</v>
      </c>
      <c r="O326" s="1791"/>
      <c r="P326" s="1791"/>
      <c r="Q326" s="1791">
        <f>'Notes- SK Template'!Q323</f>
        <v>0</v>
      </c>
      <c r="R326" s="1791"/>
      <c r="S326" s="1791"/>
      <c r="T326" s="1791">
        <f>'Notes- SK Template'!T323</f>
        <v>0</v>
      </c>
      <c r="U326" s="1791"/>
      <c r="V326" s="1791"/>
      <c r="W326" s="1791">
        <f>'Notes- SK Template'!W323</f>
        <v>0</v>
      </c>
      <c r="X326" s="1791"/>
      <c r="Y326" s="1791"/>
      <c r="Z326" s="1791">
        <f>'Notes- SK Template'!Z323</f>
        <v>0</v>
      </c>
      <c r="AA326" s="1791"/>
      <c r="AB326" s="1791"/>
      <c r="AC326" s="1791">
        <f>'Notes- SK Template'!AC323</f>
        <v>0</v>
      </c>
      <c r="AD326" s="1791"/>
      <c r="AE326" s="1791"/>
      <c r="AF326" s="1794">
        <f>'Notes- SK Template'!AF323</f>
        <v>0</v>
      </c>
      <c r="AG326" s="1794"/>
      <c r="AH326" s="1794"/>
    </row>
    <row r="327" spans="1:34" s="584" customFormat="1" ht="22.5" customHeight="1" thickBot="1">
      <c r="A327" s="597"/>
      <c r="D327" s="1894" t="s">
        <v>1794</v>
      </c>
      <c r="E327" s="1894"/>
      <c r="F327" s="1894"/>
      <c r="G327" s="1894"/>
      <c r="H327" s="1801">
        <f>'Notes- SK Template'!H324</f>
        <v>0</v>
      </c>
      <c r="I327" s="1801"/>
      <c r="J327" s="1801"/>
      <c r="K327" s="1801">
        <f>'Notes- SK Template'!K324</f>
        <v>0</v>
      </c>
      <c r="L327" s="1801"/>
      <c r="M327" s="1801"/>
      <c r="N327" s="1801">
        <f>'Notes- SK Template'!N324</f>
        <v>0</v>
      </c>
      <c r="O327" s="1801"/>
      <c r="P327" s="1801"/>
      <c r="Q327" s="1801">
        <f>'Notes- SK Template'!Q324</f>
        <v>0</v>
      </c>
      <c r="R327" s="1801"/>
      <c r="S327" s="1801"/>
      <c r="T327" s="1801">
        <f>'Notes- SK Template'!T324</f>
        <v>0</v>
      </c>
      <c r="U327" s="1801"/>
      <c r="V327" s="1801"/>
      <c r="W327" s="1801">
        <f>'Notes- SK Template'!W324</f>
        <v>0</v>
      </c>
      <c r="X327" s="1801"/>
      <c r="Y327" s="1801"/>
      <c r="Z327" s="1801">
        <f>'Notes- SK Template'!Z324</f>
        <v>0</v>
      </c>
      <c r="AA327" s="1801"/>
      <c r="AB327" s="1801"/>
      <c r="AC327" s="1801">
        <f>'Notes- SK Template'!AC324</f>
        <v>0</v>
      </c>
      <c r="AD327" s="1801"/>
      <c r="AE327" s="1801"/>
      <c r="AF327" s="1801">
        <f>'Notes- SK Template'!AF324</f>
        <v>0</v>
      </c>
      <c r="AG327" s="1801"/>
      <c r="AH327" s="1801"/>
    </row>
    <row r="328" spans="1:34" s="584" customFormat="1" ht="15.75" customHeight="1" thickBot="1">
      <c r="A328" s="597"/>
      <c r="D328" s="2672" t="s">
        <v>1797</v>
      </c>
      <c r="E328" s="1796"/>
      <c r="F328" s="1796"/>
      <c r="G328" s="1796"/>
      <c r="H328" s="1796"/>
      <c r="I328" s="1796"/>
      <c r="J328" s="1796"/>
      <c r="K328" s="1796"/>
      <c r="L328" s="1796"/>
      <c r="M328" s="1796"/>
      <c r="N328" s="1796"/>
      <c r="O328" s="1796"/>
      <c r="P328" s="1796"/>
      <c r="Q328" s="1796"/>
      <c r="R328" s="1796"/>
      <c r="S328" s="1796"/>
      <c r="T328" s="1796"/>
      <c r="U328" s="1796"/>
      <c r="V328" s="1796"/>
      <c r="W328" s="1796"/>
      <c r="X328" s="1796"/>
      <c r="Y328" s="1796"/>
      <c r="Z328" s="1796"/>
      <c r="AA328" s="1796"/>
      <c r="AB328" s="1796"/>
      <c r="AC328" s="1796"/>
      <c r="AD328" s="1796"/>
      <c r="AE328" s="1796"/>
      <c r="AF328" s="1796"/>
      <c r="AG328" s="1796"/>
      <c r="AH328" s="1797"/>
    </row>
    <row r="329" spans="1:34" s="584" customFormat="1" ht="22.5" customHeight="1">
      <c r="A329" s="597"/>
      <c r="D329" s="1802" t="s">
        <v>1790</v>
      </c>
      <c r="E329" s="1802"/>
      <c r="F329" s="1802"/>
      <c r="G329" s="1802"/>
      <c r="H329" s="1803">
        <f>'Notes- SK Template'!H326</f>
        <v>0</v>
      </c>
      <c r="I329" s="1803"/>
      <c r="J329" s="1803"/>
      <c r="K329" s="1803">
        <f>'Notes- SK Template'!K326</f>
        <v>358240</v>
      </c>
      <c r="L329" s="1803"/>
      <c r="M329" s="1803"/>
      <c r="N329" s="1803">
        <f>'Notes- SK Template'!N326</f>
        <v>147616</v>
      </c>
      <c r="O329" s="1803"/>
      <c r="P329" s="1803"/>
      <c r="Q329" s="1803">
        <f>'Notes- SK Template'!Q326</f>
        <v>0</v>
      </c>
      <c r="R329" s="1803"/>
      <c r="S329" s="1803"/>
      <c r="T329" s="1803">
        <f>'Notes- SK Template'!T326</f>
        <v>0</v>
      </c>
      <c r="U329" s="1803"/>
      <c r="V329" s="1803"/>
      <c r="W329" s="1803">
        <f>'Notes- SK Template'!W326</f>
        <v>0</v>
      </c>
      <c r="X329" s="1803"/>
      <c r="Y329" s="1803"/>
      <c r="Z329" s="1803">
        <f>'Notes- SK Template'!Z326</f>
        <v>0</v>
      </c>
      <c r="AA329" s="1803"/>
      <c r="AB329" s="1803"/>
      <c r="AC329" s="1803">
        <f>'Notes- SK Template'!AC326</f>
        <v>0</v>
      </c>
      <c r="AD329" s="1803"/>
      <c r="AE329" s="1803"/>
      <c r="AF329" s="1803">
        <f>'Notes- SK Template'!AF326</f>
        <v>505856</v>
      </c>
      <c r="AG329" s="1803"/>
      <c r="AH329" s="1803"/>
    </row>
    <row r="330" spans="1:34" s="584" customFormat="1" ht="22.5" customHeight="1" thickBot="1">
      <c r="A330" s="597"/>
      <c r="D330" s="1894" t="s">
        <v>1794</v>
      </c>
      <c r="E330" s="1894"/>
      <c r="F330" s="1894"/>
      <c r="G330" s="1894"/>
      <c r="H330" s="1801">
        <f>'Notes- SK Template'!H327</f>
        <v>0</v>
      </c>
      <c r="I330" s="1801"/>
      <c r="J330" s="1801"/>
      <c r="K330" s="1801">
        <f>'Notes- SK Template'!K327</f>
        <v>331639</v>
      </c>
      <c r="L330" s="1801"/>
      <c r="M330" s="1801"/>
      <c r="N330" s="1801">
        <f>'Notes- SK Template'!N327</f>
        <v>119473</v>
      </c>
      <c r="O330" s="1801"/>
      <c r="P330" s="1801"/>
      <c r="Q330" s="1801">
        <f>'Notes- SK Template'!Q327</f>
        <v>0</v>
      </c>
      <c r="R330" s="1801"/>
      <c r="S330" s="1801"/>
      <c r="T330" s="1801">
        <f>'Notes- SK Template'!T327</f>
        <v>0</v>
      </c>
      <c r="U330" s="1801"/>
      <c r="V330" s="1801"/>
      <c r="W330" s="1801">
        <f>'Notes- SK Template'!W327</f>
        <v>0</v>
      </c>
      <c r="X330" s="1801"/>
      <c r="Y330" s="1801"/>
      <c r="Z330" s="1801">
        <f>'Notes- SK Template'!Z327</f>
        <v>3444</v>
      </c>
      <c r="AA330" s="1801"/>
      <c r="AB330" s="1801"/>
      <c r="AC330" s="1801">
        <f>'Notes- SK Template'!AC327</f>
        <v>0</v>
      </c>
      <c r="AD330" s="1801"/>
      <c r="AE330" s="1801"/>
      <c r="AF330" s="1801">
        <f>'Notes- SK Template'!AF327</f>
        <v>454556</v>
      </c>
      <c r="AG330" s="1801"/>
      <c r="AH330" s="1801"/>
    </row>
    <row r="331" spans="1:34" s="584" customFormat="1" ht="14">
      <c r="A331" s="597"/>
      <c r="D331" s="910"/>
      <c r="E331" s="909"/>
      <c r="F331" s="909"/>
      <c r="G331" s="909"/>
      <c r="H331" s="909"/>
      <c r="I331" s="909"/>
      <c r="J331" s="909"/>
      <c r="K331" s="909"/>
      <c r="L331" s="909"/>
      <c r="M331" s="909"/>
      <c r="N331" s="909"/>
      <c r="O331" s="909"/>
      <c r="P331" s="909"/>
      <c r="Q331" s="909"/>
      <c r="R331" s="909"/>
      <c r="S331" s="909"/>
      <c r="T331" s="909"/>
      <c r="U331" s="909"/>
      <c r="V331" s="909"/>
      <c r="W331" s="909"/>
      <c r="X331" s="909"/>
      <c r="Y331" s="909"/>
      <c r="Z331" s="909"/>
      <c r="AA331" s="909"/>
      <c r="AB331" s="909"/>
      <c r="AC331" s="909"/>
      <c r="AD331" s="909"/>
      <c r="AE331" s="909"/>
      <c r="AF331" s="909"/>
      <c r="AG331" s="909"/>
    </row>
    <row r="332" spans="1:34" s="584" customFormat="1" ht="14.5" thickBot="1">
      <c r="A332" s="597"/>
      <c r="D332" s="910"/>
      <c r="E332" s="909"/>
      <c r="F332" s="909"/>
      <c r="G332" s="909"/>
      <c r="H332" s="909"/>
      <c r="I332" s="909"/>
      <c r="J332" s="909"/>
      <c r="K332" s="909"/>
      <c r="L332" s="909"/>
      <c r="M332" s="909"/>
      <c r="N332" s="909"/>
      <c r="O332" s="909"/>
      <c r="P332" s="909"/>
      <c r="Q332" s="909"/>
      <c r="R332" s="909"/>
      <c r="S332" s="909"/>
      <c r="T332" s="909"/>
      <c r="U332" s="909"/>
      <c r="V332" s="909"/>
      <c r="W332" s="909"/>
      <c r="X332" s="909"/>
      <c r="Y332" s="909"/>
      <c r="Z332" s="909"/>
      <c r="AA332" s="909"/>
      <c r="AB332" s="909"/>
      <c r="AC332" s="909"/>
      <c r="AD332" s="909"/>
      <c r="AE332" s="909"/>
      <c r="AF332" s="909"/>
      <c r="AG332" s="909"/>
    </row>
    <row r="333" spans="1:34" s="584" customFormat="1" ht="15" customHeight="1" thickBot="1">
      <c r="A333" s="597" t="s">
        <v>1407</v>
      </c>
      <c r="D333" s="1877" t="s">
        <v>1809</v>
      </c>
      <c r="E333" s="1878"/>
      <c r="F333" s="1878"/>
      <c r="G333" s="1881"/>
      <c r="H333" s="1921" t="s">
        <v>1798</v>
      </c>
      <c r="I333" s="1921"/>
      <c r="J333" s="1921"/>
      <c r="K333" s="1921"/>
      <c r="L333" s="1921"/>
      <c r="M333" s="1921"/>
      <c r="N333" s="1921"/>
      <c r="O333" s="1921"/>
      <c r="P333" s="1921"/>
      <c r="Q333" s="1921"/>
      <c r="R333" s="1921"/>
      <c r="S333" s="1921"/>
      <c r="T333" s="1921"/>
      <c r="U333" s="1921"/>
      <c r="V333" s="1921"/>
      <c r="W333" s="1921"/>
      <c r="X333" s="1921"/>
      <c r="Y333" s="1921"/>
      <c r="Z333" s="1921"/>
      <c r="AA333" s="1921"/>
      <c r="AB333" s="1921"/>
      <c r="AC333" s="1921"/>
      <c r="AD333" s="1921"/>
      <c r="AE333" s="1921"/>
      <c r="AF333" s="1921"/>
      <c r="AG333" s="1921"/>
      <c r="AH333" s="1921"/>
    </row>
    <row r="334" spans="1:34" s="584" customFormat="1" ht="55.5" customHeight="1" thickBot="1">
      <c r="A334" s="597"/>
      <c r="D334" s="1879"/>
      <c r="E334" s="1880"/>
      <c r="F334" s="1880"/>
      <c r="G334" s="1882"/>
      <c r="H334" s="1851" t="s">
        <v>1802</v>
      </c>
      <c r="I334" s="1851"/>
      <c r="J334" s="1851"/>
      <c r="K334" s="1851" t="s">
        <v>1766</v>
      </c>
      <c r="L334" s="1851"/>
      <c r="M334" s="1851"/>
      <c r="N334" s="1851" t="s">
        <v>1803</v>
      </c>
      <c r="O334" s="1851"/>
      <c r="P334" s="1851"/>
      <c r="Q334" s="1851" t="s">
        <v>1804</v>
      </c>
      <c r="R334" s="1851"/>
      <c r="S334" s="1851"/>
      <c r="T334" s="1851" t="s">
        <v>1805</v>
      </c>
      <c r="U334" s="1851"/>
      <c r="V334" s="1851"/>
      <c r="W334" s="1851" t="s">
        <v>1806</v>
      </c>
      <c r="X334" s="1851"/>
      <c r="Y334" s="1851"/>
      <c r="Z334" s="1851" t="s">
        <v>1807</v>
      </c>
      <c r="AA334" s="1851"/>
      <c r="AB334" s="1851"/>
      <c r="AC334" s="1851" t="s">
        <v>1808</v>
      </c>
      <c r="AD334" s="1851"/>
      <c r="AE334" s="1851"/>
      <c r="AF334" s="1851" t="s">
        <v>1750</v>
      </c>
      <c r="AG334" s="1851"/>
      <c r="AH334" s="1851"/>
    </row>
    <row r="335" spans="1:34" s="584" customFormat="1" ht="14.5" thickBot="1">
      <c r="A335" s="597"/>
      <c r="D335" s="1795" t="s">
        <v>1789</v>
      </c>
      <c r="E335" s="1796"/>
      <c r="F335" s="1796"/>
      <c r="G335" s="1796"/>
      <c r="H335" s="1796"/>
      <c r="I335" s="1796"/>
      <c r="J335" s="1796"/>
      <c r="K335" s="1796"/>
      <c r="L335" s="1796"/>
      <c r="M335" s="1796"/>
      <c r="N335" s="1796"/>
      <c r="O335" s="1796"/>
      <c r="P335" s="1796"/>
      <c r="Q335" s="1796"/>
      <c r="R335" s="1796"/>
      <c r="S335" s="1796"/>
      <c r="T335" s="1796"/>
      <c r="U335" s="1796"/>
      <c r="V335" s="1796"/>
      <c r="W335" s="1796"/>
      <c r="X335" s="1796"/>
      <c r="Y335" s="1796"/>
      <c r="Z335" s="1796"/>
      <c r="AA335" s="1796"/>
      <c r="AB335" s="1796"/>
      <c r="AC335" s="1796"/>
      <c r="AD335" s="1796"/>
      <c r="AE335" s="1796"/>
      <c r="AF335" s="1796"/>
      <c r="AG335" s="1796"/>
      <c r="AH335" s="1797"/>
    </row>
    <row r="336" spans="1:34" s="584" customFormat="1" ht="22.5" customHeight="1">
      <c r="A336" s="597"/>
      <c r="D336" s="1922" t="s">
        <v>1790</v>
      </c>
      <c r="E336" s="1922"/>
      <c r="F336" s="1922"/>
      <c r="G336" s="1922"/>
      <c r="H336" s="1923">
        <f>'Notes- SK Template'!H333</f>
        <v>0</v>
      </c>
      <c r="I336" s="1923"/>
      <c r="J336" s="1923"/>
      <c r="K336" s="1830">
        <f>'Notes- SK Template'!K333</f>
        <v>0</v>
      </c>
      <c r="L336" s="1830"/>
      <c r="M336" s="1830"/>
      <c r="N336" s="1830">
        <f>'Notes- SK Template'!N333</f>
        <v>505875</v>
      </c>
      <c r="O336" s="1830"/>
      <c r="P336" s="1830"/>
      <c r="Q336" s="1830">
        <f>'Notes- SK Template'!Q333</f>
        <v>0</v>
      </c>
      <c r="R336" s="1830"/>
      <c r="S336" s="1830"/>
      <c r="T336" s="1830">
        <f>'Notes- SK Template'!T333</f>
        <v>0</v>
      </c>
      <c r="U336" s="1830"/>
      <c r="V336" s="1830"/>
      <c r="W336" s="1830">
        <f>'Notes- SK Template'!W333</f>
        <v>0</v>
      </c>
      <c r="X336" s="1830"/>
      <c r="Y336" s="1830"/>
      <c r="Z336" s="1830">
        <f>'Notes- SK Template'!Z333</f>
        <v>0</v>
      </c>
      <c r="AA336" s="1830"/>
      <c r="AB336" s="1830"/>
      <c r="AC336" s="1830">
        <f>'Notes- SK Template'!AC333</f>
        <v>0</v>
      </c>
      <c r="AD336" s="1830"/>
      <c r="AE336" s="1830"/>
      <c r="AF336" s="1899">
        <f>'Notes- SK Template'!AF333</f>
        <v>505875</v>
      </c>
      <c r="AG336" s="1899"/>
      <c r="AH336" s="1899"/>
    </row>
    <row r="337" spans="1:34" s="584" customFormat="1" ht="14">
      <c r="A337" s="597"/>
      <c r="D337" s="2571" t="s">
        <v>1791</v>
      </c>
      <c r="E337" s="1789"/>
      <c r="F337" s="1789"/>
      <c r="G337" s="1789"/>
      <c r="H337" s="1790">
        <f>'Notes- SK Template'!H334</f>
        <v>0</v>
      </c>
      <c r="I337" s="1790"/>
      <c r="J337" s="1790"/>
      <c r="K337" s="1791">
        <f>'Notes- SK Template'!K334</f>
        <v>0</v>
      </c>
      <c r="L337" s="1791"/>
      <c r="M337" s="1791"/>
      <c r="N337" s="1791">
        <f>'Notes- SK Template'!N334</f>
        <v>0</v>
      </c>
      <c r="O337" s="1791"/>
      <c r="P337" s="1791"/>
      <c r="Q337" s="1791">
        <f>'Notes- SK Template'!Q334</f>
        <v>0</v>
      </c>
      <c r="R337" s="1791"/>
      <c r="S337" s="1791"/>
      <c r="T337" s="1791">
        <f>'Notes- SK Template'!T334</f>
        <v>0</v>
      </c>
      <c r="U337" s="1791"/>
      <c r="V337" s="1791"/>
      <c r="W337" s="1791">
        <f>'Notes- SK Template'!W334</f>
        <v>0</v>
      </c>
      <c r="X337" s="1791"/>
      <c r="Y337" s="1791"/>
      <c r="Z337" s="1791">
        <f>'Notes- SK Template'!Z334</f>
        <v>406211</v>
      </c>
      <c r="AA337" s="1791"/>
      <c r="AB337" s="1791"/>
      <c r="AC337" s="1791">
        <f>'Notes- SK Template'!AC334</f>
        <v>0</v>
      </c>
      <c r="AD337" s="1791"/>
      <c r="AE337" s="1791"/>
      <c r="AF337" s="1794">
        <f>'Notes- SK Template'!AF334</f>
        <v>406211</v>
      </c>
      <c r="AG337" s="1794"/>
      <c r="AH337" s="1794"/>
    </row>
    <row r="338" spans="1:34" s="584" customFormat="1" ht="14">
      <c r="A338" s="597"/>
      <c r="D338" s="2571" t="s">
        <v>1792</v>
      </c>
      <c r="E338" s="1789"/>
      <c r="F338" s="1789"/>
      <c r="G338" s="1789"/>
      <c r="H338" s="1790">
        <f>'Notes- SK Template'!H335</f>
        <v>0</v>
      </c>
      <c r="I338" s="1790"/>
      <c r="J338" s="1790"/>
      <c r="K338" s="1791">
        <f>'Notes- SK Template'!K335</f>
        <v>0</v>
      </c>
      <c r="L338" s="1791"/>
      <c r="M338" s="1791"/>
      <c r="N338" s="1791">
        <f>'Notes- SK Template'!N335</f>
        <v>66885</v>
      </c>
      <c r="O338" s="1791"/>
      <c r="P338" s="1791"/>
      <c r="Q338" s="1791">
        <f>'Notes- SK Template'!Q335</f>
        <v>0</v>
      </c>
      <c r="R338" s="1791"/>
      <c r="S338" s="1791"/>
      <c r="T338" s="1791">
        <f>'Notes- SK Template'!T335</f>
        <v>0</v>
      </c>
      <c r="U338" s="1791"/>
      <c r="V338" s="1791"/>
      <c r="W338" s="1791">
        <f>'Notes- SK Template'!W335</f>
        <v>0</v>
      </c>
      <c r="X338" s="1791"/>
      <c r="Y338" s="1791"/>
      <c r="Z338" s="1791">
        <f>'Notes- SK Template'!Z335</f>
        <v>0</v>
      </c>
      <c r="AA338" s="1791"/>
      <c r="AB338" s="1791"/>
      <c r="AC338" s="1791">
        <f>'Notes- SK Template'!AC335</f>
        <v>0</v>
      </c>
      <c r="AD338" s="1791"/>
      <c r="AE338" s="1791"/>
      <c r="AF338" s="1794">
        <f>'Notes- SK Template'!AF335</f>
        <v>66885</v>
      </c>
      <c r="AG338" s="1794"/>
      <c r="AH338" s="1794"/>
    </row>
    <row r="339" spans="1:34" s="584" customFormat="1" ht="14">
      <c r="A339" s="597"/>
      <c r="D339" s="2571" t="s">
        <v>1793</v>
      </c>
      <c r="E339" s="1789"/>
      <c r="F339" s="1789"/>
      <c r="G339" s="1789"/>
      <c r="H339" s="1790">
        <f>'Notes- SK Template'!H336</f>
        <v>0</v>
      </c>
      <c r="I339" s="1790"/>
      <c r="J339" s="1790"/>
      <c r="K339" s="1791">
        <f>'Notes- SK Template'!K336</f>
        <v>364187</v>
      </c>
      <c r="L339" s="1791"/>
      <c r="M339" s="1791"/>
      <c r="N339" s="1791">
        <f>'Notes- SK Template'!N336</f>
        <v>42024</v>
      </c>
      <c r="O339" s="1791"/>
      <c r="P339" s="1791"/>
      <c r="Q339" s="1791">
        <f>'Notes- SK Template'!Q336</f>
        <v>0</v>
      </c>
      <c r="R339" s="1791"/>
      <c r="S339" s="1791"/>
      <c r="T339" s="1791">
        <f>'Notes- SK Template'!T336</f>
        <v>0</v>
      </c>
      <c r="U339" s="1791"/>
      <c r="V339" s="1791"/>
      <c r="W339" s="1791">
        <f>'Notes- SK Template'!W336</f>
        <v>0</v>
      </c>
      <c r="X339" s="1791"/>
      <c r="Y339" s="1791"/>
      <c r="Z339" s="1791">
        <f>'Notes- SK Template'!Z336</f>
        <v>-406211</v>
      </c>
      <c r="AA339" s="1791"/>
      <c r="AB339" s="1791"/>
      <c r="AC339" s="1791">
        <f>'Notes- SK Template'!AC336</f>
        <v>0</v>
      </c>
      <c r="AD339" s="1791"/>
      <c r="AE339" s="1791"/>
      <c r="AF339" s="1794">
        <f>'Notes- SK Template'!AF336</f>
        <v>0</v>
      </c>
      <c r="AG339" s="1794"/>
      <c r="AH339" s="1794"/>
    </row>
    <row r="340" spans="1:34" s="584" customFormat="1" ht="22.5" customHeight="1" thickBot="1">
      <c r="A340" s="597"/>
      <c r="D340" s="1894" t="s">
        <v>1794</v>
      </c>
      <c r="E340" s="1894"/>
      <c r="F340" s="1894"/>
      <c r="G340" s="1894"/>
      <c r="H340" s="1801">
        <f>'Notes- SK Template'!H337</f>
        <v>0</v>
      </c>
      <c r="I340" s="1801"/>
      <c r="J340" s="1801"/>
      <c r="K340" s="1801">
        <f>'Notes- SK Template'!K337</f>
        <v>364187</v>
      </c>
      <c r="L340" s="1801"/>
      <c r="M340" s="1801"/>
      <c r="N340" s="1801">
        <f>'Notes- SK Template'!N337</f>
        <v>481014</v>
      </c>
      <c r="O340" s="1801"/>
      <c r="P340" s="1801"/>
      <c r="Q340" s="1801">
        <f>'Notes- SK Template'!Q337</f>
        <v>0</v>
      </c>
      <c r="R340" s="1801"/>
      <c r="S340" s="1801"/>
      <c r="T340" s="1801">
        <f>'Notes- SK Template'!T337</f>
        <v>0</v>
      </c>
      <c r="U340" s="1801"/>
      <c r="V340" s="1801"/>
      <c r="W340" s="1801">
        <f>'Notes- SK Template'!W337</f>
        <v>0</v>
      </c>
      <c r="X340" s="1801"/>
      <c r="Y340" s="1801"/>
      <c r="Z340" s="1801">
        <f>'Notes- SK Template'!Z337</f>
        <v>0</v>
      </c>
      <c r="AA340" s="1801"/>
      <c r="AB340" s="1801"/>
      <c r="AC340" s="1801">
        <f>'Notes- SK Template'!AC337</f>
        <v>0</v>
      </c>
      <c r="AD340" s="1801"/>
      <c r="AE340" s="1801"/>
      <c r="AF340" s="1801">
        <f>'Notes- SK Template'!AF337</f>
        <v>845201</v>
      </c>
      <c r="AG340" s="1801"/>
      <c r="AH340" s="1801"/>
    </row>
    <row r="341" spans="1:34" s="584" customFormat="1" ht="14.5" thickBot="1">
      <c r="A341" s="597"/>
      <c r="D341" s="2672" t="s">
        <v>1795</v>
      </c>
      <c r="E341" s="1796"/>
      <c r="F341" s="1796"/>
      <c r="G341" s="1796"/>
      <c r="H341" s="1796"/>
      <c r="I341" s="1796"/>
      <c r="J341" s="1796"/>
      <c r="K341" s="1796"/>
      <c r="L341" s="1796"/>
      <c r="M341" s="1796"/>
      <c r="N341" s="1796"/>
      <c r="O341" s="1796"/>
      <c r="P341" s="1796"/>
      <c r="Q341" s="1796"/>
      <c r="R341" s="1796"/>
      <c r="S341" s="1796"/>
      <c r="T341" s="1796"/>
      <c r="U341" s="1796"/>
      <c r="V341" s="1796"/>
      <c r="W341" s="1796"/>
      <c r="X341" s="1796"/>
      <c r="Y341" s="1796"/>
      <c r="Z341" s="1796"/>
      <c r="AA341" s="1796"/>
      <c r="AB341" s="1796"/>
      <c r="AC341" s="1796"/>
      <c r="AD341" s="1796"/>
      <c r="AE341" s="1796"/>
      <c r="AF341" s="1796"/>
      <c r="AG341" s="1796"/>
      <c r="AH341" s="1797"/>
    </row>
    <row r="342" spans="1:34" s="584" customFormat="1" ht="22.5" customHeight="1">
      <c r="A342" s="597"/>
      <c r="D342" s="1922" t="s">
        <v>1790</v>
      </c>
      <c r="E342" s="1922"/>
      <c r="F342" s="1922"/>
      <c r="G342" s="1922"/>
      <c r="H342" s="1923">
        <f>'Notes- SK Template'!H339</f>
        <v>0</v>
      </c>
      <c r="I342" s="1923"/>
      <c r="J342" s="1923"/>
      <c r="K342" s="1830">
        <f>'Notes- SK Template'!K339</f>
        <v>0</v>
      </c>
      <c r="L342" s="1830"/>
      <c r="M342" s="1830"/>
      <c r="N342" s="1830">
        <f>'Notes- SK Template'!N339</f>
        <v>323716</v>
      </c>
      <c r="O342" s="1830"/>
      <c r="P342" s="1830"/>
      <c r="Q342" s="1830">
        <f>'Notes- SK Template'!Q339</f>
        <v>0</v>
      </c>
      <c r="R342" s="1830"/>
      <c r="S342" s="1830"/>
      <c r="T342" s="1830">
        <f>'Notes- SK Template'!T339</f>
        <v>0</v>
      </c>
      <c r="U342" s="1830"/>
      <c r="V342" s="1830"/>
      <c r="W342" s="1830">
        <f>'Notes- SK Template'!W339</f>
        <v>0</v>
      </c>
      <c r="X342" s="1830"/>
      <c r="Y342" s="1830"/>
      <c r="Z342" s="1830">
        <f>'Notes- SK Template'!Z339</f>
        <v>0</v>
      </c>
      <c r="AA342" s="1830"/>
      <c r="AB342" s="1830"/>
      <c r="AC342" s="1830">
        <f>'Notes- SK Template'!AC339</f>
        <v>0</v>
      </c>
      <c r="AD342" s="1830"/>
      <c r="AE342" s="1830"/>
      <c r="AF342" s="1899">
        <f>'Notes- SK Template'!AF339</f>
        <v>323716</v>
      </c>
      <c r="AG342" s="1899"/>
      <c r="AH342" s="1899"/>
    </row>
    <row r="343" spans="1:34" s="584" customFormat="1" ht="14">
      <c r="A343" s="597"/>
      <c r="D343" s="1789" t="s">
        <v>1791</v>
      </c>
      <c r="E343" s="1789"/>
      <c r="F343" s="1789"/>
      <c r="G343" s="1789"/>
      <c r="H343" s="1790">
        <f>'Notes- SK Template'!H340</f>
        <v>0</v>
      </c>
      <c r="I343" s="1790"/>
      <c r="J343" s="1790"/>
      <c r="K343" s="1791">
        <f>'Notes- SK Template'!K340</f>
        <v>5947</v>
      </c>
      <c r="L343" s="1791"/>
      <c r="M343" s="1791"/>
      <c r="N343" s="1791">
        <f>'Notes- SK Template'!N340</f>
        <v>76567</v>
      </c>
      <c r="O343" s="1791"/>
      <c r="P343" s="1791"/>
      <c r="Q343" s="1791">
        <f>'Notes- SK Template'!Q340</f>
        <v>0</v>
      </c>
      <c r="R343" s="1791"/>
      <c r="S343" s="1791"/>
      <c r="T343" s="1791">
        <f>'Notes- SK Template'!T340</f>
        <v>0</v>
      </c>
      <c r="U343" s="1791"/>
      <c r="V343" s="1791"/>
      <c r="W343" s="1791">
        <f>'Notes- SK Template'!W340</f>
        <v>0</v>
      </c>
      <c r="X343" s="1791"/>
      <c r="Y343" s="1791"/>
      <c r="Z343" s="1791">
        <f>'Notes- SK Template'!Z340</f>
        <v>0</v>
      </c>
      <c r="AA343" s="1791"/>
      <c r="AB343" s="1791"/>
      <c r="AC343" s="1791">
        <f>'Notes- SK Template'!AC340</f>
        <v>0</v>
      </c>
      <c r="AD343" s="1791"/>
      <c r="AE343" s="1791"/>
      <c r="AF343" s="1794">
        <f>'Notes- SK Template'!AF340</f>
        <v>82514</v>
      </c>
      <c r="AG343" s="1794"/>
      <c r="AH343" s="1794"/>
    </row>
    <row r="344" spans="1:34" s="584" customFormat="1" ht="14">
      <c r="A344" s="597"/>
      <c r="D344" s="1789" t="s">
        <v>1792</v>
      </c>
      <c r="E344" s="1789"/>
      <c r="F344" s="1789"/>
      <c r="G344" s="1789"/>
      <c r="H344" s="1790">
        <f>'Notes- SK Template'!H341</f>
        <v>0</v>
      </c>
      <c r="I344" s="1790"/>
      <c r="J344" s="1790"/>
      <c r="K344" s="1791">
        <f>'Notes- SK Template'!K341</f>
        <v>0</v>
      </c>
      <c r="L344" s="1791"/>
      <c r="M344" s="1791"/>
      <c r="N344" s="1791">
        <f>'Notes- SK Template'!N341</f>
        <v>66885</v>
      </c>
      <c r="O344" s="1791"/>
      <c r="P344" s="1791"/>
      <c r="Q344" s="1791">
        <f>'Notes- SK Template'!Q341</f>
        <v>0</v>
      </c>
      <c r="R344" s="1791"/>
      <c r="S344" s="1791"/>
      <c r="T344" s="1791">
        <f>'Notes- SK Template'!T341</f>
        <v>0</v>
      </c>
      <c r="U344" s="1791"/>
      <c r="V344" s="1791"/>
      <c r="W344" s="1791">
        <f>'Notes- SK Template'!W341</f>
        <v>0</v>
      </c>
      <c r="X344" s="1791"/>
      <c r="Y344" s="1791"/>
      <c r="Z344" s="1791">
        <f>'Notes- SK Template'!Z341</f>
        <v>0</v>
      </c>
      <c r="AA344" s="1791"/>
      <c r="AB344" s="1791"/>
      <c r="AC344" s="1791">
        <f>'Notes- SK Template'!AC341</f>
        <v>0</v>
      </c>
      <c r="AD344" s="1791"/>
      <c r="AE344" s="1791"/>
      <c r="AF344" s="1794">
        <f>'Notes- SK Template'!AF341</f>
        <v>66885</v>
      </c>
      <c r="AG344" s="1794"/>
      <c r="AH344" s="1794"/>
    </row>
    <row r="345" spans="1:34" s="584" customFormat="1" ht="14">
      <c r="A345" s="597"/>
      <c r="D345" s="2571" t="s">
        <v>1793</v>
      </c>
      <c r="E345" s="1789"/>
      <c r="F345" s="1789"/>
      <c r="G345" s="1789"/>
      <c r="H345" s="1790">
        <f>'Notes- SK Template'!H342</f>
        <v>0</v>
      </c>
      <c r="I345" s="1790"/>
      <c r="J345" s="1790"/>
      <c r="K345" s="1791">
        <f>'Notes- SK Template'!K342</f>
        <v>0</v>
      </c>
      <c r="L345" s="1791"/>
      <c r="M345" s="1791"/>
      <c r="N345" s="1791">
        <f>'Notes- SK Template'!N342</f>
        <v>0</v>
      </c>
      <c r="O345" s="1791"/>
      <c r="P345" s="1791"/>
      <c r="Q345" s="1791">
        <f>'Notes- SK Template'!Q342</f>
        <v>0</v>
      </c>
      <c r="R345" s="1791"/>
      <c r="S345" s="1791"/>
      <c r="T345" s="1791">
        <f>'Notes- SK Template'!T342</f>
        <v>0</v>
      </c>
      <c r="U345" s="1791"/>
      <c r="V345" s="1791"/>
      <c r="W345" s="1791">
        <f>'Notes- SK Template'!W342</f>
        <v>0</v>
      </c>
      <c r="X345" s="1791"/>
      <c r="Y345" s="1791"/>
      <c r="Z345" s="1791">
        <f>'Notes- SK Template'!Z342</f>
        <v>0</v>
      </c>
      <c r="AA345" s="1791"/>
      <c r="AB345" s="1791"/>
      <c r="AC345" s="1791">
        <f>'Notes- SK Template'!AC342</f>
        <v>0</v>
      </c>
      <c r="AD345" s="1791"/>
      <c r="AE345" s="1791"/>
      <c r="AF345" s="1794">
        <f>'Notes- SK Template'!AF342</f>
        <v>0</v>
      </c>
      <c r="AG345" s="1794"/>
      <c r="AH345" s="1794"/>
    </row>
    <row r="346" spans="1:34" s="584" customFormat="1" ht="22.5" customHeight="1" thickBot="1">
      <c r="A346" s="597"/>
      <c r="D346" s="1894" t="s">
        <v>1794</v>
      </c>
      <c r="E346" s="1894"/>
      <c r="F346" s="1894"/>
      <c r="G346" s="1894"/>
      <c r="H346" s="1801">
        <f>'Notes- SK Template'!H343</f>
        <v>0</v>
      </c>
      <c r="I346" s="1801"/>
      <c r="J346" s="1801"/>
      <c r="K346" s="1801">
        <f>'Notes- SK Template'!K343</f>
        <v>5947</v>
      </c>
      <c r="L346" s="1801"/>
      <c r="M346" s="1801"/>
      <c r="N346" s="1801">
        <f>'Notes- SK Template'!N343</f>
        <v>333398</v>
      </c>
      <c r="O346" s="1801"/>
      <c r="P346" s="1801"/>
      <c r="Q346" s="1801">
        <f>'Notes- SK Template'!Q343</f>
        <v>0</v>
      </c>
      <c r="R346" s="1801"/>
      <c r="S346" s="1801"/>
      <c r="T346" s="1801">
        <f>'Notes- SK Template'!T343</f>
        <v>0</v>
      </c>
      <c r="U346" s="1801"/>
      <c r="V346" s="1801"/>
      <c r="W346" s="1801">
        <f>'Notes- SK Template'!W343</f>
        <v>0</v>
      </c>
      <c r="X346" s="1801"/>
      <c r="Y346" s="1801"/>
      <c r="Z346" s="1801">
        <f>'Notes- SK Template'!Z343</f>
        <v>0</v>
      </c>
      <c r="AA346" s="1801"/>
      <c r="AB346" s="1801"/>
      <c r="AC346" s="1801">
        <f>'Notes- SK Template'!AC343</f>
        <v>0</v>
      </c>
      <c r="AD346" s="1801"/>
      <c r="AE346" s="1801"/>
      <c r="AF346" s="1801">
        <f>'Notes- SK Template'!AF343</f>
        <v>339345</v>
      </c>
      <c r="AG346" s="1801"/>
      <c r="AH346" s="1801"/>
    </row>
    <row r="347" spans="1:34" s="584" customFormat="1" ht="14.5" thickBot="1">
      <c r="A347" s="597"/>
      <c r="D347" s="2672" t="s">
        <v>1796</v>
      </c>
      <c r="E347" s="1796"/>
      <c r="F347" s="1796"/>
      <c r="G347" s="1796"/>
      <c r="H347" s="1796"/>
      <c r="I347" s="1796"/>
      <c r="J347" s="1796"/>
      <c r="K347" s="1796"/>
      <c r="L347" s="1796"/>
      <c r="M347" s="1796"/>
      <c r="N347" s="1796"/>
      <c r="O347" s="1796"/>
      <c r="P347" s="1796"/>
      <c r="Q347" s="1796"/>
      <c r="R347" s="1796"/>
      <c r="S347" s="1796"/>
      <c r="T347" s="1796"/>
      <c r="U347" s="1796"/>
      <c r="V347" s="1796"/>
      <c r="W347" s="1796"/>
      <c r="X347" s="1796"/>
      <c r="Y347" s="1796"/>
      <c r="Z347" s="1796"/>
      <c r="AA347" s="1796"/>
      <c r="AB347" s="1796"/>
      <c r="AC347" s="1796"/>
      <c r="AD347" s="1796"/>
      <c r="AE347" s="1796"/>
      <c r="AF347" s="1796"/>
      <c r="AG347" s="1796"/>
      <c r="AH347" s="1797"/>
    </row>
    <row r="348" spans="1:34" s="584" customFormat="1" ht="22.5" customHeight="1">
      <c r="A348" s="597"/>
      <c r="D348" s="1922" t="s">
        <v>1790</v>
      </c>
      <c r="E348" s="1922"/>
      <c r="F348" s="1922"/>
      <c r="G348" s="1922"/>
      <c r="H348" s="1923">
        <f>'Notes- SK Template'!H345</f>
        <v>0</v>
      </c>
      <c r="I348" s="1923"/>
      <c r="J348" s="1923"/>
      <c r="K348" s="1830">
        <f>'Notes- SK Template'!K345</f>
        <v>0</v>
      </c>
      <c r="L348" s="1830"/>
      <c r="M348" s="1830"/>
      <c r="N348" s="1830">
        <f>'Notes- SK Template'!N345</f>
        <v>0</v>
      </c>
      <c r="O348" s="1830"/>
      <c r="P348" s="1830"/>
      <c r="Q348" s="1830">
        <f>'Notes- SK Template'!Q345</f>
        <v>0</v>
      </c>
      <c r="R348" s="1830"/>
      <c r="S348" s="1830"/>
      <c r="T348" s="1830">
        <f>'Notes- SK Template'!T345</f>
        <v>0</v>
      </c>
      <c r="U348" s="1830"/>
      <c r="V348" s="1830"/>
      <c r="W348" s="1830">
        <f>'Notes- SK Template'!W345</f>
        <v>0</v>
      </c>
      <c r="X348" s="1830"/>
      <c r="Y348" s="1830"/>
      <c r="Z348" s="1830">
        <f>'Notes- SK Template'!Z345</f>
        <v>0</v>
      </c>
      <c r="AA348" s="1830"/>
      <c r="AB348" s="1830"/>
      <c r="AC348" s="1830">
        <f>'Notes- SK Template'!AC345</f>
        <v>0</v>
      </c>
      <c r="AD348" s="1830"/>
      <c r="AE348" s="1830"/>
      <c r="AF348" s="1899">
        <f>'Notes- SK Template'!AF345</f>
        <v>0</v>
      </c>
      <c r="AG348" s="1899"/>
      <c r="AH348" s="1899"/>
    </row>
    <row r="349" spans="1:34" s="584" customFormat="1" ht="14">
      <c r="A349" s="597"/>
      <c r="D349" s="1789" t="s">
        <v>1791</v>
      </c>
      <c r="E349" s="1789"/>
      <c r="F349" s="1789"/>
      <c r="G349" s="1789"/>
      <c r="H349" s="1790">
        <f>'Notes- SK Template'!H346</f>
        <v>0</v>
      </c>
      <c r="I349" s="1790"/>
      <c r="J349" s="1790"/>
      <c r="K349" s="1791">
        <f>'Notes- SK Template'!K346</f>
        <v>0</v>
      </c>
      <c r="L349" s="1791"/>
      <c r="M349" s="1791"/>
      <c r="N349" s="1791">
        <f>'Notes- SK Template'!N346</f>
        <v>0</v>
      </c>
      <c r="O349" s="1791"/>
      <c r="P349" s="1791"/>
      <c r="Q349" s="1791">
        <f>'Notes- SK Template'!Q346</f>
        <v>0</v>
      </c>
      <c r="R349" s="1791"/>
      <c r="S349" s="1791"/>
      <c r="T349" s="1791">
        <f>'Notes- SK Template'!T346</f>
        <v>0</v>
      </c>
      <c r="U349" s="1791"/>
      <c r="V349" s="1791"/>
      <c r="W349" s="1791">
        <f>'Notes- SK Template'!W346</f>
        <v>0</v>
      </c>
      <c r="X349" s="1791"/>
      <c r="Y349" s="1791"/>
      <c r="Z349" s="1791">
        <f>'Notes- SK Template'!Z346</f>
        <v>0</v>
      </c>
      <c r="AA349" s="1791"/>
      <c r="AB349" s="1791"/>
      <c r="AC349" s="1791">
        <f>'Notes- SK Template'!AC346</f>
        <v>0</v>
      </c>
      <c r="AD349" s="1791"/>
      <c r="AE349" s="1791"/>
      <c r="AF349" s="1794">
        <f>'Notes- SK Template'!AF346</f>
        <v>0</v>
      </c>
      <c r="AG349" s="1794"/>
      <c r="AH349" s="1794"/>
    </row>
    <row r="350" spans="1:34" s="584" customFormat="1" ht="14">
      <c r="A350" s="597"/>
      <c r="D350" s="1789" t="s">
        <v>1792</v>
      </c>
      <c r="E350" s="1789"/>
      <c r="F350" s="1789"/>
      <c r="G350" s="1789"/>
      <c r="H350" s="1790">
        <f>'Notes- SK Template'!H347</f>
        <v>0</v>
      </c>
      <c r="I350" s="1790"/>
      <c r="J350" s="1790"/>
      <c r="K350" s="1791">
        <f>'Notes- SK Template'!K347</f>
        <v>0</v>
      </c>
      <c r="L350" s="1791"/>
      <c r="M350" s="1791"/>
      <c r="N350" s="1791">
        <f>'Notes- SK Template'!N347</f>
        <v>0</v>
      </c>
      <c r="O350" s="1791"/>
      <c r="P350" s="1791"/>
      <c r="Q350" s="1791">
        <f>'Notes- SK Template'!Q347</f>
        <v>0</v>
      </c>
      <c r="R350" s="1791"/>
      <c r="S350" s="1791"/>
      <c r="T350" s="1791">
        <f>'Notes- SK Template'!T347</f>
        <v>0</v>
      </c>
      <c r="U350" s="1791"/>
      <c r="V350" s="1791"/>
      <c r="W350" s="1791">
        <f>'Notes- SK Template'!W347</f>
        <v>0</v>
      </c>
      <c r="X350" s="1791"/>
      <c r="Y350" s="1791"/>
      <c r="Z350" s="1791">
        <f>'Notes- SK Template'!Z347</f>
        <v>0</v>
      </c>
      <c r="AA350" s="1791"/>
      <c r="AB350" s="1791"/>
      <c r="AC350" s="1791">
        <f>'Notes- SK Template'!AC347</f>
        <v>0</v>
      </c>
      <c r="AD350" s="1791"/>
      <c r="AE350" s="1791"/>
      <c r="AF350" s="1794">
        <f>'Notes- SK Template'!AF347</f>
        <v>0</v>
      </c>
      <c r="AG350" s="1794"/>
      <c r="AH350" s="1794"/>
    </row>
    <row r="351" spans="1:34" s="584" customFormat="1" ht="14">
      <c r="A351" s="597"/>
      <c r="D351" s="2571" t="s">
        <v>1793</v>
      </c>
      <c r="E351" s="1789"/>
      <c r="F351" s="1789"/>
      <c r="G351" s="1789"/>
      <c r="H351" s="1790">
        <f>'Notes- SK Template'!H348</f>
        <v>0</v>
      </c>
      <c r="I351" s="1790"/>
      <c r="J351" s="1790"/>
      <c r="K351" s="1791">
        <f>'Notes- SK Template'!K348</f>
        <v>0</v>
      </c>
      <c r="L351" s="1791"/>
      <c r="M351" s="1791"/>
      <c r="N351" s="1791">
        <f>'Notes- SK Template'!N348</f>
        <v>0</v>
      </c>
      <c r="O351" s="1791"/>
      <c r="P351" s="1791"/>
      <c r="Q351" s="1791">
        <f>'Notes- SK Template'!Q348</f>
        <v>0</v>
      </c>
      <c r="R351" s="1791"/>
      <c r="S351" s="1791"/>
      <c r="T351" s="1791">
        <f>'Notes- SK Template'!T348</f>
        <v>0</v>
      </c>
      <c r="U351" s="1791"/>
      <c r="V351" s="1791"/>
      <c r="W351" s="1791">
        <f>'Notes- SK Template'!W348</f>
        <v>0</v>
      </c>
      <c r="X351" s="1791"/>
      <c r="Y351" s="1791"/>
      <c r="Z351" s="1791">
        <f>'Notes- SK Template'!Z348</f>
        <v>0</v>
      </c>
      <c r="AA351" s="1791"/>
      <c r="AB351" s="1791"/>
      <c r="AC351" s="1791">
        <f>'Notes- SK Template'!AC348</f>
        <v>0</v>
      </c>
      <c r="AD351" s="1791"/>
      <c r="AE351" s="1791"/>
      <c r="AF351" s="1794">
        <f>'Notes- SK Template'!AF348</f>
        <v>0</v>
      </c>
      <c r="AG351" s="1794"/>
      <c r="AH351" s="1794"/>
    </row>
    <row r="352" spans="1:34" s="584" customFormat="1" ht="22.5" customHeight="1" thickBot="1">
      <c r="A352" s="597"/>
      <c r="D352" s="1894" t="s">
        <v>1794</v>
      </c>
      <c r="E352" s="1894"/>
      <c r="F352" s="1894"/>
      <c r="G352" s="1894"/>
      <c r="H352" s="1801">
        <f>'Notes- SK Template'!H349</f>
        <v>0</v>
      </c>
      <c r="I352" s="1801"/>
      <c r="J352" s="1801"/>
      <c r="K352" s="1801">
        <f>'Notes- SK Template'!K349</f>
        <v>0</v>
      </c>
      <c r="L352" s="1801"/>
      <c r="M352" s="1801"/>
      <c r="N352" s="1801">
        <f>'Notes- SK Template'!N349</f>
        <v>0</v>
      </c>
      <c r="O352" s="1801"/>
      <c r="P352" s="1801"/>
      <c r="Q352" s="1801">
        <f>'Notes- SK Template'!Q349</f>
        <v>0</v>
      </c>
      <c r="R352" s="1801"/>
      <c r="S352" s="1801"/>
      <c r="T352" s="1801">
        <f>'Notes- SK Template'!T349</f>
        <v>0</v>
      </c>
      <c r="U352" s="1801"/>
      <c r="V352" s="1801"/>
      <c r="W352" s="1801">
        <f>'Notes- SK Template'!W349</f>
        <v>0</v>
      </c>
      <c r="X352" s="1801"/>
      <c r="Y352" s="1801"/>
      <c r="Z352" s="1801">
        <f>'Notes- SK Template'!Z349</f>
        <v>0</v>
      </c>
      <c r="AA352" s="1801"/>
      <c r="AB352" s="1801"/>
      <c r="AC352" s="1801">
        <f>'Notes- SK Template'!AC349</f>
        <v>0</v>
      </c>
      <c r="AD352" s="1801"/>
      <c r="AE352" s="1801"/>
      <c r="AF352" s="1801">
        <f>'Notes- SK Template'!AF349</f>
        <v>0</v>
      </c>
      <c r="AG352" s="1801"/>
      <c r="AH352" s="1801"/>
    </row>
    <row r="353" spans="1:34" s="584" customFormat="1" ht="14.5" thickBot="1">
      <c r="A353" s="597"/>
      <c r="D353" s="2672" t="s">
        <v>1797</v>
      </c>
      <c r="E353" s="1796"/>
      <c r="F353" s="1796"/>
      <c r="G353" s="1796"/>
      <c r="H353" s="1796"/>
      <c r="I353" s="1796"/>
      <c r="J353" s="1796"/>
      <c r="K353" s="1796"/>
      <c r="L353" s="1796"/>
      <c r="M353" s="1796"/>
      <c r="N353" s="1796"/>
      <c r="O353" s="1796"/>
      <c r="P353" s="1796"/>
      <c r="Q353" s="1796"/>
      <c r="R353" s="1796"/>
      <c r="S353" s="1796"/>
      <c r="T353" s="1796"/>
      <c r="U353" s="1796"/>
      <c r="V353" s="1796"/>
      <c r="W353" s="1796"/>
      <c r="X353" s="1796"/>
      <c r="Y353" s="1796"/>
      <c r="Z353" s="1796"/>
      <c r="AA353" s="1796"/>
      <c r="AB353" s="1796"/>
      <c r="AC353" s="1796"/>
      <c r="AD353" s="1796"/>
      <c r="AE353" s="1796"/>
      <c r="AF353" s="1796"/>
      <c r="AG353" s="1796"/>
      <c r="AH353" s="1797"/>
    </row>
    <row r="354" spans="1:34" s="584" customFormat="1" ht="22.5" customHeight="1">
      <c r="A354" s="597"/>
      <c r="D354" s="1802" t="s">
        <v>1790</v>
      </c>
      <c r="E354" s="1802"/>
      <c r="F354" s="1802"/>
      <c r="G354" s="1802"/>
      <c r="H354" s="1803">
        <f>'Notes- SK Template'!H351</f>
        <v>0</v>
      </c>
      <c r="I354" s="1803"/>
      <c r="J354" s="1803"/>
      <c r="K354" s="1803">
        <f>'Notes- SK Template'!K351</f>
        <v>0</v>
      </c>
      <c r="L354" s="1803"/>
      <c r="M354" s="1803"/>
      <c r="N354" s="1803">
        <f>'Notes- SK Template'!N351</f>
        <v>182159</v>
      </c>
      <c r="O354" s="1803"/>
      <c r="P354" s="1803"/>
      <c r="Q354" s="1803">
        <f>'Notes- SK Template'!Q351</f>
        <v>0</v>
      </c>
      <c r="R354" s="1803"/>
      <c r="S354" s="1803"/>
      <c r="T354" s="1803">
        <f>'Notes- SK Template'!T351</f>
        <v>0</v>
      </c>
      <c r="U354" s="1803"/>
      <c r="V354" s="1803"/>
      <c r="W354" s="1803">
        <f>'Notes- SK Template'!W351</f>
        <v>0</v>
      </c>
      <c r="X354" s="1803"/>
      <c r="Y354" s="1803"/>
      <c r="Z354" s="1803">
        <f>'Notes- SK Template'!Z351</f>
        <v>0</v>
      </c>
      <c r="AA354" s="1803"/>
      <c r="AB354" s="1803"/>
      <c r="AC354" s="1803">
        <f>'Notes- SK Template'!AC351</f>
        <v>0</v>
      </c>
      <c r="AD354" s="1803"/>
      <c r="AE354" s="1803"/>
      <c r="AF354" s="1803">
        <f>'Notes- SK Template'!AF351</f>
        <v>182159</v>
      </c>
      <c r="AG354" s="1803"/>
      <c r="AH354" s="1803"/>
    </row>
    <row r="355" spans="1:34" s="584" customFormat="1" ht="22.5" customHeight="1" thickBot="1">
      <c r="A355" s="597"/>
      <c r="D355" s="1894" t="s">
        <v>1794</v>
      </c>
      <c r="E355" s="1894"/>
      <c r="F355" s="1894"/>
      <c r="G355" s="1894"/>
      <c r="H355" s="1801">
        <f>'Notes- SK Template'!H352</f>
        <v>0</v>
      </c>
      <c r="I355" s="1801"/>
      <c r="J355" s="1801"/>
      <c r="K355" s="1801">
        <f>'Notes- SK Template'!K352</f>
        <v>358240</v>
      </c>
      <c r="L355" s="1801"/>
      <c r="M355" s="1801"/>
      <c r="N355" s="1801">
        <f>'Notes- SK Template'!N352</f>
        <v>147616</v>
      </c>
      <c r="O355" s="1801"/>
      <c r="P355" s="1801"/>
      <c r="Q355" s="1801">
        <f>'Notes- SK Template'!Q352</f>
        <v>0</v>
      </c>
      <c r="R355" s="1801"/>
      <c r="S355" s="1801"/>
      <c r="T355" s="1801">
        <f>'Notes- SK Template'!T352</f>
        <v>0</v>
      </c>
      <c r="U355" s="1801"/>
      <c r="V355" s="1801"/>
      <c r="W355" s="1801">
        <f>'Notes- SK Template'!W352</f>
        <v>0</v>
      </c>
      <c r="X355" s="1801"/>
      <c r="Y355" s="1801"/>
      <c r="Z355" s="1801">
        <f>'Notes- SK Template'!Z352</f>
        <v>0</v>
      </c>
      <c r="AA355" s="1801"/>
      <c r="AB355" s="1801"/>
      <c r="AC355" s="1801">
        <f>'Notes- SK Template'!AC352</f>
        <v>0</v>
      </c>
      <c r="AD355" s="1801"/>
      <c r="AE355" s="1801"/>
      <c r="AF355" s="1801">
        <f>'Notes- SK Template'!AF352</f>
        <v>505856</v>
      </c>
      <c r="AG355" s="1801"/>
      <c r="AH355" s="1801"/>
    </row>
    <row r="356" spans="1:34" s="584" customFormat="1" ht="14">
      <c r="A356" s="597"/>
      <c r="D356" s="910"/>
      <c r="E356" s="909"/>
      <c r="F356" s="909"/>
      <c r="G356" s="909"/>
      <c r="H356" s="909"/>
      <c r="I356" s="909"/>
      <c r="J356" s="909"/>
      <c r="K356" s="909"/>
      <c r="L356" s="909"/>
      <c r="M356" s="909"/>
      <c r="N356" s="909"/>
      <c r="O356" s="909"/>
      <c r="P356" s="909"/>
      <c r="Q356" s="909"/>
      <c r="R356" s="909"/>
      <c r="S356" s="909"/>
      <c r="T356" s="909"/>
      <c r="U356" s="909"/>
      <c r="V356" s="909"/>
      <c r="W356" s="909"/>
      <c r="X356" s="909"/>
      <c r="Y356" s="909"/>
      <c r="Z356" s="909"/>
      <c r="AA356" s="909"/>
      <c r="AB356" s="909"/>
      <c r="AC356" s="909"/>
      <c r="AD356" s="909"/>
      <c r="AE356" s="909"/>
      <c r="AF356" s="909"/>
      <c r="AG356" s="909"/>
    </row>
    <row r="357" spans="1:34" s="584" customFormat="1" ht="14.5" thickBot="1">
      <c r="A357" s="597"/>
    </row>
    <row r="358" spans="1:34" s="584" customFormat="1" ht="29.25" customHeight="1" thickBot="1">
      <c r="A358" s="597">
        <v>6</v>
      </c>
      <c r="D358" s="1921" t="s">
        <v>1809</v>
      </c>
      <c r="E358" s="1921"/>
      <c r="F358" s="1921"/>
      <c r="G358" s="1921"/>
      <c r="H358" s="1921"/>
      <c r="I358" s="1921"/>
      <c r="J358" s="1921"/>
      <c r="K358" s="1921"/>
      <c r="L358" s="1921"/>
      <c r="M358" s="1921"/>
      <c r="N358" s="1921"/>
      <c r="O358" s="1921"/>
      <c r="P358" s="1921"/>
      <c r="Q358" s="1921"/>
      <c r="R358" s="1921"/>
      <c r="S358" s="1921" t="s">
        <v>1799</v>
      </c>
      <c r="T358" s="1921"/>
      <c r="U358" s="1921"/>
      <c r="V358" s="1921"/>
      <c r="W358" s="1921"/>
      <c r="X358" s="1921"/>
      <c r="Y358" s="1921"/>
      <c r="Z358" s="1921"/>
      <c r="AA358" s="1921"/>
      <c r="AB358" s="1921"/>
      <c r="AC358" s="1921"/>
      <c r="AD358" s="1921"/>
      <c r="AE358" s="1921"/>
      <c r="AF358" s="1921"/>
      <c r="AG358" s="1921"/>
    </row>
    <row r="359" spans="1:34" s="584" customFormat="1" ht="29.25" customHeight="1">
      <c r="A359" s="597"/>
      <c r="D359" s="2671" t="s">
        <v>2021</v>
      </c>
      <c r="E359" s="2129"/>
      <c r="F359" s="2129"/>
      <c r="G359" s="2129"/>
      <c r="H359" s="2129"/>
      <c r="I359" s="2129"/>
      <c r="J359" s="2129"/>
      <c r="K359" s="2129"/>
      <c r="L359" s="2129"/>
      <c r="M359" s="2129"/>
      <c r="N359" s="2129"/>
      <c r="O359" s="2129"/>
      <c r="P359" s="2129"/>
      <c r="Q359" s="2129"/>
      <c r="R359" s="2129"/>
      <c r="S359" s="2578" t="str">
        <f>'Notes- SK Template'!S356</f>
        <v>-</v>
      </c>
      <c r="T359" s="2578"/>
      <c r="U359" s="2578"/>
      <c r="V359" s="2578">
        <f>'Notes- SK Template'!V356</f>
        <v>0</v>
      </c>
      <c r="W359" s="2578"/>
      <c r="X359" s="2578"/>
      <c r="Y359" s="2578">
        <f>'Notes- SK Template'!Y356</f>
        <v>0</v>
      </c>
      <c r="Z359" s="2578"/>
      <c r="AA359" s="2578"/>
      <c r="AB359" s="2578">
        <f>'Notes- SK Template'!AB356</f>
        <v>0</v>
      </c>
      <c r="AC359" s="2578"/>
      <c r="AD359" s="2578"/>
      <c r="AE359" s="2578">
        <f>'Notes- SK Template'!AE356</f>
        <v>0</v>
      </c>
      <c r="AF359" s="2578"/>
      <c r="AG359" s="2578"/>
    </row>
    <row r="360" spans="1:34" s="584" customFormat="1" ht="29.25" customHeight="1" thickBot="1">
      <c r="A360" s="597"/>
      <c r="D360" s="2668" t="s">
        <v>1810</v>
      </c>
      <c r="E360" s="1996"/>
      <c r="F360" s="1996"/>
      <c r="G360" s="1996"/>
      <c r="H360" s="1996"/>
      <c r="I360" s="1996"/>
      <c r="J360" s="1996"/>
      <c r="K360" s="1996"/>
      <c r="L360" s="1996"/>
      <c r="M360" s="1996"/>
      <c r="N360" s="1996"/>
      <c r="O360" s="1996"/>
      <c r="P360" s="1996"/>
      <c r="Q360" s="1996"/>
      <c r="R360" s="1996"/>
      <c r="S360" s="1859" t="str">
        <f>'Notes- SK Template'!S357</f>
        <v>-</v>
      </c>
      <c r="T360" s="1859"/>
      <c r="U360" s="1859"/>
      <c r="V360" s="1859">
        <f>'Notes- SK Template'!V357</f>
        <v>0</v>
      </c>
      <c r="W360" s="1859"/>
      <c r="X360" s="1859"/>
      <c r="Y360" s="1859">
        <f>'Notes- SK Template'!Y357</f>
        <v>0</v>
      </c>
      <c r="Z360" s="1859"/>
      <c r="AA360" s="1859"/>
      <c r="AB360" s="1859">
        <f>'Notes- SK Template'!AB357</f>
        <v>0</v>
      </c>
      <c r="AC360" s="1859"/>
      <c r="AD360" s="1859"/>
      <c r="AE360" s="1859">
        <f>'Notes- SK Template'!AE357</f>
        <v>0</v>
      </c>
      <c r="AF360" s="1859"/>
      <c r="AG360" s="1859"/>
    </row>
    <row r="361" spans="1:34" s="584" customFormat="1" ht="14">
      <c r="A361" s="597"/>
    </row>
    <row r="362" spans="1:34" s="584" customFormat="1" ht="14">
      <c r="A362" s="597"/>
      <c r="D362" s="1500" t="s">
        <v>3029</v>
      </c>
      <c r="E362" s="1500"/>
      <c r="F362" s="1500"/>
      <c r="G362" s="1500"/>
      <c r="H362" s="1500"/>
      <c r="I362" s="1500"/>
      <c r="J362" s="1500"/>
      <c r="K362" s="1500"/>
      <c r="L362" s="1500"/>
      <c r="M362" s="1500"/>
      <c r="N362" s="1500"/>
      <c r="O362" s="1500"/>
      <c r="P362" s="1500"/>
      <c r="Q362" s="1500"/>
      <c r="R362" s="1500"/>
      <c r="S362" s="1500"/>
      <c r="T362" s="1500"/>
      <c r="U362" s="1500"/>
      <c r="V362" s="1500"/>
      <c r="W362" s="1500"/>
      <c r="X362" s="1500"/>
      <c r="Y362" s="1500"/>
      <c r="Z362" s="1500"/>
      <c r="AA362" s="1500"/>
      <c r="AB362" s="1500"/>
      <c r="AC362" s="1500"/>
      <c r="AD362" s="1500"/>
      <c r="AE362" s="1500"/>
      <c r="AF362" s="1500"/>
      <c r="AG362" s="1500"/>
    </row>
    <row r="363" spans="1:34" s="584" customFormat="1" ht="14">
      <c r="A363" s="597"/>
      <c r="D363" s="1500"/>
      <c r="E363" s="1500"/>
      <c r="F363" s="1500"/>
      <c r="G363" s="1500"/>
      <c r="H363" s="1500"/>
      <c r="I363" s="1500"/>
      <c r="J363" s="1500"/>
      <c r="K363" s="1500"/>
      <c r="L363" s="1500"/>
      <c r="M363" s="1500"/>
      <c r="N363" s="1500"/>
      <c r="O363" s="1500"/>
      <c r="P363" s="1500"/>
      <c r="Q363" s="1500"/>
      <c r="R363" s="1500"/>
      <c r="S363" s="1500"/>
      <c r="T363" s="1500"/>
      <c r="U363" s="1500"/>
      <c r="V363" s="1500"/>
      <c r="W363" s="1500"/>
      <c r="X363" s="1500"/>
      <c r="Y363" s="1500"/>
      <c r="Z363" s="1500"/>
      <c r="AA363" s="1500"/>
      <c r="AB363" s="1500"/>
      <c r="AC363" s="1500"/>
      <c r="AD363" s="1500"/>
      <c r="AE363" s="1500"/>
      <c r="AF363" s="1500"/>
      <c r="AG363" s="1500"/>
    </row>
    <row r="364" spans="1:34" s="584" customFormat="1" ht="14">
      <c r="A364" s="597"/>
      <c r="D364" s="582" t="s">
        <v>2022</v>
      </c>
    </row>
    <row r="365" spans="1:34" s="584" customFormat="1" ht="14.5" thickBot="1">
      <c r="A365" s="597"/>
      <c r="D365" s="582"/>
    </row>
    <row r="366" spans="1:34" s="584" customFormat="1" ht="25.5" customHeight="1">
      <c r="A366" s="597"/>
      <c r="D366" s="2248" t="s">
        <v>2866</v>
      </c>
      <c r="E366" s="2249"/>
      <c r="F366" s="2249"/>
      <c r="G366" s="2249"/>
      <c r="H366" s="2249"/>
      <c r="I366" s="2249"/>
      <c r="J366" s="2249"/>
      <c r="K366" s="2249"/>
      <c r="L366" s="2249"/>
      <c r="M366" s="2249"/>
      <c r="N366" s="2249"/>
      <c r="O366" s="2249"/>
      <c r="P366" s="2249"/>
      <c r="Q366" s="2249"/>
      <c r="R366" s="2250"/>
    </row>
    <row r="367" spans="1:34" s="584" customFormat="1" ht="14">
      <c r="A367" s="597"/>
      <c r="D367" s="2293" t="s">
        <v>2804</v>
      </c>
      <c r="E367" s="2294"/>
      <c r="F367" s="2294"/>
      <c r="G367" s="2294"/>
      <c r="H367" s="2294"/>
      <c r="I367" s="2294"/>
      <c r="J367" s="2294" t="s">
        <v>2805</v>
      </c>
      <c r="K367" s="2294"/>
      <c r="L367" s="2294"/>
      <c r="M367" s="2294"/>
      <c r="N367" s="2294"/>
      <c r="O367" s="2295" t="s">
        <v>2806</v>
      </c>
      <c r="P367" s="2295"/>
      <c r="Q367" s="2295"/>
      <c r="R367" s="2296"/>
    </row>
    <row r="368" spans="1:34" s="584" customFormat="1" ht="41.25" customHeight="1">
      <c r="A368" s="597"/>
      <c r="D368" s="2289" t="s">
        <v>2865</v>
      </c>
      <c r="E368" s="2290"/>
      <c r="F368" s="2290"/>
      <c r="G368" s="2290"/>
      <c r="H368" s="2290"/>
      <c r="I368" s="2290"/>
      <c r="J368" s="2290" t="s">
        <v>2867</v>
      </c>
      <c r="K368" s="2290"/>
      <c r="L368" s="2290"/>
      <c r="M368" s="2290"/>
      <c r="N368" s="2290"/>
      <c r="O368" s="2297" t="s">
        <v>3009</v>
      </c>
      <c r="P368" s="2297"/>
      <c r="Q368" s="2297"/>
      <c r="R368" s="2298"/>
    </row>
    <row r="369" spans="1:34" s="584" customFormat="1" ht="41.25" customHeight="1" thickBot="1">
      <c r="A369" s="597"/>
      <c r="D369" s="2291" t="s">
        <v>1813</v>
      </c>
      <c r="E369" s="2292"/>
      <c r="F369" s="2292"/>
      <c r="G369" s="2292"/>
      <c r="H369" s="2292"/>
      <c r="I369" s="2292"/>
      <c r="J369" s="2292" t="s">
        <v>2867</v>
      </c>
      <c r="K369" s="2292"/>
      <c r="L369" s="2292"/>
      <c r="M369" s="2292"/>
      <c r="N369" s="2292"/>
      <c r="O369" s="2299" t="s">
        <v>3008</v>
      </c>
      <c r="P369" s="2299"/>
      <c r="Q369" s="2299"/>
      <c r="R369" s="2300"/>
    </row>
    <row r="370" spans="1:34" s="584" customFormat="1" ht="14">
      <c r="A370" s="597"/>
      <c r="D370" s="582"/>
    </row>
    <row r="371" spans="1:34" s="584" customFormat="1" ht="14">
      <c r="A371" s="597"/>
    </row>
    <row r="372" spans="1:34" s="584" customFormat="1" ht="17.25" customHeight="1">
      <c r="A372" s="597"/>
      <c r="D372" s="2100" t="s">
        <v>3030</v>
      </c>
      <c r="E372" s="2144"/>
      <c r="F372" s="2144"/>
      <c r="G372" s="2144"/>
      <c r="H372" s="2144"/>
      <c r="I372" s="2144"/>
      <c r="J372" s="2144"/>
      <c r="K372" s="2144"/>
      <c r="L372" s="2144"/>
      <c r="M372" s="2144"/>
      <c r="N372" s="2144"/>
      <c r="O372" s="2144"/>
      <c r="P372" s="2144"/>
      <c r="Q372" s="2144"/>
      <c r="R372" s="2144"/>
      <c r="S372" s="2144"/>
      <c r="T372" s="2144"/>
      <c r="U372" s="2144"/>
      <c r="V372" s="2144"/>
      <c r="W372" s="2144"/>
      <c r="X372" s="2144"/>
      <c r="Y372" s="2144"/>
      <c r="Z372" s="2144"/>
      <c r="AA372" s="2144"/>
      <c r="AB372" s="2144"/>
      <c r="AC372" s="2144"/>
      <c r="AD372" s="2144"/>
      <c r="AE372" s="2144"/>
      <c r="AF372" s="2144"/>
      <c r="AG372" s="2144"/>
    </row>
    <row r="373" spans="1:34" s="584" customFormat="1" ht="14">
      <c r="A373" s="597"/>
      <c r="D373" s="909"/>
      <c r="E373" s="909"/>
      <c r="F373" s="909"/>
      <c r="G373" s="909"/>
      <c r="H373" s="909"/>
      <c r="I373" s="909"/>
      <c r="J373" s="909"/>
      <c r="K373" s="909"/>
      <c r="L373" s="909"/>
      <c r="M373" s="909"/>
      <c r="N373" s="909"/>
      <c r="O373" s="909"/>
      <c r="P373" s="909"/>
      <c r="Q373" s="909"/>
      <c r="R373" s="909"/>
      <c r="S373" s="909"/>
      <c r="T373" s="909"/>
      <c r="U373" s="909"/>
      <c r="V373" s="909"/>
      <c r="W373" s="909"/>
      <c r="X373" s="909"/>
      <c r="Y373" s="909"/>
      <c r="Z373" s="909"/>
      <c r="AA373" s="909"/>
      <c r="AB373" s="909"/>
      <c r="AC373" s="909"/>
      <c r="AD373" s="909"/>
      <c r="AE373" s="909"/>
      <c r="AF373" s="909"/>
      <c r="AG373" s="909"/>
    </row>
    <row r="374" spans="1:34" s="584" customFormat="1" ht="14">
      <c r="A374" s="597"/>
      <c r="D374" s="582" t="s">
        <v>1811</v>
      </c>
      <c r="E374" s="909"/>
      <c r="F374" s="909"/>
    </row>
    <row r="375" spans="1:34" s="773" customFormat="1" ht="14">
      <c r="A375" s="784"/>
      <c r="E375" s="785"/>
      <c r="F375" s="785"/>
    </row>
    <row r="376" spans="1:34" s="584" customFormat="1" ht="14">
      <c r="A376" s="597"/>
      <c r="D376" s="908" t="s">
        <v>2807</v>
      </c>
      <c r="E376" s="909"/>
      <c r="F376" s="909"/>
    </row>
    <row r="377" spans="1:34" s="1505" customFormat="1" ht="14">
      <c r="A377" s="1506"/>
      <c r="B377" s="1507"/>
      <c r="C377" s="1507"/>
      <c r="D377" s="1507"/>
      <c r="E377" s="1507"/>
      <c r="F377" s="1507"/>
      <c r="G377" s="1507"/>
      <c r="H377" s="1507"/>
      <c r="I377" s="1507"/>
      <c r="J377" s="1507"/>
      <c r="K377" s="1507"/>
      <c r="L377" s="1507"/>
      <c r="M377" s="1507"/>
      <c r="N377" s="1507"/>
      <c r="O377" s="1507"/>
      <c r="P377" s="1507"/>
      <c r="Q377" s="1507"/>
      <c r="R377" s="1507"/>
      <c r="S377" s="1507"/>
      <c r="T377" s="1507"/>
      <c r="U377" s="1507"/>
      <c r="V377" s="1507"/>
      <c r="W377" s="1507"/>
      <c r="X377" s="1507"/>
      <c r="Y377" s="1507"/>
      <c r="Z377" s="1507"/>
      <c r="AA377" s="1507"/>
      <c r="AB377" s="1507"/>
      <c r="AC377" s="1507"/>
      <c r="AD377" s="1507"/>
      <c r="AE377" s="1507"/>
      <c r="AF377" s="1507"/>
      <c r="AG377" s="1507"/>
      <c r="AH377" s="1507"/>
    </row>
    <row r="378" spans="1:34" s="584" customFormat="1" ht="14">
      <c r="A378" s="597"/>
      <c r="D378" s="582" t="s">
        <v>2973</v>
      </c>
    </row>
    <row r="379" spans="1:34" s="584" customFormat="1" ht="14">
      <c r="A379" s="597"/>
    </row>
    <row r="380" spans="1:34" s="584" customFormat="1" ht="14">
      <c r="A380" s="597"/>
      <c r="D380" s="2100" t="s">
        <v>3016</v>
      </c>
      <c r="E380" s="2101"/>
      <c r="F380" s="2101"/>
      <c r="G380" s="2101"/>
      <c r="H380" s="2101"/>
      <c r="I380" s="2101"/>
      <c r="J380" s="2101"/>
      <c r="K380" s="2101"/>
      <c r="L380" s="2101"/>
      <c r="M380" s="2101"/>
      <c r="N380" s="2101"/>
      <c r="O380" s="2101"/>
      <c r="P380" s="2101"/>
      <c r="Q380" s="2101"/>
      <c r="R380" s="2101"/>
      <c r="S380" s="2101"/>
      <c r="T380" s="2101"/>
      <c r="U380" s="2101"/>
      <c r="V380" s="2101"/>
      <c r="W380" s="2101"/>
      <c r="X380" s="2101"/>
      <c r="Y380" s="2101"/>
      <c r="Z380" s="2101"/>
      <c r="AA380" s="2101"/>
      <c r="AB380" s="2101"/>
      <c r="AC380" s="2101"/>
      <c r="AD380" s="2101"/>
      <c r="AE380" s="2101"/>
      <c r="AF380" s="2101"/>
      <c r="AG380" s="2101"/>
    </row>
    <row r="381" spans="1:34" s="584" customFormat="1" ht="14">
      <c r="A381" s="597"/>
      <c r="D381" s="2101"/>
      <c r="E381" s="2101"/>
      <c r="F381" s="2101"/>
      <c r="G381" s="2101"/>
      <c r="H381" s="2101"/>
      <c r="I381" s="2101"/>
      <c r="J381" s="2101"/>
      <c r="K381" s="2101"/>
      <c r="L381" s="2101"/>
      <c r="M381" s="2101"/>
      <c r="N381" s="2101"/>
      <c r="O381" s="2101"/>
      <c r="P381" s="2101"/>
      <c r="Q381" s="2101"/>
      <c r="R381" s="2101"/>
      <c r="S381" s="2101"/>
      <c r="T381" s="2101"/>
      <c r="U381" s="2101"/>
      <c r="V381" s="2101"/>
      <c r="W381" s="2101"/>
      <c r="X381" s="2101"/>
      <c r="Y381" s="2101"/>
      <c r="Z381" s="2101"/>
      <c r="AA381" s="2101"/>
      <c r="AB381" s="2101"/>
      <c r="AC381" s="2101"/>
      <c r="AD381" s="2101"/>
      <c r="AE381" s="2101"/>
      <c r="AF381" s="2101"/>
      <c r="AG381" s="2101"/>
    </row>
    <row r="382" spans="1:34" s="584" customFormat="1" ht="14">
      <c r="A382" s="597"/>
    </row>
    <row r="383" spans="1:34" s="584" customFormat="1" ht="14">
      <c r="A383" s="597"/>
      <c r="D383" s="2133" t="s">
        <v>1812</v>
      </c>
      <c r="E383" s="2134"/>
      <c r="F383" s="2134"/>
      <c r="G383" s="2134"/>
      <c r="H383" s="2134"/>
      <c r="I383" s="2134"/>
      <c r="J383" s="2134"/>
      <c r="K383" s="2134"/>
      <c r="L383" s="2134"/>
      <c r="M383" s="2134"/>
      <c r="N383" s="2134"/>
      <c r="O383" s="2134"/>
      <c r="P383" s="2134"/>
      <c r="Q383" s="2134"/>
      <c r="R383" s="2134"/>
      <c r="S383" s="2134"/>
      <c r="T383" s="2134"/>
      <c r="U383" s="2134"/>
      <c r="V383" s="2134"/>
      <c r="W383" s="2134"/>
      <c r="X383" s="2134"/>
      <c r="Y383" s="2134"/>
      <c r="Z383" s="2134"/>
      <c r="AA383" s="2134"/>
      <c r="AB383" s="2134"/>
      <c r="AC383" s="2134"/>
      <c r="AD383" s="2134"/>
      <c r="AE383" s="2134"/>
      <c r="AF383" s="2134"/>
      <c r="AG383" s="2134"/>
    </row>
    <row r="384" spans="1:34" s="584" customFormat="1" ht="14.5" thickBot="1">
      <c r="A384" s="597"/>
    </row>
    <row r="385" spans="1:33" s="584" customFormat="1" ht="15.75" customHeight="1" thickBot="1">
      <c r="A385" s="597">
        <v>12</v>
      </c>
      <c r="D385" s="1921" t="s">
        <v>1813</v>
      </c>
      <c r="E385" s="1921"/>
      <c r="F385" s="1921"/>
      <c r="G385" s="1921"/>
      <c r="H385" s="1921"/>
      <c r="I385" s="1921" t="s">
        <v>1740</v>
      </c>
      <c r="J385" s="1921"/>
      <c r="K385" s="1921"/>
      <c r="L385" s="1921"/>
      <c r="M385" s="1921"/>
      <c r="N385" s="1921"/>
      <c r="O385" s="1921"/>
      <c r="P385" s="1921"/>
      <c r="Q385" s="1921"/>
      <c r="R385" s="1921"/>
      <c r="S385" s="1921"/>
      <c r="T385" s="1921"/>
      <c r="U385" s="1921"/>
      <c r="V385" s="1921"/>
      <c r="W385" s="1921"/>
      <c r="X385" s="1921"/>
      <c r="Y385" s="1921"/>
      <c r="Z385" s="1921"/>
      <c r="AA385" s="1921"/>
      <c r="AB385" s="1921"/>
      <c r="AC385" s="1921"/>
      <c r="AD385" s="1921"/>
      <c r="AE385" s="1921"/>
      <c r="AF385" s="1921"/>
      <c r="AG385" s="1921"/>
    </row>
    <row r="386" spans="1:33" s="584" customFormat="1" ht="47.25" customHeight="1" thickBot="1">
      <c r="A386" s="597"/>
      <c r="D386" s="1921"/>
      <c r="E386" s="1921"/>
      <c r="F386" s="1921"/>
      <c r="G386" s="1921"/>
      <c r="H386" s="1921"/>
      <c r="I386" s="1851" t="s">
        <v>1814</v>
      </c>
      <c r="J386" s="1851"/>
      <c r="K386" s="1851"/>
      <c r="L386" s="1851"/>
      <c r="M386" s="1851"/>
      <c r="N386" s="1851" t="s">
        <v>1815</v>
      </c>
      <c r="O386" s="1851"/>
      <c r="P386" s="1851"/>
      <c r="Q386" s="1851"/>
      <c r="R386" s="1851"/>
      <c r="S386" s="1851" t="s">
        <v>1816</v>
      </c>
      <c r="T386" s="1851"/>
      <c r="U386" s="1851"/>
      <c r="V386" s="1851"/>
      <c r="W386" s="1851"/>
      <c r="X386" s="1851" t="s">
        <v>1817</v>
      </c>
      <c r="Y386" s="1851"/>
      <c r="Z386" s="1851"/>
      <c r="AA386" s="1851"/>
      <c r="AB386" s="1851"/>
      <c r="AC386" s="1851" t="s">
        <v>1818</v>
      </c>
      <c r="AD386" s="1851"/>
      <c r="AE386" s="1851"/>
      <c r="AF386" s="1851"/>
      <c r="AG386" s="1851"/>
    </row>
    <row r="387" spans="1:33" s="584" customFormat="1" ht="28.5" customHeight="1" thickBot="1">
      <c r="A387" s="597"/>
      <c r="D387" s="2670" t="s">
        <v>1819</v>
      </c>
      <c r="E387" s="2141"/>
      <c r="F387" s="2141"/>
      <c r="G387" s="2141"/>
      <c r="H387" s="2141"/>
      <c r="I387" s="2074">
        <f>'Notes- SK Template'!I385</f>
        <v>6224</v>
      </c>
      <c r="J387" s="2075"/>
      <c r="K387" s="2075"/>
      <c r="L387" s="2075">
        <f>'Notes- SK Template'!L385</f>
        <v>0</v>
      </c>
      <c r="M387" s="2075"/>
      <c r="N387" s="2082">
        <v>16562</v>
      </c>
      <c r="O387" s="2082"/>
      <c r="P387" s="2082"/>
      <c r="Q387" s="2082">
        <v>0</v>
      </c>
      <c r="R387" s="2082"/>
      <c r="S387" s="2075">
        <f>'Notes- SK Template'!S385</f>
        <v>0</v>
      </c>
      <c r="T387" s="2075"/>
      <c r="U387" s="2075"/>
      <c r="V387" s="2075">
        <f>'Notes- SK Template'!V385</f>
        <v>0</v>
      </c>
      <c r="W387" s="2075"/>
      <c r="X387" s="2075"/>
      <c r="Y387" s="2075"/>
      <c r="Z387" s="2075"/>
      <c r="AA387" s="2075"/>
      <c r="AB387" s="2075"/>
      <c r="AC387" s="2077">
        <f>'Notes- SK Template'!AC385</f>
        <v>22786</v>
      </c>
      <c r="AD387" s="2077"/>
      <c r="AE387" s="2077"/>
      <c r="AF387" s="2077">
        <f>'Notes- SK Template'!AF385</f>
        <v>0</v>
      </c>
      <c r="AG387" s="2078"/>
    </row>
    <row r="388" spans="1:33" s="584" customFormat="1" ht="34.75" customHeight="1" thickBot="1">
      <c r="A388" s="597"/>
      <c r="D388" s="2670" t="s">
        <v>1820</v>
      </c>
      <c r="E388" s="2141"/>
      <c r="F388" s="2141"/>
      <c r="G388" s="2141"/>
      <c r="H388" s="2141"/>
      <c r="I388" s="1804">
        <f>'Notes- SK Template'!I386</f>
        <v>0</v>
      </c>
      <c r="J388" s="1805"/>
      <c r="K388" s="1805"/>
      <c r="L388" s="1805">
        <f>'Notes- SK Template'!L386</f>
        <v>0</v>
      </c>
      <c r="M388" s="1805"/>
      <c r="N388" s="1805"/>
      <c r="O388" s="1805"/>
      <c r="P388" s="1805"/>
      <c r="Q388" s="1805"/>
      <c r="R388" s="1805"/>
      <c r="S388" s="1805"/>
      <c r="T388" s="1805"/>
      <c r="U388" s="1805"/>
      <c r="V388" s="1805"/>
      <c r="W388" s="1805"/>
      <c r="X388" s="1805"/>
      <c r="Y388" s="1805"/>
      <c r="Z388" s="1805"/>
      <c r="AA388" s="1805"/>
      <c r="AB388" s="1805"/>
      <c r="AC388" s="1807">
        <f>'Notes- SK Template'!AC386</f>
        <v>0</v>
      </c>
      <c r="AD388" s="1807"/>
      <c r="AE388" s="1807"/>
      <c r="AF388" s="1807">
        <f>'Notes- SK Template'!AF386</f>
        <v>0</v>
      </c>
      <c r="AG388" s="1808"/>
    </row>
    <row r="389" spans="1:33" s="584" customFormat="1" ht="28.5" customHeight="1" thickBot="1">
      <c r="A389" s="597"/>
      <c r="D389" s="2670" t="s">
        <v>1821</v>
      </c>
      <c r="E389" s="2141"/>
      <c r="F389" s="2141"/>
      <c r="G389" s="2141"/>
      <c r="H389" s="2141"/>
      <c r="I389" s="1804">
        <f>'Notes- SK Template'!I387</f>
        <v>0</v>
      </c>
      <c r="J389" s="1805"/>
      <c r="K389" s="1805"/>
      <c r="L389" s="1805">
        <f>'Notes- SK Template'!L387</f>
        <v>0</v>
      </c>
      <c r="M389" s="1805"/>
      <c r="N389" s="1805"/>
      <c r="O389" s="1805"/>
      <c r="P389" s="1805"/>
      <c r="Q389" s="1805"/>
      <c r="R389" s="1805"/>
      <c r="S389" s="1805"/>
      <c r="T389" s="1805"/>
      <c r="U389" s="1805"/>
      <c r="V389" s="1805"/>
      <c r="W389" s="1805"/>
      <c r="X389" s="1805"/>
      <c r="Y389" s="1805"/>
      <c r="Z389" s="1805"/>
      <c r="AA389" s="1805"/>
      <c r="AB389" s="1805"/>
      <c r="AC389" s="1807">
        <f>'Notes- SK Template'!AC387</f>
        <v>0</v>
      </c>
      <c r="AD389" s="1807"/>
      <c r="AE389" s="1807"/>
      <c r="AF389" s="1807">
        <f>'Notes- SK Template'!AF387</f>
        <v>0</v>
      </c>
      <c r="AG389" s="1808"/>
    </row>
    <row r="390" spans="1:33" s="584" customFormat="1" ht="28.5" customHeight="1" thickBot="1">
      <c r="A390" s="597"/>
      <c r="D390" s="2670" t="s">
        <v>1822</v>
      </c>
      <c r="E390" s="2141"/>
      <c r="F390" s="2141"/>
      <c r="G390" s="2141"/>
      <c r="H390" s="2141"/>
      <c r="I390" s="1804">
        <f>'Notes- SK Template'!I388</f>
        <v>0</v>
      </c>
      <c r="J390" s="1805"/>
      <c r="K390" s="1805"/>
      <c r="L390" s="1805">
        <f>'Notes- SK Template'!L388</f>
        <v>0</v>
      </c>
      <c r="M390" s="1805"/>
      <c r="N390" s="1805"/>
      <c r="O390" s="1805"/>
      <c r="P390" s="1805"/>
      <c r="Q390" s="1805"/>
      <c r="R390" s="1805"/>
      <c r="S390" s="1805"/>
      <c r="T390" s="1805"/>
      <c r="U390" s="1805"/>
      <c r="V390" s="1805"/>
      <c r="W390" s="1805"/>
      <c r="X390" s="1805"/>
      <c r="Y390" s="1805"/>
      <c r="Z390" s="1805"/>
      <c r="AA390" s="1805"/>
      <c r="AB390" s="1805"/>
      <c r="AC390" s="1807">
        <f>'Notes- SK Template'!AC388</f>
        <v>0</v>
      </c>
      <c r="AD390" s="1807"/>
      <c r="AE390" s="1807"/>
      <c r="AF390" s="1807">
        <f>'Notes- SK Template'!AF388</f>
        <v>0</v>
      </c>
      <c r="AG390" s="1808"/>
    </row>
    <row r="391" spans="1:33" s="584" customFormat="1" ht="28.5" customHeight="1" thickBot="1">
      <c r="A391" s="597"/>
      <c r="D391" s="2670" t="s">
        <v>1823</v>
      </c>
      <c r="E391" s="2141"/>
      <c r="F391" s="2141"/>
      <c r="G391" s="2141"/>
      <c r="H391" s="2141"/>
      <c r="I391" s="1804">
        <f>'Notes- SK Template'!I389</f>
        <v>0</v>
      </c>
      <c r="J391" s="1805"/>
      <c r="K391" s="1805"/>
      <c r="L391" s="1805">
        <f>'Notes- SK Template'!L389</f>
        <v>0</v>
      </c>
      <c r="M391" s="1805"/>
      <c r="N391" s="1805"/>
      <c r="O391" s="1805"/>
      <c r="P391" s="1805"/>
      <c r="Q391" s="1805"/>
      <c r="R391" s="1805"/>
      <c r="S391" s="1805"/>
      <c r="T391" s="1805"/>
      <c r="U391" s="1805"/>
      <c r="V391" s="1805"/>
      <c r="W391" s="1805"/>
      <c r="X391" s="1805"/>
      <c r="Y391" s="1805"/>
      <c r="Z391" s="1805"/>
      <c r="AA391" s="1805"/>
      <c r="AB391" s="1805"/>
      <c r="AC391" s="1807">
        <f>'Notes- SK Template'!AC389</f>
        <v>0</v>
      </c>
      <c r="AD391" s="1807"/>
      <c r="AE391" s="1807"/>
      <c r="AF391" s="1807">
        <f>'Notes- SK Template'!AF389</f>
        <v>0</v>
      </c>
      <c r="AG391" s="1808"/>
    </row>
    <row r="392" spans="1:33" s="584" customFormat="1" ht="28.5" customHeight="1" thickBot="1">
      <c r="A392" s="597"/>
      <c r="D392" s="2670" t="s">
        <v>1824</v>
      </c>
      <c r="E392" s="2141"/>
      <c r="F392" s="2141"/>
      <c r="G392" s="2141"/>
      <c r="H392" s="2141"/>
      <c r="I392" s="1804">
        <f>'Notes- SK Template'!I390</f>
        <v>0</v>
      </c>
      <c r="J392" s="1805"/>
      <c r="K392" s="1805"/>
      <c r="L392" s="1805">
        <f>'Notes- SK Template'!L390</f>
        <v>0</v>
      </c>
      <c r="M392" s="1805"/>
      <c r="N392" s="1805"/>
      <c r="O392" s="1805"/>
      <c r="P392" s="1805"/>
      <c r="Q392" s="1805"/>
      <c r="R392" s="1805"/>
      <c r="S392" s="1805"/>
      <c r="T392" s="1805"/>
      <c r="U392" s="1805"/>
      <c r="V392" s="1805"/>
      <c r="W392" s="1805"/>
      <c r="X392" s="1805"/>
      <c r="Y392" s="1805"/>
      <c r="Z392" s="1805"/>
      <c r="AA392" s="1805"/>
      <c r="AB392" s="1805"/>
      <c r="AC392" s="1807">
        <f>'Notes- SK Template'!AC390</f>
        <v>0</v>
      </c>
      <c r="AD392" s="1807"/>
      <c r="AE392" s="1807"/>
      <c r="AF392" s="1807">
        <f>'Notes- SK Template'!AF390</f>
        <v>0</v>
      </c>
      <c r="AG392" s="1808"/>
    </row>
    <row r="393" spans="1:33" s="584" customFormat="1" ht="28.5" customHeight="1" thickBot="1">
      <c r="A393" s="597"/>
      <c r="D393" s="2670" t="s">
        <v>1825</v>
      </c>
      <c r="E393" s="2141"/>
      <c r="F393" s="2141"/>
      <c r="G393" s="2141"/>
      <c r="H393" s="2141"/>
      <c r="I393" s="1804">
        <f>'Notes- SK Template'!I391</f>
        <v>0</v>
      </c>
      <c r="J393" s="1805"/>
      <c r="K393" s="1805"/>
      <c r="L393" s="1805">
        <f>'Notes- SK Template'!L391</f>
        <v>0</v>
      </c>
      <c r="M393" s="1805"/>
      <c r="N393" s="1805"/>
      <c r="O393" s="1805"/>
      <c r="P393" s="1805"/>
      <c r="Q393" s="1805"/>
      <c r="R393" s="1805"/>
      <c r="S393" s="1805"/>
      <c r="T393" s="1805"/>
      <c r="U393" s="1805"/>
      <c r="V393" s="1805"/>
      <c r="W393" s="1805"/>
      <c r="X393" s="1805"/>
      <c r="Y393" s="1805"/>
      <c r="Z393" s="1805"/>
      <c r="AA393" s="1805"/>
      <c r="AB393" s="1805"/>
      <c r="AC393" s="1807">
        <f>'Notes- SK Template'!AC391</f>
        <v>0</v>
      </c>
      <c r="AD393" s="1807"/>
      <c r="AE393" s="1807"/>
      <c r="AF393" s="1807">
        <f>'Notes- SK Template'!AF391</f>
        <v>0</v>
      </c>
      <c r="AG393" s="1808"/>
    </row>
    <row r="394" spans="1:33" s="584" customFormat="1" ht="28.5" customHeight="1" thickBot="1">
      <c r="A394" s="597"/>
      <c r="D394" s="1995" t="s">
        <v>1826</v>
      </c>
      <c r="E394" s="1995"/>
      <c r="F394" s="1995"/>
      <c r="G394" s="1995"/>
      <c r="H394" s="1995"/>
      <c r="I394" s="2137">
        <f>'Notes- SK Template'!I392</f>
        <v>6224</v>
      </c>
      <c r="J394" s="2138"/>
      <c r="K394" s="2138"/>
      <c r="L394" s="2138">
        <f>'Notes- SK Template'!L392</f>
        <v>0</v>
      </c>
      <c r="M394" s="2138"/>
      <c r="N394" s="2138">
        <f>'Notes- SK Template'!N392</f>
        <v>16562</v>
      </c>
      <c r="O394" s="2138"/>
      <c r="P394" s="2138"/>
      <c r="Q394" s="2138">
        <f>'Notes- SK Template'!Q392</f>
        <v>0</v>
      </c>
      <c r="R394" s="2138"/>
      <c r="S394" s="2138">
        <f>'Notes- SK Template'!S392</f>
        <v>0</v>
      </c>
      <c r="T394" s="2138"/>
      <c r="U394" s="2138"/>
      <c r="V394" s="2138">
        <f>'Notes- SK Template'!V392</f>
        <v>0</v>
      </c>
      <c r="W394" s="2138"/>
      <c r="X394" s="2138">
        <f>'Notes- SK Template'!X392</f>
        <v>0</v>
      </c>
      <c r="Y394" s="2138"/>
      <c r="Z394" s="2138"/>
      <c r="AA394" s="2138">
        <f>'Notes- SK Template'!AA392</f>
        <v>0</v>
      </c>
      <c r="AB394" s="2138"/>
      <c r="AC394" s="2138">
        <f>'Notes- SK Template'!AC392</f>
        <v>22786</v>
      </c>
      <c r="AD394" s="2138"/>
      <c r="AE394" s="2138"/>
      <c r="AF394" s="2138">
        <f>'Notes- SK Template'!AF392</f>
        <v>0</v>
      </c>
      <c r="AG394" s="2139"/>
    </row>
    <row r="395" spans="1:33" s="584" customFormat="1" ht="14">
      <c r="A395" s="597"/>
    </row>
    <row r="396" spans="1:33" s="584" customFormat="1" ht="14.5" thickBot="1">
      <c r="A396" s="597"/>
    </row>
    <row r="397" spans="1:33" s="584" customFormat="1" ht="14.5" thickBot="1">
      <c r="A397" s="597"/>
      <c r="D397" s="1921" t="s">
        <v>1813</v>
      </c>
      <c r="E397" s="1921"/>
      <c r="F397" s="1921"/>
      <c r="G397" s="1921"/>
      <c r="H397" s="1921"/>
      <c r="I397" s="1921" t="s">
        <v>1798</v>
      </c>
      <c r="J397" s="1921"/>
      <c r="K397" s="1921"/>
      <c r="L397" s="1921"/>
      <c r="M397" s="1921"/>
      <c r="N397" s="1921"/>
      <c r="O397" s="1921"/>
      <c r="P397" s="1921"/>
      <c r="Q397" s="1921"/>
      <c r="R397" s="1921"/>
      <c r="S397" s="1921"/>
      <c r="T397" s="1921"/>
      <c r="U397" s="1921"/>
      <c r="V397" s="1921"/>
      <c r="W397" s="1921"/>
      <c r="X397" s="1921"/>
      <c r="Y397" s="1921"/>
      <c r="Z397" s="1921"/>
      <c r="AA397" s="1921"/>
      <c r="AB397" s="1921"/>
      <c r="AC397" s="1921"/>
      <c r="AD397" s="1921"/>
      <c r="AE397" s="1921"/>
      <c r="AF397" s="1921"/>
      <c r="AG397" s="1921"/>
    </row>
    <row r="398" spans="1:33" s="584" customFormat="1" ht="34.75" customHeight="1" thickBot="1">
      <c r="A398" s="597"/>
      <c r="D398" s="1921"/>
      <c r="E398" s="1921"/>
      <c r="F398" s="1921"/>
      <c r="G398" s="1921"/>
      <c r="H398" s="1921"/>
      <c r="I398" s="1851" t="s">
        <v>1814</v>
      </c>
      <c r="J398" s="1851"/>
      <c r="K398" s="1851"/>
      <c r="L398" s="1851"/>
      <c r="M398" s="1851"/>
      <c r="N398" s="1851" t="s">
        <v>1815</v>
      </c>
      <c r="O398" s="1851"/>
      <c r="P398" s="1851"/>
      <c r="Q398" s="1851"/>
      <c r="R398" s="1851"/>
      <c r="S398" s="1851" t="s">
        <v>1816</v>
      </c>
      <c r="T398" s="1851"/>
      <c r="U398" s="1851"/>
      <c r="V398" s="1851"/>
      <c r="W398" s="1851"/>
      <c r="X398" s="1851" t="s">
        <v>1817</v>
      </c>
      <c r="Y398" s="1851"/>
      <c r="Z398" s="1851"/>
      <c r="AA398" s="1851"/>
      <c r="AB398" s="1851"/>
      <c r="AC398" s="1851" t="s">
        <v>1818</v>
      </c>
      <c r="AD398" s="1851"/>
      <c r="AE398" s="1851"/>
      <c r="AF398" s="1851"/>
      <c r="AG398" s="1851"/>
    </row>
    <row r="399" spans="1:33" s="584" customFormat="1" ht="31" customHeight="1" thickBot="1">
      <c r="A399" s="597"/>
      <c r="D399" s="2670" t="s">
        <v>1819</v>
      </c>
      <c r="E399" s="2141"/>
      <c r="F399" s="2141"/>
      <c r="G399" s="2141"/>
      <c r="H399" s="2141"/>
      <c r="I399" s="2074">
        <f>'Notes- SK Template'!I396</f>
        <v>4833</v>
      </c>
      <c r="J399" s="2075"/>
      <c r="K399" s="2075"/>
      <c r="L399" s="2075">
        <f>'Notes- SK Template'!L397</f>
        <v>0</v>
      </c>
      <c r="M399" s="2075"/>
      <c r="N399" s="2082">
        <v>1391</v>
      </c>
      <c r="O399" s="2082"/>
      <c r="P399" s="2082"/>
      <c r="Q399" s="2082">
        <v>0</v>
      </c>
      <c r="R399" s="2082"/>
      <c r="S399" s="2075">
        <f>'Notes- SK Template'!S396</f>
        <v>0</v>
      </c>
      <c r="T399" s="2075"/>
      <c r="U399" s="2075"/>
      <c r="V399" s="2075">
        <f>'Notes- SK Template'!V397</f>
        <v>0</v>
      </c>
      <c r="W399" s="2075"/>
      <c r="X399" s="2075"/>
      <c r="Y399" s="2075"/>
      <c r="Z399" s="2075"/>
      <c r="AA399" s="2075"/>
      <c r="AB399" s="2075"/>
      <c r="AC399" s="2077">
        <f>'Notes- SK Template'!AC396</f>
        <v>6224</v>
      </c>
      <c r="AD399" s="2077"/>
      <c r="AE399" s="2077"/>
      <c r="AF399" s="2077">
        <f>'Notes- SK Template'!AF397</f>
        <v>0</v>
      </c>
      <c r="AG399" s="2078"/>
    </row>
    <row r="400" spans="1:33" s="584" customFormat="1" ht="30" customHeight="1" thickBot="1">
      <c r="A400" s="597"/>
      <c r="D400" s="2670" t="s">
        <v>1820</v>
      </c>
      <c r="E400" s="2141"/>
      <c r="F400" s="2141"/>
      <c r="G400" s="2141"/>
      <c r="H400" s="2141"/>
      <c r="I400" s="1804">
        <f>'Notes- SK Template'!I397</f>
        <v>0</v>
      </c>
      <c r="J400" s="1805"/>
      <c r="K400" s="1805"/>
      <c r="L400" s="1805">
        <f>'Notes- SK Template'!L398</f>
        <v>0</v>
      </c>
      <c r="M400" s="1805"/>
      <c r="N400" s="1805"/>
      <c r="O400" s="1805"/>
      <c r="P400" s="1805"/>
      <c r="Q400" s="1805"/>
      <c r="R400" s="1805"/>
      <c r="S400" s="1805"/>
      <c r="T400" s="1805"/>
      <c r="U400" s="1805"/>
      <c r="V400" s="1805"/>
      <c r="W400" s="1805"/>
      <c r="X400" s="1805"/>
      <c r="Y400" s="1805"/>
      <c r="Z400" s="1805"/>
      <c r="AA400" s="1805"/>
      <c r="AB400" s="1805"/>
      <c r="AC400" s="1807">
        <f>'Notes- SK Template'!AC397</f>
        <v>0</v>
      </c>
      <c r="AD400" s="1807"/>
      <c r="AE400" s="1807"/>
      <c r="AF400" s="1807">
        <f>'Notes- SK Template'!AF398</f>
        <v>0</v>
      </c>
      <c r="AG400" s="1808"/>
    </row>
    <row r="401" spans="1:33" s="584" customFormat="1" ht="25.5" customHeight="1" thickBot="1">
      <c r="A401" s="597"/>
      <c r="D401" s="2670" t="s">
        <v>1821</v>
      </c>
      <c r="E401" s="2141"/>
      <c r="F401" s="2141"/>
      <c r="G401" s="2141"/>
      <c r="H401" s="2141"/>
      <c r="I401" s="1804">
        <f>'Notes- SK Template'!I398</f>
        <v>0</v>
      </c>
      <c r="J401" s="1805"/>
      <c r="K401" s="1805"/>
      <c r="L401" s="1805">
        <f>'Notes- SK Template'!L399</f>
        <v>0</v>
      </c>
      <c r="M401" s="1805"/>
      <c r="N401" s="1805"/>
      <c r="O401" s="1805"/>
      <c r="P401" s="1805"/>
      <c r="Q401" s="1805"/>
      <c r="R401" s="1805"/>
      <c r="S401" s="1805"/>
      <c r="T401" s="1805"/>
      <c r="U401" s="1805"/>
      <c r="V401" s="1805"/>
      <c r="W401" s="1805"/>
      <c r="X401" s="1805"/>
      <c r="Y401" s="1805"/>
      <c r="Z401" s="1805"/>
      <c r="AA401" s="1805"/>
      <c r="AB401" s="1805"/>
      <c r="AC401" s="1807">
        <f>'Notes- SK Template'!AC398</f>
        <v>0</v>
      </c>
      <c r="AD401" s="1807"/>
      <c r="AE401" s="1807"/>
      <c r="AF401" s="1807">
        <f>'Notes- SK Template'!AF399</f>
        <v>0</v>
      </c>
      <c r="AG401" s="1808"/>
    </row>
    <row r="402" spans="1:33" s="584" customFormat="1" ht="15" customHeight="1" thickBot="1">
      <c r="A402" s="597"/>
      <c r="D402" s="2670" t="s">
        <v>1822</v>
      </c>
      <c r="E402" s="2141"/>
      <c r="F402" s="2141"/>
      <c r="G402" s="2141"/>
      <c r="H402" s="2141"/>
      <c r="I402" s="1804">
        <f>'Notes- SK Template'!I399</f>
        <v>0</v>
      </c>
      <c r="J402" s="1805"/>
      <c r="K402" s="1805"/>
      <c r="L402" s="1805">
        <f>'Notes- SK Template'!L400</f>
        <v>0</v>
      </c>
      <c r="M402" s="1805"/>
      <c r="N402" s="1805"/>
      <c r="O402" s="1805"/>
      <c r="P402" s="1805"/>
      <c r="Q402" s="1805"/>
      <c r="R402" s="1805"/>
      <c r="S402" s="1805"/>
      <c r="T402" s="1805"/>
      <c r="U402" s="1805"/>
      <c r="V402" s="1805"/>
      <c r="W402" s="1805"/>
      <c r="X402" s="1805"/>
      <c r="Y402" s="1805"/>
      <c r="Z402" s="1805"/>
      <c r="AA402" s="1805"/>
      <c r="AB402" s="1805"/>
      <c r="AC402" s="1807">
        <f>'Notes- SK Template'!AC399</f>
        <v>0</v>
      </c>
      <c r="AD402" s="1807"/>
      <c r="AE402" s="1807"/>
      <c r="AF402" s="1807">
        <f>'Notes- SK Template'!AF400</f>
        <v>0</v>
      </c>
      <c r="AG402" s="1808"/>
    </row>
    <row r="403" spans="1:33" s="584" customFormat="1" ht="30" customHeight="1" thickBot="1">
      <c r="A403" s="597"/>
      <c r="D403" s="2670" t="s">
        <v>1823</v>
      </c>
      <c r="E403" s="2141"/>
      <c r="F403" s="2141"/>
      <c r="G403" s="2141"/>
      <c r="H403" s="2141"/>
      <c r="I403" s="1804">
        <f>'Notes- SK Template'!I400</f>
        <v>0</v>
      </c>
      <c r="J403" s="1805"/>
      <c r="K403" s="1805"/>
      <c r="L403" s="1805">
        <f>'Notes- SK Template'!L401</f>
        <v>0</v>
      </c>
      <c r="M403" s="1805"/>
      <c r="N403" s="1805"/>
      <c r="O403" s="1805"/>
      <c r="P403" s="1805"/>
      <c r="Q403" s="1805"/>
      <c r="R403" s="1805"/>
      <c r="S403" s="1805"/>
      <c r="T403" s="1805"/>
      <c r="U403" s="1805"/>
      <c r="V403" s="1805"/>
      <c r="W403" s="1805"/>
      <c r="X403" s="1805"/>
      <c r="Y403" s="1805"/>
      <c r="Z403" s="1805"/>
      <c r="AA403" s="1805"/>
      <c r="AB403" s="1805"/>
      <c r="AC403" s="1807">
        <f>'Notes- SK Template'!AC400</f>
        <v>0</v>
      </c>
      <c r="AD403" s="1807"/>
      <c r="AE403" s="1807"/>
      <c r="AF403" s="1807">
        <f>'Notes- SK Template'!AF401</f>
        <v>0</v>
      </c>
      <c r="AG403" s="1808"/>
    </row>
    <row r="404" spans="1:33" s="584" customFormat="1" ht="30" customHeight="1" thickBot="1">
      <c r="A404" s="597"/>
      <c r="D404" s="2670" t="s">
        <v>1824</v>
      </c>
      <c r="E404" s="2141"/>
      <c r="F404" s="2141"/>
      <c r="G404" s="2141"/>
      <c r="H404" s="2141"/>
      <c r="I404" s="1804">
        <f>'Notes- SK Template'!I401</f>
        <v>0</v>
      </c>
      <c r="J404" s="1805"/>
      <c r="K404" s="1805"/>
      <c r="L404" s="1805">
        <f>'Notes- SK Template'!L402</f>
        <v>0</v>
      </c>
      <c r="M404" s="1805"/>
      <c r="N404" s="1805"/>
      <c r="O404" s="1805"/>
      <c r="P404" s="1805"/>
      <c r="Q404" s="1805"/>
      <c r="R404" s="1805"/>
      <c r="S404" s="1805"/>
      <c r="T404" s="1805"/>
      <c r="U404" s="1805"/>
      <c r="V404" s="1805"/>
      <c r="W404" s="1805"/>
      <c r="X404" s="1805"/>
      <c r="Y404" s="1805"/>
      <c r="Z404" s="1805"/>
      <c r="AA404" s="1805"/>
      <c r="AB404" s="1805"/>
      <c r="AC404" s="1807">
        <f>'Notes- SK Template'!AC401</f>
        <v>0</v>
      </c>
      <c r="AD404" s="1807"/>
      <c r="AE404" s="1807"/>
      <c r="AF404" s="1807">
        <f>'Notes- SK Template'!AF402</f>
        <v>0</v>
      </c>
      <c r="AG404" s="1808"/>
    </row>
    <row r="405" spans="1:33" s="584" customFormat="1" ht="34.75" customHeight="1" thickBot="1">
      <c r="A405" s="597"/>
      <c r="D405" s="2670" t="s">
        <v>1825</v>
      </c>
      <c r="E405" s="2141"/>
      <c r="F405" s="2141"/>
      <c r="G405" s="2141"/>
      <c r="H405" s="2141"/>
      <c r="I405" s="1804">
        <f>'Notes- SK Template'!I402</f>
        <v>0</v>
      </c>
      <c r="J405" s="1805"/>
      <c r="K405" s="1805"/>
      <c r="L405" s="1805">
        <f>'Notes- SK Template'!L403</f>
        <v>0</v>
      </c>
      <c r="M405" s="1805"/>
      <c r="N405" s="1805"/>
      <c r="O405" s="1805"/>
      <c r="P405" s="1805"/>
      <c r="Q405" s="1805"/>
      <c r="R405" s="1805"/>
      <c r="S405" s="1805"/>
      <c r="T405" s="1805"/>
      <c r="U405" s="1805"/>
      <c r="V405" s="1805"/>
      <c r="W405" s="1805"/>
      <c r="X405" s="1805"/>
      <c r="Y405" s="1805"/>
      <c r="Z405" s="1805"/>
      <c r="AA405" s="1805"/>
      <c r="AB405" s="1805"/>
      <c r="AC405" s="1807">
        <f>'Notes- SK Template'!AC402</f>
        <v>0</v>
      </c>
      <c r="AD405" s="1807"/>
      <c r="AE405" s="1807"/>
      <c r="AF405" s="1807">
        <f>'Notes- SK Template'!AF403</f>
        <v>0</v>
      </c>
      <c r="AG405" s="1808"/>
    </row>
    <row r="406" spans="1:33" s="584" customFormat="1" ht="21.75" customHeight="1" thickBot="1">
      <c r="A406" s="597"/>
      <c r="D406" s="1995" t="s">
        <v>1826</v>
      </c>
      <c r="E406" s="1995"/>
      <c r="F406" s="1995"/>
      <c r="G406" s="1995"/>
      <c r="H406" s="1995"/>
      <c r="I406" s="2137">
        <f>'Notes- SK Template'!I403</f>
        <v>4833</v>
      </c>
      <c r="J406" s="2138"/>
      <c r="K406" s="2138"/>
      <c r="L406" s="2138">
        <f>'Notes- SK Template'!L404</f>
        <v>0</v>
      </c>
      <c r="M406" s="2138"/>
      <c r="N406" s="2138">
        <f>'Notes- SK Template'!N403</f>
        <v>1391</v>
      </c>
      <c r="O406" s="2138"/>
      <c r="P406" s="2138"/>
      <c r="Q406" s="2138">
        <f>'Notes- SK Template'!Q404</f>
        <v>0</v>
      </c>
      <c r="R406" s="2138"/>
      <c r="S406" s="2138">
        <f>'Notes- SK Template'!S403</f>
        <v>0</v>
      </c>
      <c r="T406" s="2138"/>
      <c r="U406" s="2138"/>
      <c r="V406" s="2138">
        <f>'Notes- SK Template'!V404</f>
        <v>0</v>
      </c>
      <c r="W406" s="2138"/>
      <c r="X406" s="2138">
        <f>'Notes- SK Template'!X403</f>
        <v>0</v>
      </c>
      <c r="Y406" s="2138"/>
      <c r="Z406" s="2138"/>
      <c r="AA406" s="2138">
        <f>'Notes- SK Template'!AA404</f>
        <v>0</v>
      </c>
      <c r="AB406" s="2138"/>
      <c r="AC406" s="2138">
        <f>'Notes- SK Template'!AC403</f>
        <v>6224</v>
      </c>
      <c r="AD406" s="2138"/>
      <c r="AE406" s="2138"/>
      <c r="AF406" s="2138">
        <f>'Notes- SK Template'!AF404</f>
        <v>0</v>
      </c>
      <c r="AG406" s="2139"/>
    </row>
    <row r="407" spans="1:33" s="584" customFormat="1" ht="14">
      <c r="A407" s="597"/>
    </row>
    <row r="408" spans="1:33" s="584" customFormat="1" ht="32.15" customHeight="1">
      <c r="A408" s="597"/>
      <c r="D408" s="2133" t="s">
        <v>2971</v>
      </c>
      <c r="E408" s="2134"/>
      <c r="F408" s="2134"/>
      <c r="G408" s="2134"/>
      <c r="H408" s="2134"/>
      <c r="I408" s="2134"/>
      <c r="J408" s="2134"/>
      <c r="K408" s="2134"/>
      <c r="L408" s="2134"/>
      <c r="M408" s="2134"/>
      <c r="N408" s="2134"/>
      <c r="O408" s="2134"/>
      <c r="P408" s="2134"/>
      <c r="Q408" s="2134"/>
      <c r="R408" s="2134"/>
      <c r="S408" s="2134"/>
      <c r="T408" s="2134"/>
      <c r="U408" s="2134"/>
      <c r="V408" s="2134"/>
      <c r="W408" s="2134"/>
      <c r="X408" s="2134"/>
      <c r="Y408" s="2134"/>
      <c r="Z408" s="2134"/>
      <c r="AA408" s="2134"/>
      <c r="AB408" s="2134"/>
      <c r="AC408" s="2134"/>
      <c r="AD408" s="2134"/>
      <c r="AE408" s="2134"/>
      <c r="AF408" s="2134"/>
      <c r="AG408" s="2134"/>
    </row>
    <row r="409" spans="1:33" s="584" customFormat="1" ht="14">
      <c r="A409" s="597"/>
      <c r="D409" s="2100" t="s">
        <v>2023</v>
      </c>
      <c r="E409" s="2101"/>
      <c r="F409" s="2101"/>
      <c r="G409" s="2101"/>
      <c r="H409" s="2101"/>
      <c r="I409" s="2101"/>
      <c r="J409" s="2101"/>
      <c r="K409" s="2101"/>
      <c r="L409" s="2101"/>
      <c r="M409" s="2101"/>
      <c r="N409" s="2101"/>
      <c r="O409" s="2101"/>
      <c r="P409" s="2101"/>
      <c r="Q409" s="2101"/>
      <c r="R409" s="2101"/>
      <c r="S409" s="2101"/>
      <c r="T409" s="2101"/>
      <c r="U409" s="2101"/>
      <c r="V409" s="2101"/>
      <c r="W409" s="2101"/>
      <c r="X409" s="2101"/>
      <c r="Y409" s="2101"/>
      <c r="Z409" s="2101"/>
      <c r="AA409" s="2101"/>
      <c r="AB409" s="2101"/>
      <c r="AC409" s="2101"/>
      <c r="AD409" s="2101"/>
      <c r="AE409" s="2101"/>
      <c r="AF409" s="2101"/>
      <c r="AG409" s="2101"/>
    </row>
    <row r="410" spans="1:33" s="584" customFormat="1" ht="14.5" thickBot="1">
      <c r="A410" s="597"/>
    </row>
    <row r="411" spans="1:33" s="584" customFormat="1" ht="30" customHeight="1" thickBot="1">
      <c r="A411" s="597">
        <v>13</v>
      </c>
      <c r="D411" s="1921" t="s">
        <v>1813</v>
      </c>
      <c r="E411" s="1921"/>
      <c r="F411" s="1921"/>
      <c r="G411" s="1921"/>
      <c r="H411" s="1921"/>
      <c r="I411" s="1921"/>
      <c r="J411" s="1921"/>
      <c r="K411" s="1921"/>
      <c r="L411" s="1921"/>
      <c r="M411" s="1921"/>
      <c r="N411" s="1921"/>
      <c r="O411" s="1921"/>
      <c r="P411" s="1921"/>
      <c r="Q411" s="1921"/>
      <c r="R411" s="1921"/>
      <c r="S411" s="1921"/>
      <c r="T411" s="2042" t="s">
        <v>1799</v>
      </c>
      <c r="U411" s="2043"/>
      <c r="V411" s="2043"/>
      <c r="W411" s="2043"/>
      <c r="X411" s="2043"/>
      <c r="Y411" s="2043"/>
      <c r="Z411" s="2044"/>
      <c r="AA411" s="2042" t="s">
        <v>2896</v>
      </c>
      <c r="AB411" s="2043"/>
      <c r="AC411" s="2043"/>
      <c r="AD411" s="2043"/>
      <c r="AE411" s="2043"/>
      <c r="AF411" s="2043"/>
      <c r="AG411" s="2044"/>
    </row>
    <row r="412" spans="1:33" s="584" customFormat="1" ht="19.5" customHeight="1">
      <c r="A412" s="597"/>
      <c r="D412" s="2665" t="s">
        <v>1827</v>
      </c>
      <c r="E412" s="2129"/>
      <c r="F412" s="2129"/>
      <c r="G412" s="2129"/>
      <c r="H412" s="2129"/>
      <c r="I412" s="2129"/>
      <c r="J412" s="2129"/>
      <c r="K412" s="2129"/>
      <c r="L412" s="2129"/>
      <c r="M412" s="2129"/>
      <c r="N412" s="2129"/>
      <c r="O412" s="2129"/>
      <c r="P412" s="2129"/>
      <c r="Q412" s="2129"/>
      <c r="R412" s="2129"/>
      <c r="S412" s="2129"/>
      <c r="T412" s="2703" t="str">
        <f>'Notes- SK Template'!T412</f>
        <v>-</v>
      </c>
      <c r="U412" s="2252"/>
      <c r="V412" s="2252"/>
      <c r="W412" s="2252"/>
      <c r="X412" s="2252"/>
      <c r="Y412" s="2252"/>
      <c r="Z412" s="2253"/>
      <c r="AA412" s="2703" t="str">
        <f>'Notes- SK Template'!AA412</f>
        <v>-</v>
      </c>
      <c r="AB412" s="2252"/>
      <c r="AC412" s="2252"/>
      <c r="AD412" s="2252"/>
      <c r="AE412" s="2252"/>
      <c r="AF412" s="2252"/>
      <c r="AG412" s="2253"/>
    </row>
    <row r="413" spans="1:33" s="584" customFormat="1" ht="19.5" customHeight="1" thickBot="1">
      <c r="A413" s="597"/>
      <c r="D413" s="2668" t="s">
        <v>1828</v>
      </c>
      <c r="E413" s="1996"/>
      <c r="F413" s="1996"/>
      <c r="G413" s="1996"/>
      <c r="H413" s="1996"/>
      <c r="I413" s="1996"/>
      <c r="J413" s="1996"/>
      <c r="K413" s="1996"/>
      <c r="L413" s="1996"/>
      <c r="M413" s="1996"/>
      <c r="N413" s="1996"/>
      <c r="O413" s="1996"/>
      <c r="P413" s="1996"/>
      <c r="Q413" s="1996"/>
      <c r="R413" s="1996"/>
      <c r="S413" s="1996"/>
      <c r="T413" s="2704" t="str">
        <f>'Notes- SK Template'!T413</f>
        <v>-</v>
      </c>
      <c r="U413" s="2255"/>
      <c r="V413" s="2255"/>
      <c r="W413" s="2255"/>
      <c r="X413" s="2255"/>
      <c r="Y413" s="2255"/>
      <c r="Z413" s="2256"/>
      <c r="AA413" s="2704" t="str">
        <f>'Notes- SK Template'!AA413</f>
        <v>-</v>
      </c>
      <c r="AB413" s="2255"/>
      <c r="AC413" s="2255"/>
      <c r="AD413" s="2255"/>
      <c r="AE413" s="2255"/>
      <c r="AF413" s="2255"/>
      <c r="AG413" s="2256"/>
    </row>
    <row r="414" spans="1:33" s="584" customFormat="1" ht="14">
      <c r="A414" s="597"/>
    </row>
    <row r="415" spans="1:33" s="584" customFormat="1" ht="14">
      <c r="A415" s="597"/>
      <c r="D415" s="2669"/>
      <c r="E415" s="2669"/>
      <c r="F415" s="2669"/>
      <c r="G415" s="2669"/>
      <c r="H415" s="2669"/>
      <c r="I415" s="2669"/>
      <c r="J415" s="2669"/>
      <c r="K415" s="2669"/>
      <c r="L415" s="2669"/>
      <c r="M415" s="2669"/>
      <c r="N415" s="2669"/>
      <c r="O415" s="2669"/>
      <c r="P415" s="2669"/>
      <c r="Q415" s="2669"/>
      <c r="R415" s="2669"/>
      <c r="S415" s="2669"/>
      <c r="T415" s="2669"/>
      <c r="U415" s="2669"/>
      <c r="V415" s="2669"/>
      <c r="W415" s="2669"/>
      <c r="X415" s="2669"/>
      <c r="Y415" s="2669"/>
      <c r="Z415" s="2669"/>
      <c r="AA415" s="2669"/>
      <c r="AB415" s="2669"/>
      <c r="AC415" s="2669"/>
      <c r="AD415" s="2669"/>
      <c r="AE415" s="2669"/>
      <c r="AF415" s="2669"/>
      <c r="AG415" s="2669"/>
    </row>
    <row r="416" spans="1:33" s="584" customFormat="1" ht="14">
      <c r="A416" s="597"/>
      <c r="D416" s="2669"/>
      <c r="E416" s="2669"/>
      <c r="F416" s="2669"/>
      <c r="G416" s="2669"/>
      <c r="H416" s="2669"/>
      <c r="I416" s="2669"/>
      <c r="J416" s="2669"/>
      <c r="K416" s="2669"/>
      <c r="L416" s="2669"/>
      <c r="M416" s="2669"/>
      <c r="N416" s="2669"/>
      <c r="O416" s="2669"/>
      <c r="P416" s="2669"/>
      <c r="Q416" s="2669"/>
      <c r="R416" s="2669"/>
      <c r="S416" s="2669"/>
      <c r="T416" s="2669"/>
      <c r="U416" s="2669"/>
      <c r="V416" s="2669"/>
      <c r="W416" s="2669"/>
      <c r="X416" s="2669"/>
      <c r="Y416" s="2669"/>
      <c r="Z416" s="2669"/>
      <c r="AA416" s="2669"/>
      <c r="AB416" s="2669"/>
      <c r="AC416" s="2669"/>
      <c r="AD416" s="2669"/>
      <c r="AE416" s="2669"/>
      <c r="AF416" s="2669"/>
      <c r="AG416" s="2669"/>
    </row>
    <row r="417" spans="1:33" s="584" customFormat="1" ht="14">
      <c r="A417" s="597"/>
      <c r="D417" s="2669"/>
      <c r="E417" s="2669"/>
      <c r="F417" s="2669"/>
      <c r="G417" s="2669"/>
      <c r="H417" s="2669"/>
      <c r="I417" s="2669"/>
      <c r="J417" s="2669"/>
      <c r="K417" s="2669"/>
      <c r="L417" s="2669"/>
      <c r="M417" s="2669"/>
      <c r="N417" s="2669"/>
      <c r="O417" s="2669"/>
      <c r="P417" s="2669"/>
      <c r="Q417" s="2669"/>
      <c r="R417" s="2669"/>
      <c r="S417" s="2669"/>
      <c r="T417" s="2669"/>
      <c r="U417" s="2669"/>
      <c r="V417" s="2669"/>
      <c r="W417" s="2669"/>
      <c r="X417" s="2669"/>
      <c r="Y417" s="2669"/>
      <c r="Z417" s="2669"/>
      <c r="AA417" s="2669"/>
      <c r="AB417" s="2669"/>
      <c r="AC417" s="2669"/>
      <c r="AD417" s="2669"/>
      <c r="AE417" s="2669"/>
      <c r="AF417" s="2669"/>
      <c r="AG417" s="2669"/>
    </row>
    <row r="418" spans="1:33" s="584" customFormat="1" ht="14">
      <c r="A418" s="597"/>
      <c r="D418" s="1512"/>
      <c r="E418" s="1512"/>
      <c r="F418" s="1512"/>
      <c r="G418" s="1512"/>
      <c r="H418" s="1512"/>
      <c r="I418" s="1512"/>
      <c r="J418" s="1512"/>
      <c r="K418" s="1512"/>
      <c r="L418" s="1512"/>
      <c r="M418" s="1512"/>
      <c r="N418" s="1512"/>
      <c r="O418" s="1512"/>
      <c r="P418" s="1512"/>
      <c r="Q418" s="1512"/>
      <c r="R418" s="1512"/>
      <c r="S418" s="1512"/>
      <c r="T418" s="1512"/>
      <c r="U418" s="1512"/>
      <c r="V418" s="1512"/>
      <c r="W418" s="1512"/>
      <c r="X418" s="1512"/>
      <c r="Y418" s="1512"/>
      <c r="Z418" s="1512"/>
      <c r="AA418" s="1512"/>
      <c r="AB418" s="1512"/>
      <c r="AC418" s="1512"/>
      <c r="AD418" s="1512"/>
      <c r="AE418" s="1512"/>
      <c r="AF418" s="1512"/>
      <c r="AG418" s="1512"/>
    </row>
    <row r="419" spans="1:33" s="584" customFormat="1" ht="14">
      <c r="A419" s="597"/>
      <c r="D419" s="582" t="s">
        <v>2974</v>
      </c>
    </row>
    <row r="420" spans="1:33" s="584" customFormat="1" ht="14">
      <c r="A420" s="597"/>
    </row>
    <row r="421" spans="1:33" s="584" customFormat="1" ht="14">
      <c r="A421" s="597"/>
      <c r="D421" s="2178" t="s">
        <v>1829</v>
      </c>
      <c r="E421" s="2323"/>
      <c r="F421" s="2323"/>
      <c r="G421" s="2323"/>
      <c r="H421" s="2323"/>
      <c r="I421" s="2323"/>
      <c r="J421" s="2323"/>
      <c r="K421" s="2323"/>
      <c r="L421" s="2323"/>
      <c r="M421" s="2323"/>
      <c r="N421" s="2323"/>
      <c r="O421" s="2323"/>
      <c r="P421" s="2323"/>
      <c r="Q421" s="2323"/>
      <c r="R421" s="2323"/>
      <c r="S421" s="2323"/>
      <c r="T421" s="2323"/>
      <c r="U421" s="2323"/>
      <c r="V421" s="2323"/>
      <c r="W421" s="2323"/>
      <c r="X421" s="2323"/>
      <c r="Y421" s="2323"/>
      <c r="Z421" s="2323"/>
      <c r="AA421" s="2323"/>
      <c r="AB421" s="2323"/>
      <c r="AC421" s="2323"/>
      <c r="AD421" s="2323"/>
      <c r="AE421" s="2323"/>
      <c r="AF421" s="2323"/>
      <c r="AG421" s="2323"/>
    </row>
    <row r="422" spans="1:33" s="584" customFormat="1" ht="14.5" thickBot="1">
      <c r="A422" s="597"/>
    </row>
    <row r="423" spans="1:33" s="584" customFormat="1" ht="14.5" thickBot="1">
      <c r="A423" s="597"/>
      <c r="D423" s="1921" t="s">
        <v>1830</v>
      </c>
      <c r="E423" s="1921"/>
      <c r="F423" s="1921"/>
      <c r="G423" s="1921"/>
      <c r="H423" s="1921"/>
      <c r="I423" s="1921" t="s">
        <v>1740</v>
      </c>
      <c r="J423" s="1921"/>
      <c r="K423" s="1921"/>
      <c r="L423" s="1921"/>
      <c r="M423" s="1921"/>
      <c r="N423" s="1921"/>
      <c r="O423" s="1921"/>
      <c r="P423" s="1921"/>
      <c r="Q423" s="1921"/>
      <c r="R423" s="1921"/>
      <c r="S423" s="1921"/>
      <c r="T423" s="1921"/>
      <c r="U423" s="1921"/>
      <c r="V423" s="1921"/>
      <c r="W423" s="1921"/>
      <c r="X423" s="1921"/>
      <c r="Y423" s="1921"/>
      <c r="Z423" s="1921"/>
      <c r="AA423" s="1921"/>
      <c r="AB423" s="1921"/>
      <c r="AC423" s="1921"/>
      <c r="AD423" s="1921"/>
      <c r="AE423" s="1921"/>
      <c r="AF423" s="1921"/>
      <c r="AG423" s="1921"/>
    </row>
    <row r="424" spans="1:33" s="584" customFormat="1" ht="70.75" customHeight="1" thickBot="1">
      <c r="A424" s="597">
        <v>15</v>
      </c>
      <c r="D424" s="1921"/>
      <c r="E424" s="1921"/>
      <c r="F424" s="1921"/>
      <c r="G424" s="1921"/>
      <c r="H424" s="1921"/>
      <c r="I424" s="1851" t="s">
        <v>1831</v>
      </c>
      <c r="J424" s="1851"/>
      <c r="K424" s="1851"/>
      <c r="L424" s="1851"/>
      <c r="M424" s="1851"/>
      <c r="N424" s="1851" t="s">
        <v>1815</v>
      </c>
      <c r="O424" s="1851"/>
      <c r="P424" s="1851"/>
      <c r="Q424" s="1851"/>
      <c r="R424" s="1851"/>
      <c r="S424" s="1851" t="s">
        <v>1816</v>
      </c>
      <c r="T424" s="1851"/>
      <c r="U424" s="1851"/>
      <c r="V424" s="1851"/>
      <c r="W424" s="1851"/>
      <c r="X424" s="1851" t="s">
        <v>1832</v>
      </c>
      <c r="Y424" s="1851"/>
      <c r="Z424" s="1851"/>
      <c r="AA424" s="1851"/>
      <c r="AB424" s="1851"/>
      <c r="AC424" s="1851" t="s">
        <v>1833</v>
      </c>
      <c r="AD424" s="1851"/>
      <c r="AE424" s="1851"/>
      <c r="AF424" s="1851"/>
      <c r="AG424" s="1851"/>
    </row>
    <row r="425" spans="1:33" s="584" customFormat="1" ht="37.5" customHeight="1">
      <c r="A425" s="597"/>
      <c r="D425" s="2588" t="s">
        <v>1834</v>
      </c>
      <c r="E425" s="1810"/>
      <c r="F425" s="1810"/>
      <c r="G425" s="1810"/>
      <c r="H425" s="1811"/>
      <c r="I425" s="2074">
        <f>'Notes- SK Template'!I423</f>
        <v>0</v>
      </c>
      <c r="J425" s="2075"/>
      <c r="K425" s="2075"/>
      <c r="L425" s="2075">
        <f>'Notes- SK Template'!L423</f>
        <v>0</v>
      </c>
      <c r="M425" s="2075"/>
      <c r="N425" s="2075"/>
      <c r="O425" s="2075"/>
      <c r="P425" s="2075"/>
      <c r="Q425" s="2075"/>
      <c r="R425" s="2075"/>
      <c r="S425" s="2075"/>
      <c r="T425" s="2075"/>
      <c r="U425" s="2075"/>
      <c r="V425" s="2075"/>
      <c r="W425" s="2075"/>
      <c r="X425" s="2075">
        <f>'Notes- SK Template'!X423</f>
        <v>0</v>
      </c>
      <c r="Y425" s="2075"/>
      <c r="Z425" s="2075"/>
      <c r="AA425" s="2075">
        <f>'Notes- SK Template'!AA423</f>
        <v>0</v>
      </c>
      <c r="AB425" s="2075"/>
      <c r="AC425" s="2077">
        <f>'Notes- SK Template'!AC423</f>
        <v>0</v>
      </c>
      <c r="AD425" s="2077"/>
      <c r="AE425" s="2077"/>
      <c r="AF425" s="2077">
        <f>'Notes- SK Template'!AF423</f>
        <v>0</v>
      </c>
      <c r="AG425" s="2078"/>
    </row>
    <row r="426" spans="1:33" s="584" customFormat="1" ht="45.75" customHeight="1">
      <c r="A426" s="597"/>
      <c r="D426" s="2560" t="s">
        <v>1835</v>
      </c>
      <c r="E426" s="1826"/>
      <c r="F426" s="1826"/>
      <c r="G426" s="1826"/>
      <c r="H426" s="1827"/>
      <c r="I426" s="1804">
        <f>'Notes- SK Template'!I424</f>
        <v>0</v>
      </c>
      <c r="J426" s="1805"/>
      <c r="K426" s="1805"/>
      <c r="L426" s="1805">
        <f>'Notes- SK Template'!L424</f>
        <v>0</v>
      </c>
      <c r="M426" s="1805"/>
      <c r="N426" s="1805"/>
      <c r="O426" s="1805"/>
      <c r="P426" s="1805"/>
      <c r="Q426" s="1805"/>
      <c r="R426" s="1805"/>
      <c r="S426" s="1805"/>
      <c r="T426" s="1805"/>
      <c r="U426" s="1805"/>
      <c r="V426" s="1805"/>
      <c r="W426" s="1805"/>
      <c r="X426" s="1805"/>
      <c r="Y426" s="1805"/>
      <c r="Z426" s="1805"/>
      <c r="AA426" s="1805"/>
      <c r="AB426" s="1805"/>
      <c r="AC426" s="1807">
        <f>'Notes- SK Template'!AC424</f>
        <v>0</v>
      </c>
      <c r="AD426" s="1807"/>
      <c r="AE426" s="1807"/>
      <c r="AF426" s="1807">
        <f>'Notes- SK Template'!AF424</f>
        <v>0</v>
      </c>
      <c r="AG426" s="1808"/>
    </row>
    <row r="427" spans="1:33" s="584" customFormat="1" ht="37.5" customHeight="1">
      <c r="A427" s="597"/>
      <c r="D427" s="2560" t="s">
        <v>1836</v>
      </c>
      <c r="E427" s="1826"/>
      <c r="F427" s="1826"/>
      <c r="G427" s="1826"/>
      <c r="H427" s="1827"/>
      <c r="I427" s="1804">
        <f>'Notes- SK Template'!I425</f>
        <v>0</v>
      </c>
      <c r="J427" s="1805"/>
      <c r="K427" s="1805"/>
      <c r="L427" s="1805">
        <f>'Notes- SK Template'!L425</f>
        <v>0</v>
      </c>
      <c r="M427" s="1805"/>
      <c r="N427" s="1805"/>
      <c r="O427" s="1805"/>
      <c r="P427" s="1805"/>
      <c r="Q427" s="1805"/>
      <c r="R427" s="1805"/>
      <c r="S427" s="1805"/>
      <c r="T427" s="1805"/>
      <c r="U427" s="1805"/>
      <c r="V427" s="1805"/>
      <c r="W427" s="1805"/>
      <c r="X427" s="1805"/>
      <c r="Y427" s="1805"/>
      <c r="Z427" s="1805"/>
      <c r="AA427" s="1805"/>
      <c r="AB427" s="1805"/>
      <c r="AC427" s="1807">
        <f>'Notes- SK Template'!AC425</f>
        <v>0</v>
      </c>
      <c r="AD427" s="1807"/>
      <c r="AE427" s="1807"/>
      <c r="AF427" s="1807">
        <f>'Notes- SK Template'!AF425</f>
        <v>0</v>
      </c>
      <c r="AG427" s="1808"/>
    </row>
    <row r="428" spans="1:33" s="584" customFormat="1" ht="37.5" customHeight="1">
      <c r="A428" s="597"/>
      <c r="D428" s="2560" t="s">
        <v>1837</v>
      </c>
      <c r="E428" s="1826"/>
      <c r="F428" s="1826"/>
      <c r="G428" s="1826"/>
      <c r="H428" s="1827"/>
      <c r="I428" s="1804">
        <f>'Notes- SK Template'!I426</f>
        <v>0</v>
      </c>
      <c r="J428" s="1805"/>
      <c r="K428" s="1805"/>
      <c r="L428" s="1805">
        <f>'Notes- SK Template'!L426</f>
        <v>0</v>
      </c>
      <c r="M428" s="1805"/>
      <c r="N428" s="1805"/>
      <c r="O428" s="1805"/>
      <c r="P428" s="1805"/>
      <c r="Q428" s="1805"/>
      <c r="R428" s="1805"/>
      <c r="S428" s="1805"/>
      <c r="T428" s="1805"/>
      <c r="U428" s="1805"/>
      <c r="V428" s="1805"/>
      <c r="W428" s="1805"/>
      <c r="X428" s="1805"/>
      <c r="Y428" s="1805"/>
      <c r="Z428" s="1805"/>
      <c r="AA428" s="1805"/>
      <c r="AB428" s="1805"/>
      <c r="AC428" s="1807">
        <f>'Notes- SK Template'!AC426</f>
        <v>0</v>
      </c>
      <c r="AD428" s="1807"/>
      <c r="AE428" s="1807"/>
      <c r="AF428" s="1807">
        <f>'Notes- SK Template'!AF426</f>
        <v>0</v>
      </c>
      <c r="AG428" s="1808"/>
    </row>
    <row r="429" spans="1:33" s="584" customFormat="1" ht="37.5" customHeight="1">
      <c r="A429" s="597"/>
      <c r="D429" s="2560" t="s">
        <v>1838</v>
      </c>
      <c r="E429" s="1826"/>
      <c r="F429" s="1826"/>
      <c r="G429" s="1826"/>
      <c r="H429" s="1827"/>
      <c r="I429" s="1804">
        <f>'Notes- SK Template'!I427</f>
        <v>9730</v>
      </c>
      <c r="J429" s="1805"/>
      <c r="K429" s="1805"/>
      <c r="L429" s="1805">
        <f>'Notes- SK Template'!L427</f>
        <v>0</v>
      </c>
      <c r="M429" s="1805"/>
      <c r="N429" s="1805">
        <f>'Notes- SK Template'!N427</f>
        <v>0</v>
      </c>
      <c r="O429" s="1805"/>
      <c r="P429" s="1805"/>
      <c r="Q429" s="1805">
        <f>'Notes- SK Template'!Q427</f>
        <v>0</v>
      </c>
      <c r="R429" s="1805"/>
      <c r="S429" s="1816">
        <v>-535</v>
      </c>
      <c r="T429" s="1816"/>
      <c r="U429" s="1816"/>
      <c r="V429" s="1816">
        <v>0</v>
      </c>
      <c r="W429" s="1816"/>
      <c r="X429" s="1805"/>
      <c r="Y429" s="1805"/>
      <c r="Z429" s="1805"/>
      <c r="AA429" s="1805"/>
      <c r="AB429" s="1805"/>
      <c r="AC429" s="1807">
        <f>'Notes- SK Template'!AC427</f>
        <v>9195</v>
      </c>
      <c r="AD429" s="1807"/>
      <c r="AE429" s="1807"/>
      <c r="AF429" s="1807">
        <f>'Notes- SK Template'!AF427</f>
        <v>0</v>
      </c>
      <c r="AG429" s="1808"/>
    </row>
    <row r="430" spans="1:33" s="584" customFormat="1" ht="27.75" customHeight="1" thickBot="1">
      <c r="A430" s="597"/>
      <c r="D430" s="1894" t="s">
        <v>1839</v>
      </c>
      <c r="E430" s="1894"/>
      <c r="F430" s="1894"/>
      <c r="G430" s="1894"/>
      <c r="H430" s="1894"/>
      <c r="I430" s="2137">
        <f>'Notes- SK Template'!I428</f>
        <v>9730</v>
      </c>
      <c r="J430" s="2138"/>
      <c r="K430" s="2138"/>
      <c r="L430" s="2138">
        <f>'Notes- SK Template'!L428</f>
        <v>0</v>
      </c>
      <c r="M430" s="2138"/>
      <c r="N430" s="2138">
        <f>'Notes- SK Template'!N428</f>
        <v>0</v>
      </c>
      <c r="O430" s="2138"/>
      <c r="P430" s="2138"/>
      <c r="Q430" s="2138">
        <f>'Notes- SK Template'!Q428</f>
        <v>0</v>
      </c>
      <c r="R430" s="2138"/>
      <c r="S430" s="2138">
        <f>'Notes- SK Template'!S428</f>
        <v>-535</v>
      </c>
      <c r="T430" s="2138"/>
      <c r="U430" s="2138"/>
      <c r="V430" s="2138">
        <f>'Notes- SK Template'!V428</f>
        <v>0</v>
      </c>
      <c r="W430" s="2138"/>
      <c r="X430" s="2138">
        <f>'Notes- SK Template'!X428</f>
        <v>0</v>
      </c>
      <c r="Y430" s="2138"/>
      <c r="Z430" s="2138"/>
      <c r="AA430" s="2138">
        <f>'Notes- SK Template'!AA428</f>
        <v>0</v>
      </c>
      <c r="AB430" s="2138"/>
      <c r="AC430" s="2138">
        <f>'Notes- SK Template'!AC428</f>
        <v>9195</v>
      </c>
      <c r="AD430" s="2138"/>
      <c r="AE430" s="2138"/>
      <c r="AF430" s="2138">
        <f>'Notes- SK Template'!AF428</f>
        <v>0</v>
      </c>
      <c r="AG430" s="2139"/>
    </row>
    <row r="431" spans="1:33" s="584" customFormat="1" ht="14.5" thickBot="1">
      <c r="A431" s="597"/>
    </row>
    <row r="432" spans="1:33" s="584" customFormat="1" ht="14.5" thickBot="1">
      <c r="A432" s="597"/>
      <c r="D432" s="1921" t="s">
        <v>1830</v>
      </c>
      <c r="E432" s="1921"/>
      <c r="F432" s="1921"/>
      <c r="G432" s="1921"/>
      <c r="H432" s="1921"/>
      <c r="I432" s="1921" t="s">
        <v>1798</v>
      </c>
      <c r="J432" s="1921"/>
      <c r="K432" s="1921"/>
      <c r="L432" s="1921"/>
      <c r="M432" s="1921"/>
      <c r="N432" s="1921"/>
      <c r="O432" s="1921"/>
      <c r="P432" s="1921"/>
      <c r="Q432" s="1921"/>
      <c r="R432" s="1921"/>
      <c r="S432" s="1921"/>
      <c r="T432" s="1921"/>
      <c r="U432" s="1921"/>
      <c r="V432" s="1921"/>
      <c r="W432" s="1921"/>
      <c r="X432" s="1921"/>
      <c r="Y432" s="1921"/>
      <c r="Z432" s="1921"/>
      <c r="AA432" s="1921"/>
      <c r="AB432" s="1921"/>
      <c r="AC432" s="1921"/>
      <c r="AD432" s="1921"/>
      <c r="AE432" s="1921"/>
      <c r="AF432" s="1921"/>
      <c r="AG432" s="1921"/>
    </row>
    <row r="433" spans="1:33" s="584" customFormat="1" ht="68.25" customHeight="1" thickBot="1">
      <c r="A433" s="597"/>
      <c r="D433" s="1921"/>
      <c r="E433" s="1921"/>
      <c r="F433" s="1921"/>
      <c r="G433" s="1921"/>
      <c r="H433" s="1921"/>
      <c r="I433" s="1851" t="s">
        <v>1831</v>
      </c>
      <c r="J433" s="1851"/>
      <c r="K433" s="1851"/>
      <c r="L433" s="1851"/>
      <c r="M433" s="1851"/>
      <c r="N433" s="1851" t="s">
        <v>1815</v>
      </c>
      <c r="O433" s="1851"/>
      <c r="P433" s="1851"/>
      <c r="Q433" s="1851"/>
      <c r="R433" s="1851"/>
      <c r="S433" s="1851" t="s">
        <v>1816</v>
      </c>
      <c r="T433" s="1851"/>
      <c r="U433" s="1851"/>
      <c r="V433" s="1851"/>
      <c r="W433" s="1851"/>
      <c r="X433" s="1851" t="s">
        <v>1832</v>
      </c>
      <c r="Y433" s="1851"/>
      <c r="Z433" s="1851"/>
      <c r="AA433" s="1851"/>
      <c r="AB433" s="1851"/>
      <c r="AC433" s="1851" t="s">
        <v>1833</v>
      </c>
      <c r="AD433" s="1851"/>
      <c r="AE433" s="1851"/>
      <c r="AF433" s="1851"/>
      <c r="AG433" s="1851"/>
    </row>
    <row r="434" spans="1:33" s="584" customFormat="1" ht="39" customHeight="1">
      <c r="A434" s="597"/>
      <c r="D434" s="2588" t="s">
        <v>1834</v>
      </c>
      <c r="E434" s="1810"/>
      <c r="F434" s="1810"/>
      <c r="G434" s="1810"/>
      <c r="H434" s="1811"/>
      <c r="I434" s="2074">
        <f>'Notes- SK Template'!I432</f>
        <v>0</v>
      </c>
      <c r="J434" s="2075"/>
      <c r="K434" s="2075"/>
      <c r="L434" s="2075">
        <f>'Notes- SK Template'!L432</f>
        <v>0</v>
      </c>
      <c r="M434" s="2075"/>
      <c r="N434" s="2075"/>
      <c r="O434" s="2075"/>
      <c r="P434" s="2075"/>
      <c r="Q434" s="2075"/>
      <c r="R434" s="2075"/>
      <c r="S434" s="2075"/>
      <c r="T434" s="2075"/>
      <c r="U434" s="2075"/>
      <c r="V434" s="2075"/>
      <c r="W434" s="2075"/>
      <c r="X434" s="2075">
        <f>'Notes- SK Template'!X432</f>
        <v>0</v>
      </c>
      <c r="Y434" s="2075"/>
      <c r="Z434" s="2075"/>
      <c r="AA434" s="2075">
        <f>'Notes- SK Template'!AA432</f>
        <v>0</v>
      </c>
      <c r="AB434" s="2075"/>
      <c r="AC434" s="2077">
        <f>'Notes- SK Template'!AC432</f>
        <v>0</v>
      </c>
      <c r="AD434" s="2077"/>
      <c r="AE434" s="2077"/>
      <c r="AF434" s="2077">
        <f>'Notes- SK Template'!AF432</f>
        <v>0</v>
      </c>
      <c r="AG434" s="2078"/>
    </row>
    <row r="435" spans="1:33" s="584" customFormat="1" ht="39" customHeight="1">
      <c r="A435" s="597"/>
      <c r="D435" s="2560" t="s">
        <v>1835</v>
      </c>
      <c r="E435" s="1826"/>
      <c r="F435" s="1826"/>
      <c r="G435" s="1826"/>
      <c r="H435" s="1827"/>
      <c r="I435" s="1804">
        <f>'Notes- SK Template'!I433</f>
        <v>0</v>
      </c>
      <c r="J435" s="1805"/>
      <c r="K435" s="1805"/>
      <c r="L435" s="1805">
        <f>'Notes- SK Template'!L433</f>
        <v>0</v>
      </c>
      <c r="M435" s="1805"/>
      <c r="N435" s="1805"/>
      <c r="O435" s="1805"/>
      <c r="P435" s="1805"/>
      <c r="Q435" s="1805"/>
      <c r="R435" s="1805"/>
      <c r="S435" s="1805"/>
      <c r="T435" s="1805"/>
      <c r="U435" s="1805"/>
      <c r="V435" s="1805"/>
      <c r="W435" s="1805"/>
      <c r="X435" s="1805"/>
      <c r="Y435" s="1805"/>
      <c r="Z435" s="1805"/>
      <c r="AA435" s="1805"/>
      <c r="AB435" s="1805"/>
      <c r="AC435" s="1807">
        <f>'Notes- SK Template'!AC433</f>
        <v>0</v>
      </c>
      <c r="AD435" s="1807"/>
      <c r="AE435" s="1807"/>
      <c r="AF435" s="1807">
        <f>'Notes- SK Template'!AF433</f>
        <v>0</v>
      </c>
      <c r="AG435" s="1808"/>
    </row>
    <row r="436" spans="1:33" s="584" customFormat="1" ht="39" customHeight="1">
      <c r="A436" s="597"/>
      <c r="D436" s="2560" t="s">
        <v>1836</v>
      </c>
      <c r="E436" s="1826"/>
      <c r="F436" s="1826"/>
      <c r="G436" s="1826"/>
      <c r="H436" s="1827"/>
      <c r="I436" s="1804">
        <f>'Notes- SK Template'!I434</f>
        <v>0</v>
      </c>
      <c r="J436" s="1805"/>
      <c r="K436" s="1805"/>
      <c r="L436" s="1805">
        <f>'Notes- SK Template'!L434</f>
        <v>0</v>
      </c>
      <c r="M436" s="1805"/>
      <c r="N436" s="1805"/>
      <c r="O436" s="1805"/>
      <c r="P436" s="1805"/>
      <c r="Q436" s="1805"/>
      <c r="R436" s="1805"/>
      <c r="S436" s="1805"/>
      <c r="T436" s="1805"/>
      <c r="U436" s="1805"/>
      <c r="V436" s="1805"/>
      <c r="W436" s="1805"/>
      <c r="X436" s="1805"/>
      <c r="Y436" s="1805"/>
      <c r="Z436" s="1805"/>
      <c r="AA436" s="1805"/>
      <c r="AB436" s="1805"/>
      <c r="AC436" s="1807">
        <f>'Notes- SK Template'!AC434</f>
        <v>0</v>
      </c>
      <c r="AD436" s="1807"/>
      <c r="AE436" s="1807"/>
      <c r="AF436" s="1807">
        <f>'Notes- SK Template'!AF434</f>
        <v>0</v>
      </c>
      <c r="AG436" s="1808"/>
    </row>
    <row r="437" spans="1:33" s="584" customFormat="1" ht="39" customHeight="1">
      <c r="A437" s="597"/>
      <c r="D437" s="2560" t="s">
        <v>1837</v>
      </c>
      <c r="E437" s="1826"/>
      <c r="F437" s="1826"/>
      <c r="G437" s="1826"/>
      <c r="H437" s="1827"/>
      <c r="I437" s="1804">
        <f>'Notes- SK Template'!I435</f>
        <v>0</v>
      </c>
      <c r="J437" s="1805"/>
      <c r="K437" s="1805"/>
      <c r="L437" s="1805">
        <f>'Notes- SK Template'!L435</f>
        <v>0</v>
      </c>
      <c r="M437" s="1805"/>
      <c r="N437" s="1805"/>
      <c r="O437" s="1805"/>
      <c r="P437" s="1805"/>
      <c r="Q437" s="1805"/>
      <c r="R437" s="1805"/>
      <c r="S437" s="1805"/>
      <c r="T437" s="1805"/>
      <c r="U437" s="1805"/>
      <c r="V437" s="1805"/>
      <c r="W437" s="1805"/>
      <c r="X437" s="1805"/>
      <c r="Y437" s="1805"/>
      <c r="Z437" s="1805"/>
      <c r="AA437" s="1805"/>
      <c r="AB437" s="1805"/>
      <c r="AC437" s="1807">
        <f>'Notes- SK Template'!AC435</f>
        <v>0</v>
      </c>
      <c r="AD437" s="1807"/>
      <c r="AE437" s="1807"/>
      <c r="AF437" s="1807">
        <f>'Notes- SK Template'!AF435</f>
        <v>0</v>
      </c>
      <c r="AG437" s="1808"/>
    </row>
    <row r="438" spans="1:33" s="584" customFormat="1" ht="39" customHeight="1">
      <c r="A438" s="597"/>
      <c r="D438" s="2560" t="s">
        <v>1838</v>
      </c>
      <c r="E438" s="1826"/>
      <c r="F438" s="1826"/>
      <c r="G438" s="1826"/>
      <c r="H438" s="1827"/>
      <c r="I438" s="1804">
        <f>'Notes- SK Template'!I436</f>
        <v>0</v>
      </c>
      <c r="J438" s="1805"/>
      <c r="K438" s="1805"/>
      <c r="L438" s="1805">
        <f>'Notes- SK Template'!L436</f>
        <v>0</v>
      </c>
      <c r="M438" s="1805"/>
      <c r="N438" s="1805">
        <f>'Notes- SK Template'!N436</f>
        <v>9730</v>
      </c>
      <c r="O438" s="1805"/>
      <c r="P438" s="1805"/>
      <c r="Q438" s="1805">
        <f>'Notes- SK Template'!Q436</f>
        <v>0</v>
      </c>
      <c r="R438" s="1805"/>
      <c r="S438" s="1805"/>
      <c r="T438" s="1805"/>
      <c r="U438" s="1805"/>
      <c r="V438" s="1805"/>
      <c r="W438" s="1805"/>
      <c r="X438" s="1805"/>
      <c r="Y438" s="1805"/>
      <c r="Z438" s="1805"/>
      <c r="AA438" s="1805"/>
      <c r="AB438" s="1805"/>
      <c r="AC438" s="1807">
        <f>'Notes- SK Template'!AC436</f>
        <v>9730</v>
      </c>
      <c r="AD438" s="1807"/>
      <c r="AE438" s="1807"/>
      <c r="AF438" s="1807">
        <f>'Notes- SK Template'!AF436</f>
        <v>0</v>
      </c>
      <c r="AG438" s="1808"/>
    </row>
    <row r="439" spans="1:33" s="584" customFormat="1" ht="29.25" customHeight="1" thickBot="1">
      <c r="A439" s="597"/>
      <c r="D439" s="1894" t="s">
        <v>1839</v>
      </c>
      <c r="E439" s="1894"/>
      <c r="F439" s="1894"/>
      <c r="G439" s="1894"/>
      <c r="H439" s="1894"/>
      <c r="I439" s="2137">
        <f>'Notes- SK Template'!I437</f>
        <v>0</v>
      </c>
      <c r="J439" s="2138"/>
      <c r="K439" s="2138"/>
      <c r="L439" s="2138">
        <f>'Notes- SK Template'!L437</f>
        <v>0</v>
      </c>
      <c r="M439" s="2138"/>
      <c r="N439" s="2138">
        <f>'Notes- SK Template'!N437</f>
        <v>9730</v>
      </c>
      <c r="O439" s="2138"/>
      <c r="P439" s="2138"/>
      <c r="Q439" s="2138">
        <f>'Notes- SK Template'!Q437</f>
        <v>0</v>
      </c>
      <c r="R439" s="2138"/>
      <c r="S439" s="2138">
        <f>'Notes- SK Template'!S437</f>
        <v>0</v>
      </c>
      <c r="T439" s="2138"/>
      <c r="U439" s="2138"/>
      <c r="V439" s="2138">
        <f>'Notes- SK Template'!V437</f>
        <v>0</v>
      </c>
      <c r="W439" s="2138"/>
      <c r="X439" s="2138">
        <f>'Notes- SK Template'!X437</f>
        <v>0</v>
      </c>
      <c r="Y439" s="2138"/>
      <c r="Z439" s="2138"/>
      <c r="AA439" s="2138">
        <f>'Notes- SK Template'!AA437</f>
        <v>0</v>
      </c>
      <c r="AB439" s="2138"/>
      <c r="AC439" s="2138">
        <f>'Notes- SK Template'!AC437</f>
        <v>9730</v>
      </c>
      <c r="AD439" s="2138"/>
      <c r="AE439" s="2138"/>
      <c r="AF439" s="2138">
        <f>'Notes- SK Template'!AF437</f>
        <v>0</v>
      </c>
      <c r="AG439" s="2139"/>
    </row>
    <row r="440" spans="1:33" s="584" customFormat="1" ht="14">
      <c r="A440" s="597"/>
    </row>
    <row r="441" spans="1:33" s="584" customFormat="1" ht="26.25" customHeight="1">
      <c r="A441" s="597"/>
      <c r="D441" s="2133" t="s">
        <v>3017</v>
      </c>
      <c r="E441" s="2134"/>
      <c r="F441" s="2134"/>
      <c r="G441" s="2134"/>
      <c r="H441" s="2134"/>
      <c r="I441" s="2134"/>
      <c r="J441" s="2134"/>
      <c r="K441" s="2134"/>
      <c r="L441" s="2134"/>
      <c r="M441" s="2134"/>
      <c r="N441" s="2134"/>
      <c r="O441" s="2134"/>
      <c r="P441" s="2134"/>
      <c r="Q441" s="2134"/>
      <c r="R441" s="2134"/>
      <c r="S441" s="2134"/>
      <c r="T441" s="2134"/>
      <c r="U441" s="2134"/>
      <c r="V441" s="2134"/>
      <c r="W441" s="2134"/>
      <c r="X441" s="2134"/>
      <c r="Y441" s="2134"/>
      <c r="Z441" s="2134"/>
      <c r="AA441" s="2134"/>
      <c r="AB441" s="2134"/>
      <c r="AC441" s="2134"/>
      <c r="AD441" s="2134"/>
      <c r="AE441" s="2134"/>
      <c r="AF441" s="2134"/>
      <c r="AG441" s="2134"/>
    </row>
    <row r="442" spans="1:33" s="584" customFormat="1" ht="14">
      <c r="A442" s="597"/>
    </row>
    <row r="443" spans="1:33" s="584" customFormat="1" ht="14">
      <c r="A443" s="597"/>
      <c r="D443" s="2133" t="s">
        <v>3018</v>
      </c>
      <c r="E443" s="2134"/>
      <c r="F443" s="2134"/>
      <c r="G443" s="2134"/>
      <c r="H443" s="2134"/>
      <c r="I443" s="2134"/>
      <c r="J443" s="2134"/>
      <c r="K443" s="2134"/>
      <c r="L443" s="2134"/>
      <c r="M443" s="2134"/>
      <c r="N443" s="2134"/>
      <c r="O443" s="2134"/>
      <c r="P443" s="2134"/>
      <c r="Q443" s="2134"/>
      <c r="R443" s="2134"/>
      <c r="S443" s="2134"/>
      <c r="T443" s="2134"/>
      <c r="U443" s="2134"/>
      <c r="V443" s="2134"/>
      <c r="W443" s="2134"/>
      <c r="X443" s="2134"/>
      <c r="Y443" s="2134"/>
      <c r="Z443" s="2134"/>
      <c r="AA443" s="2134"/>
      <c r="AB443" s="2134"/>
      <c r="AC443" s="2134"/>
      <c r="AD443" s="2134"/>
      <c r="AE443" s="2134"/>
      <c r="AF443" s="2134"/>
      <c r="AG443" s="2134"/>
    </row>
    <row r="444" spans="1:33" s="584" customFormat="1" ht="14">
      <c r="A444" s="597"/>
    </row>
    <row r="445" spans="1:33" s="584" customFormat="1" ht="14">
      <c r="A445" s="597"/>
      <c r="D445" s="2133" t="s">
        <v>3019</v>
      </c>
      <c r="E445" s="2134"/>
      <c r="F445" s="2134"/>
      <c r="G445" s="2134"/>
      <c r="H445" s="2134"/>
      <c r="I445" s="2134"/>
      <c r="J445" s="2134"/>
      <c r="K445" s="2134"/>
      <c r="L445" s="2134"/>
      <c r="M445" s="2134"/>
      <c r="N445" s="2134"/>
      <c r="O445" s="2134"/>
      <c r="P445" s="2134"/>
      <c r="Q445" s="2134"/>
      <c r="R445" s="2134"/>
      <c r="S445" s="2134"/>
      <c r="T445" s="2134"/>
      <c r="U445" s="2134"/>
      <c r="V445" s="2134"/>
      <c r="W445" s="2134"/>
      <c r="X445" s="2134"/>
      <c r="Y445" s="2134"/>
      <c r="Z445" s="2134"/>
      <c r="AA445" s="2134"/>
      <c r="AB445" s="2134"/>
      <c r="AC445" s="2134"/>
      <c r="AD445" s="2134"/>
      <c r="AE445" s="2134"/>
      <c r="AF445" s="2134"/>
      <c r="AG445" s="2134"/>
    </row>
    <row r="446" spans="1:33" s="584" customFormat="1" ht="14.5" thickBot="1">
      <c r="A446" s="597"/>
    </row>
    <row r="447" spans="1:33" s="584" customFormat="1" ht="27.75" customHeight="1" thickBot="1">
      <c r="A447" s="597">
        <v>16</v>
      </c>
      <c r="D447" s="1921" t="s">
        <v>1739</v>
      </c>
      <c r="E447" s="1921"/>
      <c r="F447" s="1921"/>
      <c r="G447" s="1921"/>
      <c r="H447" s="1921"/>
      <c r="I447" s="1921"/>
      <c r="J447" s="1921"/>
      <c r="K447" s="1921"/>
      <c r="L447" s="1921"/>
      <c r="M447" s="1921" t="s">
        <v>1840</v>
      </c>
      <c r="N447" s="1921"/>
      <c r="O447" s="1921"/>
      <c r="P447" s="1921"/>
      <c r="Q447" s="1921"/>
      <c r="R447" s="1921"/>
      <c r="S447" s="1921"/>
      <c r="T447" s="1921" t="s">
        <v>1841</v>
      </c>
      <c r="U447" s="1921"/>
      <c r="V447" s="1921"/>
      <c r="W447" s="1921"/>
      <c r="X447" s="1921"/>
      <c r="Y447" s="1921"/>
      <c r="Z447" s="1921"/>
      <c r="AA447" s="1921" t="s">
        <v>1842</v>
      </c>
      <c r="AB447" s="1921"/>
      <c r="AC447" s="1921"/>
      <c r="AD447" s="1921"/>
      <c r="AE447" s="1921"/>
      <c r="AF447" s="1921"/>
      <c r="AG447" s="1921"/>
    </row>
    <row r="448" spans="1:33" s="584" customFormat="1" ht="27.75" customHeight="1" thickBot="1">
      <c r="A448" s="597"/>
      <c r="D448" s="2015" t="s">
        <v>1843</v>
      </c>
      <c r="E448" s="2015"/>
      <c r="F448" s="2015"/>
      <c r="G448" s="2015"/>
      <c r="H448" s="2015"/>
      <c r="I448" s="2015"/>
      <c r="J448" s="2015"/>
      <c r="K448" s="2015"/>
      <c r="L448" s="2015"/>
      <c r="M448" s="2015"/>
      <c r="N448" s="2015"/>
      <c r="O448" s="2015"/>
      <c r="P448" s="2015"/>
      <c r="Q448" s="2015"/>
      <c r="R448" s="2015"/>
      <c r="S448" s="2015"/>
      <c r="T448" s="2015"/>
      <c r="U448" s="2015"/>
      <c r="V448" s="2015"/>
      <c r="W448" s="2015"/>
      <c r="X448" s="2015"/>
      <c r="Y448" s="2015"/>
      <c r="Z448" s="2015"/>
      <c r="AA448" s="2015"/>
      <c r="AB448" s="2015"/>
      <c r="AC448" s="2015"/>
      <c r="AD448" s="2015"/>
      <c r="AE448" s="2015"/>
      <c r="AF448" s="2015"/>
      <c r="AG448" s="2015"/>
    </row>
    <row r="449" spans="1:33" s="584" customFormat="1" ht="27.75" customHeight="1">
      <c r="A449" s="597"/>
      <c r="D449" s="2658" t="s">
        <v>1834</v>
      </c>
      <c r="E449" s="1870"/>
      <c r="F449" s="1870"/>
      <c r="G449" s="1870"/>
      <c r="H449" s="1870"/>
      <c r="I449" s="1870"/>
      <c r="J449" s="1870"/>
      <c r="K449" s="1870"/>
      <c r="L449" s="1870"/>
      <c r="M449" s="1818"/>
      <c r="N449" s="1818"/>
      <c r="O449" s="1818"/>
      <c r="P449" s="1818"/>
      <c r="Q449" s="1818"/>
      <c r="R449" s="1818"/>
      <c r="S449" s="1818"/>
      <c r="T449" s="1818"/>
      <c r="U449" s="1818"/>
      <c r="V449" s="1818"/>
      <c r="W449" s="1818"/>
      <c r="X449" s="1818"/>
      <c r="Y449" s="1818"/>
      <c r="Z449" s="1818"/>
      <c r="AA449" s="1899">
        <f>'Notes- SK Template'!AA447</f>
        <v>0</v>
      </c>
      <c r="AB449" s="1899"/>
      <c r="AC449" s="1899"/>
      <c r="AD449" s="1899"/>
      <c r="AE449" s="1899"/>
      <c r="AF449" s="1899"/>
      <c r="AG449" s="1899"/>
    </row>
    <row r="450" spans="1:33" s="584" customFormat="1" ht="27.75" customHeight="1">
      <c r="A450" s="597"/>
      <c r="D450" s="2601" t="s">
        <v>1844</v>
      </c>
      <c r="E450" s="1822"/>
      <c r="F450" s="1822"/>
      <c r="G450" s="1822"/>
      <c r="H450" s="1822"/>
      <c r="I450" s="1822"/>
      <c r="J450" s="1822"/>
      <c r="K450" s="1822"/>
      <c r="L450" s="1822"/>
      <c r="M450" s="1967"/>
      <c r="N450" s="1967"/>
      <c r="O450" s="1967"/>
      <c r="P450" s="1967"/>
      <c r="Q450" s="1967"/>
      <c r="R450" s="1967"/>
      <c r="S450" s="1967"/>
      <c r="T450" s="1967"/>
      <c r="U450" s="1967"/>
      <c r="V450" s="1967"/>
      <c r="W450" s="1967"/>
      <c r="X450" s="1967"/>
      <c r="Y450" s="1967"/>
      <c r="Z450" s="1967"/>
      <c r="AA450" s="1794">
        <f>'Notes- SK Template'!AA448</f>
        <v>0</v>
      </c>
      <c r="AB450" s="1794"/>
      <c r="AC450" s="1794"/>
      <c r="AD450" s="1794"/>
      <c r="AE450" s="1794"/>
      <c r="AF450" s="1794"/>
      <c r="AG450" s="1794"/>
    </row>
    <row r="451" spans="1:33" s="584" customFormat="1" ht="27.75" customHeight="1">
      <c r="A451" s="597"/>
      <c r="D451" s="2601" t="s">
        <v>1836</v>
      </c>
      <c r="E451" s="1822"/>
      <c r="F451" s="1822"/>
      <c r="G451" s="1822"/>
      <c r="H451" s="1822"/>
      <c r="I451" s="1822"/>
      <c r="J451" s="1822"/>
      <c r="K451" s="1822"/>
      <c r="L451" s="1822"/>
      <c r="M451" s="1967"/>
      <c r="N451" s="1967"/>
      <c r="O451" s="1967"/>
      <c r="P451" s="1967"/>
      <c r="Q451" s="1967"/>
      <c r="R451" s="1967"/>
      <c r="S451" s="1967"/>
      <c r="T451" s="1967"/>
      <c r="U451" s="1967"/>
      <c r="V451" s="1967"/>
      <c r="W451" s="1967"/>
      <c r="X451" s="1967"/>
      <c r="Y451" s="1967"/>
      <c r="Z451" s="1967"/>
      <c r="AA451" s="1794">
        <f>'Notes- SK Template'!AA449</f>
        <v>0</v>
      </c>
      <c r="AB451" s="1794"/>
      <c r="AC451" s="1794"/>
      <c r="AD451" s="1794"/>
      <c r="AE451" s="1794"/>
      <c r="AF451" s="1794"/>
      <c r="AG451" s="1794"/>
    </row>
    <row r="452" spans="1:33" s="584" customFormat="1" ht="27.75" customHeight="1">
      <c r="A452" s="597"/>
      <c r="D452" s="2601" t="s">
        <v>1845</v>
      </c>
      <c r="E452" s="1822"/>
      <c r="F452" s="1822"/>
      <c r="G452" s="1822"/>
      <c r="H452" s="1822"/>
      <c r="I452" s="1822"/>
      <c r="J452" s="1822"/>
      <c r="K452" s="1822"/>
      <c r="L452" s="1822"/>
      <c r="M452" s="1967"/>
      <c r="N452" s="1967"/>
      <c r="O452" s="1967"/>
      <c r="P452" s="1967"/>
      <c r="Q452" s="1967"/>
      <c r="R452" s="1967"/>
      <c r="S452" s="1967"/>
      <c r="T452" s="1967"/>
      <c r="U452" s="1967"/>
      <c r="V452" s="1967"/>
      <c r="W452" s="1967"/>
      <c r="X452" s="1967"/>
      <c r="Y452" s="1967"/>
      <c r="Z452" s="1967"/>
      <c r="AA452" s="1794">
        <f>'Notes- SK Template'!AA450</f>
        <v>0</v>
      </c>
      <c r="AB452" s="1794"/>
      <c r="AC452" s="1794"/>
      <c r="AD452" s="1794"/>
      <c r="AE452" s="1794"/>
      <c r="AF452" s="1794"/>
      <c r="AG452" s="1794"/>
    </row>
    <row r="453" spans="1:33" s="584" customFormat="1" ht="27.75" customHeight="1" thickBot="1">
      <c r="A453" s="597"/>
      <c r="D453" s="2668" t="s">
        <v>1838</v>
      </c>
      <c r="E453" s="1996"/>
      <c r="F453" s="1996"/>
      <c r="G453" s="1996"/>
      <c r="H453" s="1996"/>
      <c r="I453" s="1996"/>
      <c r="J453" s="1996"/>
      <c r="K453" s="1996"/>
      <c r="L453" s="1996"/>
      <c r="M453" s="1967"/>
      <c r="N453" s="1967"/>
      <c r="O453" s="1967"/>
      <c r="P453" s="1967"/>
      <c r="Q453" s="1967"/>
      <c r="R453" s="1967"/>
      <c r="S453" s="1967"/>
      <c r="T453" s="1967"/>
      <c r="U453" s="1967"/>
      <c r="V453" s="1967"/>
      <c r="W453" s="1967"/>
      <c r="X453" s="1967"/>
      <c r="Y453" s="1967"/>
      <c r="Z453" s="1967"/>
      <c r="AA453" s="1794">
        <f>'Notes- SK Template'!AA451</f>
        <v>0</v>
      </c>
      <c r="AB453" s="1794"/>
      <c r="AC453" s="1794"/>
      <c r="AD453" s="1794"/>
      <c r="AE453" s="1794"/>
      <c r="AF453" s="1794"/>
      <c r="AG453" s="1794"/>
    </row>
    <row r="454" spans="1:33" s="584" customFormat="1" ht="27.75" customHeight="1" thickBot="1">
      <c r="A454" s="597"/>
      <c r="D454" s="2015" t="s">
        <v>1846</v>
      </c>
      <c r="E454" s="2015"/>
      <c r="F454" s="2015"/>
      <c r="G454" s="2015"/>
      <c r="H454" s="2015"/>
      <c r="I454" s="2015"/>
      <c r="J454" s="2015"/>
      <c r="K454" s="2015"/>
      <c r="L454" s="2015"/>
      <c r="M454" s="2014">
        <f>'Notes- SK Template'!M452</f>
        <v>0</v>
      </c>
      <c r="N454" s="2014"/>
      <c r="O454" s="2014"/>
      <c r="P454" s="2014"/>
      <c r="Q454" s="2014"/>
      <c r="R454" s="2014"/>
      <c r="S454" s="2014"/>
      <c r="T454" s="2014">
        <f>'Notes- SK Template'!T452</f>
        <v>0</v>
      </c>
      <c r="U454" s="2014"/>
      <c r="V454" s="2014"/>
      <c r="W454" s="2014"/>
      <c r="X454" s="2014"/>
      <c r="Y454" s="2014"/>
      <c r="Z454" s="2014"/>
      <c r="AA454" s="2014">
        <f>'Notes- SK Template'!AA452</f>
        <v>0</v>
      </c>
      <c r="AB454" s="2014"/>
      <c r="AC454" s="2014"/>
      <c r="AD454" s="2014"/>
      <c r="AE454" s="2014"/>
      <c r="AF454" s="2014"/>
      <c r="AG454" s="2014"/>
    </row>
    <row r="455" spans="1:33" s="584" customFormat="1" ht="27.75" customHeight="1" thickBot="1">
      <c r="A455" s="597"/>
      <c r="D455" s="2015" t="s">
        <v>1847</v>
      </c>
      <c r="E455" s="2015"/>
      <c r="F455" s="2015"/>
      <c r="G455" s="2015"/>
      <c r="H455" s="2015"/>
      <c r="I455" s="2015"/>
      <c r="J455" s="2015"/>
      <c r="K455" s="2015"/>
      <c r="L455" s="2015"/>
      <c r="M455" s="2015"/>
      <c r="N455" s="2015"/>
      <c r="O455" s="2015"/>
      <c r="P455" s="2015"/>
      <c r="Q455" s="2015"/>
      <c r="R455" s="2015"/>
      <c r="S455" s="2015"/>
      <c r="T455" s="2015"/>
      <c r="U455" s="2015"/>
      <c r="V455" s="2015"/>
      <c r="W455" s="2015"/>
      <c r="X455" s="2015"/>
      <c r="Y455" s="2015"/>
      <c r="Z455" s="2015"/>
      <c r="AA455" s="2015"/>
      <c r="AB455" s="2015"/>
      <c r="AC455" s="2015"/>
      <c r="AD455" s="2015"/>
      <c r="AE455" s="2015"/>
      <c r="AF455" s="2015"/>
      <c r="AG455" s="2015"/>
    </row>
    <row r="456" spans="1:33" s="584" customFormat="1" ht="27.75" customHeight="1">
      <c r="A456" s="597"/>
      <c r="D456" s="2658" t="s">
        <v>1834</v>
      </c>
      <c r="E456" s="1870"/>
      <c r="F456" s="1870"/>
      <c r="G456" s="1870"/>
      <c r="H456" s="1870"/>
      <c r="I456" s="1870"/>
      <c r="J456" s="1870"/>
      <c r="K456" s="1870"/>
      <c r="L456" s="1870"/>
      <c r="M456" s="1830">
        <f>'Notes- SK Template'!M454</f>
        <v>592501</v>
      </c>
      <c r="N456" s="1830"/>
      <c r="O456" s="1830"/>
      <c r="P456" s="1830"/>
      <c r="Q456" s="1830"/>
      <c r="R456" s="1830"/>
      <c r="S456" s="1830"/>
      <c r="T456" s="1830">
        <f>'Notes- SK Template'!T454</f>
        <v>32802</v>
      </c>
      <c r="U456" s="1830"/>
      <c r="V456" s="1830"/>
      <c r="W456" s="1830"/>
      <c r="X456" s="1830"/>
      <c r="Y456" s="1830"/>
      <c r="Z456" s="1830"/>
      <c r="AA456" s="1899">
        <f>'Notes- SK Template'!AA454</f>
        <v>625303</v>
      </c>
      <c r="AB456" s="1899"/>
      <c r="AC456" s="1899"/>
      <c r="AD456" s="1899"/>
      <c r="AE456" s="1899"/>
      <c r="AF456" s="1899"/>
      <c r="AG456" s="1899"/>
    </row>
    <row r="457" spans="1:33" s="584" customFormat="1" ht="27.75" customHeight="1">
      <c r="A457" s="597"/>
      <c r="D457" s="2601" t="s">
        <v>1844</v>
      </c>
      <c r="E457" s="1822"/>
      <c r="F457" s="1822"/>
      <c r="G457" s="1822"/>
      <c r="H457" s="1822"/>
      <c r="I457" s="1822"/>
      <c r="J457" s="1822"/>
      <c r="K457" s="1822"/>
      <c r="L457" s="1822"/>
      <c r="M457" s="1967">
        <f>'Notes- SK Template'!M455</f>
        <v>0</v>
      </c>
      <c r="N457" s="1967"/>
      <c r="O457" s="1967"/>
      <c r="P457" s="1967"/>
      <c r="Q457" s="1967"/>
      <c r="R457" s="1967"/>
      <c r="S457" s="1967"/>
      <c r="T457" s="1967">
        <f>AA457-M457</f>
        <v>0</v>
      </c>
      <c r="U457" s="1967"/>
      <c r="V457" s="1967"/>
      <c r="W457" s="1967"/>
      <c r="X457" s="1967"/>
      <c r="Y457" s="1967"/>
      <c r="Z457" s="1967"/>
      <c r="AA457" s="1794">
        <f>'Notes- SK Template'!AA455</f>
        <v>0</v>
      </c>
      <c r="AB457" s="1794"/>
      <c r="AC457" s="1794"/>
      <c r="AD457" s="1794"/>
      <c r="AE457" s="1794"/>
      <c r="AF457" s="1794"/>
      <c r="AG457" s="1794"/>
    </row>
    <row r="458" spans="1:33" s="584" customFormat="1" ht="27.75" customHeight="1">
      <c r="A458" s="597"/>
      <c r="D458" s="2601" t="s">
        <v>1836</v>
      </c>
      <c r="E458" s="1822"/>
      <c r="F458" s="1822"/>
      <c r="G458" s="1822"/>
      <c r="H458" s="1822"/>
      <c r="I458" s="1822"/>
      <c r="J458" s="1822"/>
      <c r="K458" s="1822"/>
      <c r="L458" s="1822"/>
      <c r="M458" s="1967"/>
      <c r="N458" s="1967"/>
      <c r="O458" s="1967"/>
      <c r="P458" s="1967"/>
      <c r="Q458" s="1967"/>
      <c r="R458" s="1967"/>
      <c r="S458" s="1967"/>
      <c r="T458" s="1967"/>
      <c r="U458" s="1967"/>
      <c r="V458" s="1967"/>
      <c r="W458" s="1967"/>
      <c r="X458" s="1967"/>
      <c r="Y458" s="1967"/>
      <c r="Z458" s="1967"/>
      <c r="AA458" s="1794">
        <f>'Notes- SK Template'!AA456</f>
        <v>0</v>
      </c>
      <c r="AB458" s="1794"/>
      <c r="AC458" s="1794"/>
      <c r="AD458" s="1794"/>
      <c r="AE458" s="1794"/>
      <c r="AF458" s="1794"/>
      <c r="AG458" s="1794"/>
    </row>
    <row r="459" spans="1:33" s="584" customFormat="1" ht="27.75" customHeight="1">
      <c r="A459" s="597"/>
      <c r="D459" s="2601" t="s">
        <v>1845</v>
      </c>
      <c r="E459" s="1822"/>
      <c r="F459" s="1822"/>
      <c r="G459" s="1822"/>
      <c r="H459" s="1822"/>
      <c r="I459" s="1822"/>
      <c r="J459" s="1822"/>
      <c r="K459" s="1822"/>
      <c r="L459" s="1822"/>
      <c r="M459" s="1967"/>
      <c r="N459" s="1967"/>
      <c r="O459" s="1967"/>
      <c r="P459" s="1967"/>
      <c r="Q459" s="1967"/>
      <c r="R459" s="1967"/>
      <c r="S459" s="1967"/>
      <c r="T459" s="1967"/>
      <c r="U459" s="1967"/>
      <c r="V459" s="1967"/>
      <c r="W459" s="1967"/>
      <c r="X459" s="1967"/>
      <c r="Y459" s="1967"/>
      <c r="Z459" s="1967"/>
      <c r="AA459" s="1794">
        <f>'Notes- SK Template'!AA457</f>
        <v>0</v>
      </c>
      <c r="AB459" s="1794"/>
      <c r="AC459" s="1794"/>
      <c r="AD459" s="1794"/>
      <c r="AE459" s="1794"/>
      <c r="AF459" s="1794"/>
      <c r="AG459" s="1794"/>
    </row>
    <row r="460" spans="1:33" s="584" customFormat="1" ht="27.75" customHeight="1">
      <c r="A460" s="597"/>
      <c r="D460" s="2601" t="s">
        <v>1848</v>
      </c>
      <c r="E460" s="1822"/>
      <c r="F460" s="1822"/>
      <c r="G460" s="1822"/>
      <c r="H460" s="1822"/>
      <c r="I460" s="1822"/>
      <c r="J460" s="1822"/>
      <c r="K460" s="1822"/>
      <c r="L460" s="1822"/>
      <c r="M460" s="1791"/>
      <c r="N460" s="1791"/>
      <c r="O460" s="1791"/>
      <c r="P460" s="1791"/>
      <c r="Q460" s="1791"/>
      <c r="R460" s="1791"/>
      <c r="S460" s="1791"/>
      <c r="T460" s="1967"/>
      <c r="U460" s="1967"/>
      <c r="V460" s="1967"/>
      <c r="W460" s="1967"/>
      <c r="X460" s="1967"/>
      <c r="Y460" s="1967"/>
      <c r="Z460" s="1967"/>
      <c r="AA460" s="1794">
        <f>'Notes- SK Template'!AA458</f>
        <v>0</v>
      </c>
      <c r="AB460" s="1794"/>
      <c r="AC460" s="1794"/>
      <c r="AD460" s="1794"/>
      <c r="AE460" s="1794"/>
      <c r="AF460" s="1794"/>
      <c r="AG460" s="1794"/>
    </row>
    <row r="461" spans="1:33" s="584" customFormat="1" ht="27.75" customHeight="1">
      <c r="A461" s="597"/>
      <c r="D461" s="2601" t="s">
        <v>1849</v>
      </c>
      <c r="E461" s="1822"/>
      <c r="F461" s="1822"/>
      <c r="G461" s="1822"/>
      <c r="H461" s="1822"/>
      <c r="I461" s="1822"/>
      <c r="J461" s="1822"/>
      <c r="K461" s="1822"/>
      <c r="L461" s="1822"/>
      <c r="M461" s="1967">
        <f>'Notes- SK Template'!M459</f>
        <v>0</v>
      </c>
      <c r="N461" s="1967"/>
      <c r="O461" s="1967"/>
      <c r="P461" s="1967"/>
      <c r="Q461" s="1967"/>
      <c r="R461" s="1967"/>
      <c r="S461" s="1967"/>
      <c r="T461" s="1967"/>
      <c r="U461" s="1967"/>
      <c r="V461" s="1967"/>
      <c r="W461" s="1967"/>
      <c r="X461" s="1967"/>
      <c r="Y461" s="1967"/>
      <c r="Z461" s="1967"/>
      <c r="AA461" s="1794">
        <f>'Notes- SK Template'!AA459</f>
        <v>0</v>
      </c>
      <c r="AB461" s="1794"/>
      <c r="AC461" s="1794"/>
      <c r="AD461" s="1794"/>
      <c r="AE461" s="1794"/>
      <c r="AF461" s="1794"/>
      <c r="AG461" s="1794"/>
    </row>
    <row r="462" spans="1:33" s="584" customFormat="1" ht="27.75" customHeight="1" thickBot="1">
      <c r="A462" s="597"/>
      <c r="D462" s="2668" t="s">
        <v>1838</v>
      </c>
      <c r="E462" s="1996"/>
      <c r="F462" s="1996"/>
      <c r="G462" s="1996"/>
      <c r="H462" s="1996"/>
      <c r="I462" s="1996"/>
      <c r="J462" s="1996"/>
      <c r="K462" s="1996"/>
      <c r="L462" s="1996"/>
      <c r="M462" s="1967">
        <f>'Notes- SK Template'!M460</f>
        <v>19446</v>
      </c>
      <c r="N462" s="1967"/>
      <c r="O462" s="1967"/>
      <c r="P462" s="1967"/>
      <c r="Q462" s="1967"/>
      <c r="R462" s="1967"/>
      <c r="S462" s="1967"/>
      <c r="T462" s="1967"/>
      <c r="U462" s="1967"/>
      <c r="V462" s="1967"/>
      <c r="W462" s="1967"/>
      <c r="X462" s="1967"/>
      <c r="Y462" s="1967"/>
      <c r="Z462" s="1967"/>
      <c r="AA462" s="1794">
        <f>'Notes- SK Template'!AA460</f>
        <v>19446</v>
      </c>
      <c r="AB462" s="1794"/>
      <c r="AC462" s="1794"/>
      <c r="AD462" s="1794"/>
      <c r="AE462" s="1794"/>
      <c r="AF462" s="1794"/>
      <c r="AG462" s="1794"/>
    </row>
    <row r="463" spans="1:33" s="584" customFormat="1" ht="27.75" customHeight="1" thickBot="1">
      <c r="A463" s="597"/>
      <c r="D463" s="1995" t="s">
        <v>1850</v>
      </c>
      <c r="E463" s="1995"/>
      <c r="F463" s="1995"/>
      <c r="G463" s="1995"/>
      <c r="H463" s="1995"/>
      <c r="I463" s="1995"/>
      <c r="J463" s="1995"/>
      <c r="K463" s="1995"/>
      <c r="L463" s="1995"/>
      <c r="M463" s="2014">
        <f>'Notes- SK Template'!M461</f>
        <v>611947</v>
      </c>
      <c r="N463" s="2014"/>
      <c r="O463" s="2014"/>
      <c r="P463" s="2014"/>
      <c r="Q463" s="2014"/>
      <c r="R463" s="2014"/>
      <c r="S463" s="2014"/>
      <c r="T463" s="2014">
        <f>'Notes- SK Template'!T461</f>
        <v>32802</v>
      </c>
      <c r="U463" s="2014"/>
      <c r="V463" s="2014"/>
      <c r="W463" s="2014"/>
      <c r="X463" s="2014"/>
      <c r="Y463" s="2014"/>
      <c r="Z463" s="2014"/>
      <c r="AA463" s="2014">
        <f>'Notes- SK Template'!AA461</f>
        <v>644749</v>
      </c>
      <c r="AB463" s="2014"/>
      <c r="AC463" s="2014"/>
      <c r="AD463" s="2014"/>
      <c r="AE463" s="2014"/>
      <c r="AF463" s="2014"/>
      <c r="AG463" s="2014"/>
    </row>
    <row r="464" spans="1:33" s="584" customFormat="1" ht="14">
      <c r="A464" s="597"/>
    </row>
    <row r="465" spans="1:33" s="584" customFormat="1" ht="14">
      <c r="A465" s="597"/>
    </row>
    <row r="466" spans="1:33" s="584" customFormat="1" ht="14">
      <c r="A466" s="597"/>
      <c r="D466" s="2133" t="s">
        <v>2897</v>
      </c>
      <c r="E466" s="2134"/>
      <c r="F466" s="2134"/>
      <c r="G466" s="2134"/>
      <c r="H466" s="2134"/>
      <c r="I466" s="2134"/>
      <c r="J466" s="2134"/>
      <c r="K466" s="2134"/>
      <c r="L466" s="2134"/>
      <c r="M466" s="2134"/>
      <c r="N466" s="2134"/>
      <c r="O466" s="2134"/>
      <c r="P466" s="2134"/>
      <c r="Q466" s="2134"/>
      <c r="R466" s="2134"/>
      <c r="S466" s="2134"/>
      <c r="T466" s="2134"/>
      <c r="U466" s="2134"/>
      <c r="V466" s="2134"/>
      <c r="W466" s="2134"/>
      <c r="X466" s="2134"/>
      <c r="Y466" s="2134"/>
      <c r="Z466" s="2134"/>
      <c r="AA466" s="2134"/>
      <c r="AB466" s="2134"/>
      <c r="AC466" s="2134"/>
      <c r="AD466" s="2134"/>
      <c r="AE466" s="2134"/>
      <c r="AF466" s="2134"/>
      <c r="AG466" s="2134"/>
    </row>
    <row r="467" spans="1:33" s="584" customFormat="1" ht="14.5" thickBot="1">
      <c r="A467" s="597"/>
    </row>
    <row r="468" spans="1:33" s="584" customFormat="1" ht="14.5" thickBot="1">
      <c r="A468" s="597"/>
      <c r="D468" s="1921" t="s">
        <v>1739</v>
      </c>
      <c r="E468" s="1921"/>
      <c r="F468" s="1921"/>
      <c r="G468" s="1921"/>
      <c r="H468" s="1921"/>
      <c r="I468" s="1921"/>
      <c r="J468" s="1921"/>
      <c r="K468" s="1921"/>
      <c r="L468" s="1921"/>
      <c r="M468" s="1921" t="s">
        <v>1840</v>
      </c>
      <c r="N468" s="1921"/>
      <c r="O468" s="1921"/>
      <c r="P468" s="1921"/>
      <c r="Q468" s="1921"/>
      <c r="R468" s="1921"/>
      <c r="S468" s="1921"/>
      <c r="T468" s="1921" t="s">
        <v>1841</v>
      </c>
      <c r="U468" s="1921"/>
      <c r="V468" s="1921"/>
      <c r="W468" s="1921"/>
      <c r="X468" s="1921"/>
      <c r="Y468" s="1921"/>
      <c r="Z468" s="1921"/>
      <c r="AA468" s="1921" t="s">
        <v>1842</v>
      </c>
      <c r="AB468" s="1921"/>
      <c r="AC468" s="1921"/>
      <c r="AD468" s="1921"/>
      <c r="AE468" s="1921"/>
      <c r="AF468" s="1921"/>
      <c r="AG468" s="1921"/>
    </row>
    <row r="469" spans="1:33" s="584" customFormat="1" ht="14.5" thickBot="1">
      <c r="A469" s="597"/>
      <c r="D469" s="2015" t="s">
        <v>1843</v>
      </c>
      <c r="E469" s="2015"/>
      <c r="F469" s="2015"/>
      <c r="G469" s="2015"/>
      <c r="H469" s="2015"/>
      <c r="I469" s="2015"/>
      <c r="J469" s="2015"/>
      <c r="K469" s="2015"/>
      <c r="L469" s="2015"/>
      <c r="M469" s="2015"/>
      <c r="N469" s="2015"/>
      <c r="O469" s="2015"/>
      <c r="P469" s="2015"/>
      <c r="Q469" s="2015"/>
      <c r="R469" s="2015"/>
      <c r="S469" s="2015"/>
      <c r="T469" s="2015"/>
      <c r="U469" s="2015"/>
      <c r="V469" s="2015"/>
      <c r="W469" s="2015"/>
      <c r="X469" s="2015"/>
      <c r="Y469" s="2015"/>
      <c r="Z469" s="2015"/>
      <c r="AA469" s="2015"/>
      <c r="AB469" s="2015"/>
      <c r="AC469" s="2015"/>
      <c r="AD469" s="2015"/>
      <c r="AE469" s="2015"/>
      <c r="AF469" s="2015"/>
      <c r="AG469" s="2015"/>
    </row>
    <row r="470" spans="1:33" s="584" customFormat="1" ht="23.25" customHeight="1">
      <c r="A470" s="597"/>
      <c r="D470" s="2658" t="s">
        <v>1834</v>
      </c>
      <c r="E470" s="1870"/>
      <c r="F470" s="1870"/>
      <c r="G470" s="1870"/>
      <c r="H470" s="1870"/>
      <c r="I470" s="1870"/>
      <c r="J470" s="1870"/>
      <c r="K470" s="1870"/>
      <c r="L470" s="1870"/>
      <c r="M470" s="1818"/>
      <c r="N470" s="1818"/>
      <c r="O470" s="1818"/>
      <c r="P470" s="1818"/>
      <c r="Q470" s="1818"/>
      <c r="R470" s="1818"/>
      <c r="S470" s="1818"/>
      <c r="T470" s="1818"/>
      <c r="U470" s="1818"/>
      <c r="V470" s="1818"/>
      <c r="W470" s="1818"/>
      <c r="X470" s="1818"/>
      <c r="Y470" s="1818"/>
      <c r="Z470" s="1818"/>
      <c r="AA470" s="1899">
        <f>'Notes- SK Template'!AA467</f>
        <v>0</v>
      </c>
      <c r="AB470" s="1899"/>
      <c r="AC470" s="1899"/>
      <c r="AD470" s="1899"/>
      <c r="AE470" s="1899"/>
      <c r="AF470" s="1899"/>
      <c r="AG470" s="1899"/>
    </row>
    <row r="471" spans="1:33" s="584" customFormat="1" ht="23.25" customHeight="1">
      <c r="A471" s="597"/>
      <c r="D471" s="2601" t="s">
        <v>1844</v>
      </c>
      <c r="E471" s="1822"/>
      <c r="F471" s="1822"/>
      <c r="G471" s="1822"/>
      <c r="H471" s="1822"/>
      <c r="I471" s="1822"/>
      <c r="J471" s="1822"/>
      <c r="K471" s="1822"/>
      <c r="L471" s="1822"/>
      <c r="M471" s="1967"/>
      <c r="N471" s="1967"/>
      <c r="O471" s="1967"/>
      <c r="P471" s="1967"/>
      <c r="Q471" s="1967"/>
      <c r="R471" s="1967"/>
      <c r="S471" s="1967"/>
      <c r="T471" s="1967"/>
      <c r="U471" s="1967"/>
      <c r="V471" s="1967"/>
      <c r="W471" s="1967"/>
      <c r="X471" s="1967"/>
      <c r="Y471" s="1967"/>
      <c r="Z471" s="1967"/>
      <c r="AA471" s="1794">
        <f>'Notes- SK Template'!AA468</f>
        <v>0</v>
      </c>
      <c r="AB471" s="1794"/>
      <c r="AC471" s="1794"/>
      <c r="AD471" s="1794"/>
      <c r="AE471" s="1794"/>
      <c r="AF471" s="1794"/>
      <c r="AG471" s="1794"/>
    </row>
    <row r="472" spans="1:33" s="584" customFormat="1" ht="23.25" customHeight="1">
      <c r="A472" s="597"/>
      <c r="D472" s="2601" t="s">
        <v>1836</v>
      </c>
      <c r="E472" s="1822"/>
      <c r="F472" s="1822"/>
      <c r="G472" s="1822"/>
      <c r="H472" s="1822"/>
      <c r="I472" s="1822"/>
      <c r="J472" s="1822"/>
      <c r="K472" s="1822"/>
      <c r="L472" s="1822"/>
      <c r="M472" s="1967"/>
      <c r="N472" s="1967"/>
      <c r="O472" s="1967"/>
      <c r="P472" s="1967"/>
      <c r="Q472" s="1967"/>
      <c r="R472" s="1967"/>
      <c r="S472" s="1967"/>
      <c r="T472" s="1967"/>
      <c r="U472" s="1967"/>
      <c r="V472" s="1967"/>
      <c r="W472" s="1967"/>
      <c r="X472" s="1967"/>
      <c r="Y472" s="1967"/>
      <c r="Z472" s="1967"/>
      <c r="AA472" s="1794">
        <f>'Notes- SK Template'!AA469</f>
        <v>0</v>
      </c>
      <c r="AB472" s="1794"/>
      <c r="AC472" s="1794"/>
      <c r="AD472" s="1794"/>
      <c r="AE472" s="1794"/>
      <c r="AF472" s="1794"/>
      <c r="AG472" s="1794"/>
    </row>
    <row r="473" spans="1:33" s="584" customFormat="1" ht="23.25" customHeight="1">
      <c r="A473" s="597"/>
      <c r="D473" s="2601" t="s">
        <v>1845</v>
      </c>
      <c r="E473" s="1822"/>
      <c r="F473" s="1822"/>
      <c r="G473" s="1822"/>
      <c r="H473" s="1822"/>
      <c r="I473" s="1822"/>
      <c r="J473" s="1822"/>
      <c r="K473" s="1822"/>
      <c r="L473" s="1822"/>
      <c r="M473" s="1967"/>
      <c r="N473" s="1967"/>
      <c r="O473" s="1967"/>
      <c r="P473" s="1967"/>
      <c r="Q473" s="1967"/>
      <c r="R473" s="1967"/>
      <c r="S473" s="1967"/>
      <c r="T473" s="1967"/>
      <c r="U473" s="1967"/>
      <c r="V473" s="1967"/>
      <c r="W473" s="1967"/>
      <c r="X473" s="1967"/>
      <c r="Y473" s="1967"/>
      <c r="Z473" s="1967"/>
      <c r="AA473" s="1794">
        <f>'Notes- SK Template'!AA470</f>
        <v>0</v>
      </c>
      <c r="AB473" s="1794"/>
      <c r="AC473" s="1794"/>
      <c r="AD473" s="1794"/>
      <c r="AE473" s="1794"/>
      <c r="AF473" s="1794"/>
      <c r="AG473" s="1794"/>
    </row>
    <row r="474" spans="1:33" s="584" customFormat="1" ht="23.25" customHeight="1" thickBot="1">
      <c r="A474" s="597"/>
      <c r="D474" s="2668" t="s">
        <v>1838</v>
      </c>
      <c r="E474" s="1996"/>
      <c r="F474" s="1996"/>
      <c r="G474" s="1996"/>
      <c r="H474" s="1996"/>
      <c r="I474" s="1996"/>
      <c r="J474" s="1996"/>
      <c r="K474" s="1996"/>
      <c r="L474" s="1996"/>
      <c r="M474" s="1967"/>
      <c r="N474" s="1967"/>
      <c r="O474" s="1967"/>
      <c r="P474" s="1967"/>
      <c r="Q474" s="1967"/>
      <c r="R474" s="1967"/>
      <c r="S474" s="1967"/>
      <c r="T474" s="1967"/>
      <c r="U474" s="1967"/>
      <c r="V474" s="1967"/>
      <c r="W474" s="1967"/>
      <c r="X474" s="1967"/>
      <c r="Y474" s="1967"/>
      <c r="Z474" s="1967"/>
      <c r="AA474" s="1794">
        <f>'Notes- SK Template'!AA471</f>
        <v>0</v>
      </c>
      <c r="AB474" s="1794"/>
      <c r="AC474" s="1794"/>
      <c r="AD474" s="1794"/>
      <c r="AE474" s="1794"/>
      <c r="AF474" s="1794"/>
      <c r="AG474" s="1794"/>
    </row>
    <row r="475" spans="1:33" s="584" customFormat="1" ht="23.25" customHeight="1" thickBot="1">
      <c r="A475" s="597"/>
      <c r="D475" s="2015" t="s">
        <v>1846</v>
      </c>
      <c r="E475" s="2015"/>
      <c r="F475" s="2015"/>
      <c r="G475" s="2015"/>
      <c r="H475" s="2015"/>
      <c r="I475" s="2015"/>
      <c r="J475" s="2015"/>
      <c r="K475" s="2015"/>
      <c r="L475" s="2015"/>
      <c r="M475" s="2014">
        <f>'Notes- SK Template'!M472</f>
        <v>0</v>
      </c>
      <c r="N475" s="2014"/>
      <c r="O475" s="2014"/>
      <c r="P475" s="2014"/>
      <c r="Q475" s="2014"/>
      <c r="R475" s="2014"/>
      <c r="S475" s="2014"/>
      <c r="T475" s="2014">
        <f>'Notes- SK Template'!T472</f>
        <v>0</v>
      </c>
      <c r="U475" s="2014"/>
      <c r="V475" s="2014"/>
      <c r="W475" s="2014"/>
      <c r="X475" s="2014"/>
      <c r="Y475" s="2014"/>
      <c r="Z475" s="2014"/>
      <c r="AA475" s="2014">
        <f>'Notes- SK Template'!AA472</f>
        <v>0</v>
      </c>
      <c r="AB475" s="2014"/>
      <c r="AC475" s="2014"/>
      <c r="AD475" s="2014"/>
      <c r="AE475" s="2014"/>
      <c r="AF475" s="2014"/>
      <c r="AG475" s="2014"/>
    </row>
    <row r="476" spans="1:33" s="584" customFormat="1" ht="23.25" customHeight="1" thickBot="1">
      <c r="A476" s="597"/>
      <c r="D476" s="2015" t="s">
        <v>1847</v>
      </c>
      <c r="E476" s="2015"/>
      <c r="F476" s="2015"/>
      <c r="G476" s="2015"/>
      <c r="H476" s="2015"/>
      <c r="I476" s="2015"/>
      <c r="J476" s="2015"/>
      <c r="K476" s="2015"/>
      <c r="L476" s="2015"/>
      <c r="M476" s="2015"/>
      <c r="N476" s="2015"/>
      <c r="O476" s="2015"/>
      <c r="P476" s="2015"/>
      <c r="Q476" s="2015"/>
      <c r="R476" s="2015"/>
      <c r="S476" s="2015"/>
      <c r="T476" s="2015"/>
      <c r="U476" s="2015"/>
      <c r="V476" s="2015"/>
      <c r="W476" s="2015"/>
      <c r="X476" s="2015"/>
      <c r="Y476" s="2015"/>
      <c r="Z476" s="2015"/>
      <c r="AA476" s="2015"/>
      <c r="AB476" s="2015"/>
      <c r="AC476" s="2015"/>
      <c r="AD476" s="2015"/>
      <c r="AE476" s="2015"/>
      <c r="AF476" s="2015"/>
      <c r="AG476" s="2015"/>
    </row>
    <row r="477" spans="1:33" s="584" customFormat="1" ht="23.25" customHeight="1">
      <c r="A477" s="597"/>
      <c r="D477" s="2658" t="s">
        <v>1834</v>
      </c>
      <c r="E477" s="1870"/>
      <c r="F477" s="1870"/>
      <c r="G477" s="1870"/>
      <c r="H477" s="1870"/>
      <c r="I477" s="1870"/>
      <c r="J477" s="1870"/>
      <c r="K477" s="1870"/>
      <c r="L477" s="1870"/>
      <c r="M477" s="1830">
        <f>'Notes- SK Template'!M474</f>
        <v>1002788</v>
      </c>
      <c r="N477" s="1830"/>
      <c r="O477" s="1830"/>
      <c r="P477" s="1830"/>
      <c r="Q477" s="1830"/>
      <c r="R477" s="1830"/>
      <c r="S477" s="1830"/>
      <c r="T477" s="1830">
        <f>'Notes- SK Template'!T474</f>
        <v>258368</v>
      </c>
      <c r="U477" s="1830"/>
      <c r="V477" s="1830"/>
      <c r="W477" s="1830"/>
      <c r="X477" s="1830"/>
      <c r="Y477" s="1830"/>
      <c r="Z477" s="1830"/>
      <c r="AA477" s="1899">
        <f>'Notes- SK Template'!AA474</f>
        <v>1261156</v>
      </c>
      <c r="AB477" s="1899"/>
      <c r="AC477" s="1899"/>
      <c r="AD477" s="1899"/>
      <c r="AE477" s="1899"/>
      <c r="AF477" s="1899"/>
      <c r="AG477" s="1899"/>
    </row>
    <row r="478" spans="1:33" s="584" customFormat="1" ht="23.25" customHeight="1">
      <c r="A478" s="597"/>
      <c r="D478" s="2601" t="s">
        <v>1844</v>
      </c>
      <c r="E478" s="1822"/>
      <c r="F478" s="1822"/>
      <c r="G478" s="1822"/>
      <c r="H478" s="1822"/>
      <c r="I478" s="1822"/>
      <c r="J478" s="1822"/>
      <c r="K478" s="1822"/>
      <c r="L478" s="1822"/>
      <c r="M478" s="1967">
        <f>'Notes- SK Template'!M475</f>
        <v>95180</v>
      </c>
      <c r="N478" s="1967"/>
      <c r="O478" s="1967"/>
      <c r="P478" s="1967"/>
      <c r="Q478" s="1967"/>
      <c r="R478" s="1967"/>
      <c r="S478" s="1967"/>
      <c r="T478" s="1967">
        <f>'Notes- SK Template'!T475</f>
        <v>39162</v>
      </c>
      <c r="U478" s="1967"/>
      <c r="V478" s="1967"/>
      <c r="W478" s="1967"/>
      <c r="X478" s="1967"/>
      <c r="Y478" s="1967"/>
      <c r="Z478" s="1967"/>
      <c r="AA478" s="1794">
        <f>'Notes- SK Template'!AA475</f>
        <v>134342</v>
      </c>
      <c r="AB478" s="1794"/>
      <c r="AC478" s="1794"/>
      <c r="AD478" s="1794"/>
      <c r="AE478" s="1794"/>
      <c r="AF478" s="1794"/>
      <c r="AG478" s="1794"/>
    </row>
    <row r="479" spans="1:33" s="584" customFormat="1" ht="23.25" customHeight="1">
      <c r="A479" s="597"/>
      <c r="D479" s="2601" t="s">
        <v>1836</v>
      </c>
      <c r="E479" s="1822"/>
      <c r="F479" s="1822"/>
      <c r="G479" s="1822"/>
      <c r="H479" s="1822"/>
      <c r="I479" s="1822"/>
      <c r="J479" s="1822"/>
      <c r="K479" s="1822"/>
      <c r="L479" s="1822"/>
      <c r="M479" s="1967">
        <f>'Notes- SK Template'!M476</f>
        <v>0</v>
      </c>
      <c r="N479" s="1967"/>
      <c r="O479" s="1967"/>
      <c r="P479" s="1967"/>
      <c r="Q479" s="1967"/>
      <c r="R479" s="1967"/>
      <c r="S479" s="1967"/>
      <c r="T479" s="1967">
        <f>'Notes- SK Template'!T476</f>
        <v>0</v>
      </c>
      <c r="U479" s="1967"/>
      <c r="V479" s="1967"/>
      <c r="W479" s="1967"/>
      <c r="X479" s="1967"/>
      <c r="Y479" s="1967"/>
      <c r="Z479" s="1967"/>
      <c r="AA479" s="1794">
        <f>'Notes- SK Template'!AA476</f>
        <v>0</v>
      </c>
      <c r="AB479" s="1794"/>
      <c r="AC479" s="1794"/>
      <c r="AD479" s="1794"/>
      <c r="AE479" s="1794"/>
      <c r="AF479" s="1794"/>
      <c r="AG479" s="1794"/>
    </row>
    <row r="480" spans="1:33" s="584" customFormat="1" ht="23.25" customHeight="1">
      <c r="A480" s="597"/>
      <c r="D480" s="2601" t="s">
        <v>1845</v>
      </c>
      <c r="E480" s="1822"/>
      <c r="F480" s="1822"/>
      <c r="G480" s="1822"/>
      <c r="H480" s="1822"/>
      <c r="I480" s="1822"/>
      <c r="J480" s="1822"/>
      <c r="K480" s="1822"/>
      <c r="L480" s="1822"/>
      <c r="M480" s="1967">
        <f>'Notes- SK Template'!M477</f>
        <v>0</v>
      </c>
      <c r="N480" s="1967"/>
      <c r="O480" s="1967"/>
      <c r="P480" s="1967"/>
      <c r="Q480" s="1967"/>
      <c r="R480" s="1967"/>
      <c r="S480" s="1967"/>
      <c r="T480" s="1967">
        <f>'Notes- SK Template'!T477</f>
        <v>0</v>
      </c>
      <c r="U480" s="1967"/>
      <c r="V480" s="1967"/>
      <c r="W480" s="1967"/>
      <c r="X480" s="1967"/>
      <c r="Y480" s="1967"/>
      <c r="Z480" s="1967"/>
      <c r="AA480" s="1794">
        <f>'Notes- SK Template'!AA477</f>
        <v>0</v>
      </c>
      <c r="AB480" s="1794"/>
      <c r="AC480" s="1794"/>
      <c r="AD480" s="1794"/>
      <c r="AE480" s="1794"/>
      <c r="AF480" s="1794"/>
      <c r="AG480" s="1794"/>
    </row>
    <row r="481" spans="1:33" s="584" customFormat="1" ht="23.25" customHeight="1">
      <c r="A481" s="597"/>
      <c r="D481" s="2601" t="s">
        <v>1848</v>
      </c>
      <c r="E481" s="1822"/>
      <c r="F481" s="1822"/>
      <c r="G481" s="1822"/>
      <c r="H481" s="1822"/>
      <c r="I481" s="1822"/>
      <c r="J481" s="1822"/>
      <c r="K481" s="1822"/>
      <c r="L481" s="1822"/>
      <c r="M481" s="1791">
        <f>'Notes- SK Template'!M478</f>
        <v>0</v>
      </c>
      <c r="N481" s="1791"/>
      <c r="O481" s="1791"/>
      <c r="P481" s="1791"/>
      <c r="Q481" s="1791"/>
      <c r="R481" s="1791"/>
      <c r="S481" s="1791"/>
      <c r="T481" s="1967">
        <f>'Notes- SK Template'!T478</f>
        <v>0</v>
      </c>
      <c r="U481" s="1967"/>
      <c r="V481" s="1967"/>
      <c r="W481" s="1967"/>
      <c r="X481" s="1967"/>
      <c r="Y481" s="1967"/>
      <c r="Z481" s="1967"/>
      <c r="AA481" s="1794">
        <f>'Notes- SK Template'!AA478</f>
        <v>0</v>
      </c>
      <c r="AB481" s="1794"/>
      <c r="AC481" s="1794"/>
      <c r="AD481" s="1794"/>
      <c r="AE481" s="1794"/>
      <c r="AF481" s="1794"/>
      <c r="AG481" s="1794"/>
    </row>
    <row r="482" spans="1:33" s="584" customFormat="1" ht="23.25" customHeight="1">
      <c r="A482" s="597"/>
      <c r="D482" s="2601" t="s">
        <v>1849</v>
      </c>
      <c r="E482" s="1822"/>
      <c r="F482" s="1822"/>
      <c r="G482" s="1822"/>
      <c r="H482" s="1822"/>
      <c r="I482" s="1822"/>
      <c r="J482" s="1822"/>
      <c r="K482" s="1822"/>
      <c r="L482" s="1822"/>
      <c r="M482" s="1967">
        <f>'Notes- SK Template'!M479</f>
        <v>41600</v>
      </c>
      <c r="N482" s="1967"/>
      <c r="O482" s="1967"/>
      <c r="P482" s="1967"/>
      <c r="Q482" s="1967"/>
      <c r="R482" s="1967"/>
      <c r="S482" s="1967"/>
      <c r="T482" s="1967">
        <f>'Notes- SK Template'!T479</f>
        <v>0</v>
      </c>
      <c r="U482" s="1967"/>
      <c r="V482" s="1967"/>
      <c r="W482" s="1967"/>
      <c r="X482" s="1967"/>
      <c r="Y482" s="1967"/>
      <c r="Z482" s="1967"/>
      <c r="AA482" s="1794">
        <f>'Notes- SK Template'!AA479</f>
        <v>41600</v>
      </c>
      <c r="AB482" s="1794"/>
      <c r="AC482" s="1794"/>
      <c r="AD482" s="1794"/>
      <c r="AE482" s="1794"/>
      <c r="AF482" s="1794"/>
      <c r="AG482" s="1794"/>
    </row>
    <row r="483" spans="1:33" s="584" customFormat="1" ht="23.25" customHeight="1" thickBot="1">
      <c r="A483" s="597"/>
      <c r="D483" s="2668" t="s">
        <v>1838</v>
      </c>
      <c r="E483" s="1996"/>
      <c r="F483" s="1996"/>
      <c r="G483" s="1996"/>
      <c r="H483" s="1996"/>
      <c r="I483" s="1996"/>
      <c r="J483" s="1996"/>
      <c r="K483" s="1996"/>
      <c r="L483" s="1996"/>
      <c r="M483" s="1967">
        <f>'Notes- SK Template'!M480</f>
        <v>13355</v>
      </c>
      <c r="N483" s="1967"/>
      <c r="O483" s="1967"/>
      <c r="P483" s="1967"/>
      <c r="Q483" s="1967"/>
      <c r="R483" s="1967"/>
      <c r="S483" s="1967"/>
      <c r="T483" s="1967">
        <f>'Notes- SK Template'!T480</f>
        <v>0</v>
      </c>
      <c r="U483" s="1967"/>
      <c r="V483" s="1967"/>
      <c r="W483" s="1967"/>
      <c r="X483" s="1967"/>
      <c r="Y483" s="1967"/>
      <c r="Z483" s="1967"/>
      <c r="AA483" s="1794">
        <f>'Notes- SK Template'!AA480</f>
        <v>13355</v>
      </c>
      <c r="AB483" s="1794"/>
      <c r="AC483" s="1794"/>
      <c r="AD483" s="1794"/>
      <c r="AE483" s="1794"/>
      <c r="AF483" s="1794"/>
      <c r="AG483" s="1794"/>
    </row>
    <row r="484" spans="1:33" s="584" customFormat="1" ht="23.25" customHeight="1" thickBot="1">
      <c r="A484" s="597"/>
      <c r="D484" s="1995" t="s">
        <v>1850</v>
      </c>
      <c r="E484" s="1995"/>
      <c r="F484" s="1995"/>
      <c r="G484" s="1995"/>
      <c r="H484" s="1995"/>
      <c r="I484" s="1995"/>
      <c r="J484" s="1995"/>
      <c r="K484" s="1995"/>
      <c r="L484" s="1995"/>
      <c r="M484" s="2014">
        <f>'Notes- SK Template'!M481</f>
        <v>1152923</v>
      </c>
      <c r="N484" s="2014"/>
      <c r="O484" s="2014"/>
      <c r="P484" s="2014"/>
      <c r="Q484" s="2014"/>
      <c r="R484" s="2014"/>
      <c r="S484" s="2014"/>
      <c r="T484" s="2014">
        <f>'Notes- SK Template'!T481</f>
        <v>297530</v>
      </c>
      <c r="U484" s="2014"/>
      <c r="V484" s="2014"/>
      <c r="W484" s="2014"/>
      <c r="X484" s="2014"/>
      <c r="Y484" s="2014"/>
      <c r="Z484" s="2014"/>
      <c r="AA484" s="2014">
        <f>'Notes- SK Template'!AA481</f>
        <v>1450453</v>
      </c>
      <c r="AB484" s="2014"/>
      <c r="AC484" s="2014"/>
      <c r="AD484" s="2014"/>
      <c r="AE484" s="2014"/>
      <c r="AF484" s="2014"/>
      <c r="AG484" s="2014"/>
    </row>
    <row r="485" spans="1:33" s="584" customFormat="1" ht="14">
      <c r="A485" s="597"/>
    </row>
    <row r="486" spans="1:33" s="584" customFormat="1" ht="14">
      <c r="A486" s="597"/>
      <c r="D486" s="2005" t="s">
        <v>1851</v>
      </c>
      <c r="E486" s="2006"/>
      <c r="F486" s="2006"/>
      <c r="G486" s="2006"/>
      <c r="H486" s="2006"/>
      <c r="I486" s="2006"/>
      <c r="J486" s="2006"/>
      <c r="K486" s="2006"/>
      <c r="L486" s="2006"/>
      <c r="M486" s="2006"/>
      <c r="N486" s="2006"/>
      <c r="O486" s="2006"/>
      <c r="P486" s="2006"/>
      <c r="Q486" s="2006"/>
      <c r="R486" s="2006"/>
      <c r="S486" s="2006"/>
      <c r="T486" s="2006"/>
      <c r="U486" s="2006"/>
      <c r="V486" s="2006"/>
      <c r="W486" s="2006"/>
      <c r="X486" s="2006"/>
      <c r="Y486" s="2006"/>
      <c r="Z486" s="2006"/>
      <c r="AA486" s="2006"/>
      <c r="AB486" s="2006"/>
      <c r="AC486" s="2006"/>
      <c r="AD486" s="2006"/>
      <c r="AE486" s="2006"/>
      <c r="AF486" s="2006"/>
      <c r="AG486" s="2006"/>
    </row>
    <row r="487" spans="1:33" s="584" customFormat="1" ht="14.5" thickBot="1">
      <c r="A487" s="597"/>
      <c r="D487" s="913"/>
      <c r="E487" s="913"/>
      <c r="F487" s="913"/>
      <c r="G487" s="913"/>
      <c r="H487" s="913"/>
      <c r="I487" s="913"/>
      <c r="J487" s="913"/>
      <c r="K487" s="913"/>
      <c r="L487" s="913"/>
      <c r="M487" s="913"/>
      <c r="N487" s="913"/>
      <c r="O487" s="913"/>
      <c r="P487" s="913"/>
      <c r="Q487" s="913"/>
      <c r="R487" s="913"/>
      <c r="S487" s="913"/>
      <c r="T487" s="913"/>
      <c r="U487" s="913"/>
      <c r="V487" s="913"/>
      <c r="W487" s="913"/>
      <c r="X487" s="913"/>
      <c r="Y487" s="913"/>
      <c r="Z487" s="913"/>
      <c r="AA487" s="913"/>
      <c r="AB487" s="913"/>
      <c r="AC487" s="913"/>
      <c r="AD487" s="913"/>
      <c r="AE487" s="913"/>
      <c r="AF487" s="913"/>
      <c r="AG487" s="913"/>
    </row>
    <row r="488" spans="1:33" s="584" customFormat="1" ht="15.75" customHeight="1" thickBot="1">
      <c r="A488" s="597">
        <v>17</v>
      </c>
      <c r="D488" s="1877" t="s">
        <v>1852</v>
      </c>
      <c r="E488" s="1878"/>
      <c r="F488" s="1878"/>
      <c r="G488" s="1878"/>
      <c r="H488" s="1878"/>
      <c r="I488" s="1878"/>
      <c r="J488" s="1878"/>
      <c r="K488" s="1878"/>
      <c r="L488" s="1878"/>
      <c r="M488" s="1878"/>
      <c r="N488" s="2042" t="s">
        <v>1740</v>
      </c>
      <c r="O488" s="2043"/>
      <c r="P488" s="2043"/>
      <c r="Q488" s="2043"/>
      <c r="R488" s="2043"/>
      <c r="S488" s="2043"/>
      <c r="T488" s="2043"/>
      <c r="U488" s="2043"/>
      <c r="V488" s="2043"/>
      <c r="W488" s="2043"/>
      <c r="X488" s="2043"/>
      <c r="Y488" s="2043"/>
      <c r="Z488" s="2043"/>
      <c r="AA488" s="2043"/>
      <c r="AB488" s="2043"/>
      <c r="AC488" s="2043"/>
      <c r="AD488" s="2043"/>
      <c r="AE488" s="2043"/>
      <c r="AF488" s="2043"/>
      <c r="AG488" s="2044"/>
    </row>
    <row r="489" spans="1:33" s="584" customFormat="1" ht="35.25" customHeight="1" thickBot="1">
      <c r="A489" s="597"/>
      <c r="D489" s="1879"/>
      <c r="E489" s="1880"/>
      <c r="F489" s="1880"/>
      <c r="G489" s="1880"/>
      <c r="H489" s="1880"/>
      <c r="I489" s="1880"/>
      <c r="J489" s="1880"/>
      <c r="K489" s="1880"/>
      <c r="L489" s="1880"/>
      <c r="M489" s="1880"/>
      <c r="N489" s="1851" t="s">
        <v>1997</v>
      </c>
      <c r="O489" s="1851"/>
      <c r="P489" s="1851"/>
      <c r="Q489" s="1851"/>
      <c r="R489" s="1851"/>
      <c r="S489" s="1851"/>
      <c r="T489" s="1851"/>
      <c r="U489" s="1851"/>
      <c r="V489" s="1851"/>
      <c r="W489" s="1851"/>
      <c r="X489" s="1851" t="s">
        <v>1853</v>
      </c>
      <c r="Y489" s="1851"/>
      <c r="Z489" s="1851"/>
      <c r="AA489" s="1851"/>
      <c r="AB489" s="1851"/>
      <c r="AC489" s="1851"/>
      <c r="AD489" s="1851"/>
      <c r="AE489" s="1851"/>
      <c r="AF489" s="1851"/>
      <c r="AG489" s="1851"/>
    </row>
    <row r="490" spans="1:33" s="584" customFormat="1" ht="27.25" customHeight="1">
      <c r="A490" s="597"/>
      <c r="D490" s="2665" t="s">
        <v>1854</v>
      </c>
      <c r="E490" s="2129"/>
      <c r="F490" s="2129"/>
      <c r="G490" s="2129"/>
      <c r="H490" s="2129"/>
      <c r="I490" s="2129"/>
      <c r="J490" s="2129"/>
      <c r="K490" s="2129"/>
      <c r="L490" s="2129"/>
      <c r="M490" s="2129"/>
      <c r="N490" s="2666" t="str">
        <f>'Notes- SK Template'!N486</f>
        <v>-</v>
      </c>
      <c r="O490" s="2667"/>
      <c r="P490" s="2667"/>
      <c r="Q490" s="2667"/>
      <c r="R490" s="2667"/>
      <c r="S490" s="2667"/>
      <c r="T490" s="2667"/>
      <c r="U490" s="2667"/>
      <c r="V490" s="2667"/>
      <c r="W490" s="2667"/>
      <c r="X490" s="2667" t="str">
        <f>'Notes- SK Template'!X486</f>
        <v>-</v>
      </c>
      <c r="Y490" s="2667"/>
      <c r="Z490" s="2667"/>
      <c r="AA490" s="2667"/>
      <c r="AB490" s="2667"/>
      <c r="AC490" s="2667"/>
      <c r="AD490" s="2667"/>
      <c r="AE490" s="2667"/>
      <c r="AF490" s="2667"/>
      <c r="AG490" s="2667"/>
    </row>
    <row r="491" spans="1:33" s="584" customFormat="1" ht="27.25" customHeight="1">
      <c r="A491" s="597"/>
      <c r="D491" s="2560" t="s">
        <v>1855</v>
      </c>
      <c r="E491" s="1826"/>
      <c r="F491" s="1826"/>
      <c r="G491" s="1826"/>
      <c r="H491" s="1826"/>
      <c r="I491" s="1826"/>
      <c r="J491" s="1826"/>
      <c r="K491" s="1826"/>
      <c r="L491" s="1826"/>
      <c r="M491" s="1827"/>
      <c r="N491" s="2663" t="str">
        <f>'Notes- SK Template'!N487</f>
        <v>-</v>
      </c>
      <c r="O491" s="2581"/>
      <c r="P491" s="2581"/>
      <c r="Q491" s="2581"/>
      <c r="R491" s="2581"/>
      <c r="S491" s="2581"/>
      <c r="T491" s="2581"/>
      <c r="U491" s="2581"/>
      <c r="V491" s="2581"/>
      <c r="W491" s="2581"/>
      <c r="X491" s="2664" t="str">
        <f>'Notes- SK Template'!X487</f>
        <v>-</v>
      </c>
      <c r="Y491" s="2664"/>
      <c r="Z491" s="2664"/>
      <c r="AA491" s="2664"/>
      <c r="AB491" s="2664"/>
      <c r="AC491" s="2664"/>
      <c r="AD491" s="2664"/>
      <c r="AE491" s="2664"/>
      <c r="AF491" s="2664"/>
      <c r="AG491" s="2664"/>
    </row>
    <row r="492" spans="1:33" s="584" customFormat="1" ht="27.25" customHeight="1" thickBot="1">
      <c r="A492" s="597"/>
      <c r="D492" s="2561" t="s">
        <v>1856</v>
      </c>
      <c r="E492" s="2054"/>
      <c r="F492" s="2054"/>
      <c r="G492" s="2054"/>
      <c r="H492" s="2054"/>
      <c r="I492" s="2054"/>
      <c r="J492" s="2054"/>
      <c r="K492" s="2054"/>
      <c r="L492" s="2054"/>
      <c r="M492" s="2055"/>
      <c r="N492" s="1874" t="str">
        <f>'Notes- SK Template'!N488</f>
        <v>-</v>
      </c>
      <c r="O492" s="1875"/>
      <c r="P492" s="1875"/>
      <c r="Q492" s="1875"/>
      <c r="R492" s="1875"/>
      <c r="S492" s="1875"/>
      <c r="T492" s="1875"/>
      <c r="U492" s="1875"/>
      <c r="V492" s="1875"/>
      <c r="W492" s="1875"/>
      <c r="X492" s="2288" t="str">
        <f>'Notes- SK Template'!X488</f>
        <v>-</v>
      </c>
      <c r="Y492" s="2288"/>
      <c r="Z492" s="2288"/>
      <c r="AA492" s="2288"/>
      <c r="AB492" s="2288"/>
      <c r="AC492" s="2288"/>
      <c r="AD492" s="2288"/>
      <c r="AE492" s="2288"/>
      <c r="AF492" s="2288"/>
      <c r="AG492" s="2288"/>
    </row>
    <row r="493" spans="1:33" s="584" customFormat="1" ht="14">
      <c r="A493" s="597"/>
    </row>
    <row r="494" spans="1:33" s="584" customFormat="1" ht="14">
      <c r="A494" s="597"/>
    </row>
    <row r="495" spans="1:33" s="584" customFormat="1" ht="14">
      <c r="A495" s="597"/>
      <c r="D495" s="582" t="s">
        <v>2975</v>
      </c>
    </row>
    <row r="496" spans="1:33" s="584" customFormat="1" ht="14">
      <c r="A496" s="597"/>
    </row>
    <row r="497" spans="1:33" s="584" customFormat="1" ht="14">
      <c r="A497" s="18"/>
      <c r="D497" s="2005" t="s">
        <v>1857</v>
      </c>
      <c r="E497" s="2006"/>
      <c r="F497" s="2006"/>
      <c r="G497" s="2006"/>
      <c r="H497" s="2006"/>
      <c r="I497" s="2006"/>
      <c r="J497" s="2006"/>
      <c r="K497" s="2006"/>
      <c r="L497" s="2006"/>
      <c r="M497" s="2006"/>
      <c r="N497" s="2006"/>
      <c r="O497" s="2006"/>
      <c r="P497" s="2006"/>
      <c r="Q497" s="2006"/>
      <c r="R497" s="2006"/>
      <c r="S497" s="2006"/>
      <c r="T497" s="2006"/>
      <c r="U497" s="2006"/>
      <c r="V497" s="2006"/>
      <c r="W497" s="2006"/>
      <c r="X497" s="2006"/>
      <c r="Y497" s="2006"/>
      <c r="Z497" s="2006"/>
      <c r="AA497" s="2006"/>
      <c r="AB497" s="2006"/>
      <c r="AC497" s="2006"/>
      <c r="AD497" s="2006"/>
      <c r="AE497" s="2006"/>
      <c r="AF497" s="2006"/>
      <c r="AG497" s="2006"/>
    </row>
    <row r="498" spans="1:33" s="584" customFormat="1" ht="14.5" thickBot="1">
      <c r="A498" s="597"/>
    </row>
    <row r="499" spans="1:33" s="584" customFormat="1" ht="31.5" customHeight="1" thickBot="1">
      <c r="A499" s="597">
        <v>18</v>
      </c>
      <c r="D499" s="2042" t="s">
        <v>1739</v>
      </c>
      <c r="E499" s="2043"/>
      <c r="F499" s="2043"/>
      <c r="G499" s="2043"/>
      <c r="H499" s="2043"/>
      <c r="I499" s="2043"/>
      <c r="J499" s="2043"/>
      <c r="K499" s="2043"/>
      <c r="L499" s="2043"/>
      <c r="M499" s="2044"/>
      <c r="N499" s="2042" t="s">
        <v>1740</v>
      </c>
      <c r="O499" s="2043"/>
      <c r="P499" s="2043"/>
      <c r="Q499" s="2043"/>
      <c r="R499" s="2043"/>
      <c r="S499" s="2043"/>
      <c r="T499" s="2043"/>
      <c r="U499" s="2043"/>
      <c r="V499" s="2043"/>
      <c r="W499" s="2044"/>
      <c r="X499" s="2042" t="s">
        <v>1858</v>
      </c>
      <c r="Y499" s="2043"/>
      <c r="Z499" s="2043"/>
      <c r="AA499" s="2043"/>
      <c r="AB499" s="2043"/>
      <c r="AC499" s="2043"/>
      <c r="AD499" s="2043"/>
      <c r="AE499" s="2043"/>
      <c r="AF499" s="2043"/>
      <c r="AG499" s="2044"/>
    </row>
    <row r="500" spans="1:33" s="584" customFormat="1" ht="23.25" customHeight="1">
      <c r="A500" s="597"/>
      <c r="D500" s="2559" t="s">
        <v>1859</v>
      </c>
      <c r="E500" s="1837"/>
      <c r="F500" s="1837"/>
      <c r="G500" s="1837"/>
      <c r="H500" s="1837"/>
      <c r="I500" s="1837"/>
      <c r="J500" s="1837"/>
      <c r="K500" s="1837"/>
      <c r="L500" s="1837"/>
      <c r="M500" s="1838"/>
      <c r="N500" s="2051">
        <f>'Notes- SK Template'!N497</f>
        <v>354</v>
      </c>
      <c r="O500" s="2052"/>
      <c r="P500" s="2052"/>
      <c r="Q500" s="2052"/>
      <c r="R500" s="2052"/>
      <c r="S500" s="2052"/>
      <c r="T500" s="2052"/>
      <c r="U500" s="2052"/>
      <c r="V500" s="2052"/>
      <c r="W500" s="2052"/>
      <c r="X500" s="2052">
        <f>'Notes- SK Template'!X497</f>
        <v>1088</v>
      </c>
      <c r="Y500" s="2052"/>
      <c r="Z500" s="2052"/>
      <c r="AA500" s="2052"/>
      <c r="AB500" s="2052"/>
      <c r="AC500" s="2052"/>
      <c r="AD500" s="2052"/>
      <c r="AE500" s="2052"/>
      <c r="AF500" s="2052"/>
      <c r="AG500" s="2052"/>
    </row>
    <row r="501" spans="1:33" s="584" customFormat="1" ht="23.25" customHeight="1">
      <c r="A501" s="597"/>
      <c r="D501" s="2560" t="s">
        <v>1860</v>
      </c>
      <c r="E501" s="1826"/>
      <c r="F501" s="1826"/>
      <c r="G501" s="1826"/>
      <c r="H501" s="1826"/>
      <c r="I501" s="1826"/>
      <c r="J501" s="1826"/>
      <c r="K501" s="1826"/>
      <c r="L501" s="1826"/>
      <c r="M501" s="1827"/>
      <c r="N501" s="1970">
        <f>'Notes- SK Template'!N498</f>
        <v>1097630</v>
      </c>
      <c r="O501" s="1967"/>
      <c r="P501" s="1967"/>
      <c r="Q501" s="1967"/>
      <c r="R501" s="1967"/>
      <c r="S501" s="1967"/>
      <c r="T501" s="1967"/>
      <c r="U501" s="1967"/>
      <c r="V501" s="1967"/>
      <c r="W501" s="1967"/>
      <c r="X501" s="1967">
        <f>'Notes- SK Template'!X498</f>
        <v>298825</v>
      </c>
      <c r="Y501" s="1967"/>
      <c r="Z501" s="1967"/>
      <c r="AA501" s="1967"/>
      <c r="AB501" s="1967"/>
      <c r="AC501" s="1967"/>
      <c r="AD501" s="1967"/>
      <c r="AE501" s="1967"/>
      <c r="AF501" s="1967"/>
      <c r="AG501" s="1967"/>
    </row>
    <row r="502" spans="1:33" s="584" customFormat="1" ht="23.25" customHeight="1">
      <c r="A502" s="597"/>
      <c r="D502" s="2560" t="s">
        <v>1861</v>
      </c>
      <c r="E502" s="1826"/>
      <c r="F502" s="1826"/>
      <c r="G502" s="1826"/>
      <c r="H502" s="1826"/>
      <c r="I502" s="1826"/>
      <c r="J502" s="1826"/>
      <c r="K502" s="1826"/>
      <c r="L502" s="1826"/>
      <c r="M502" s="1827"/>
      <c r="N502" s="1970"/>
      <c r="O502" s="1967"/>
      <c r="P502" s="1967"/>
      <c r="Q502" s="1967"/>
      <c r="R502" s="1967"/>
      <c r="S502" s="1967"/>
      <c r="T502" s="1967"/>
      <c r="U502" s="1967"/>
      <c r="V502" s="1967"/>
      <c r="W502" s="1967"/>
      <c r="X502" s="1967"/>
      <c r="Y502" s="1967"/>
      <c r="Z502" s="1967"/>
      <c r="AA502" s="1967"/>
      <c r="AB502" s="1967"/>
      <c r="AC502" s="1967"/>
      <c r="AD502" s="1967"/>
      <c r="AE502" s="1967"/>
      <c r="AF502" s="1967"/>
      <c r="AG502" s="1967"/>
    </row>
    <row r="503" spans="1:33" s="584" customFormat="1" ht="23.25" customHeight="1">
      <c r="A503" s="597"/>
      <c r="D503" s="2560" t="s">
        <v>1862</v>
      </c>
      <c r="E503" s="1826"/>
      <c r="F503" s="1826"/>
      <c r="G503" s="1826"/>
      <c r="H503" s="1826"/>
      <c r="I503" s="1826"/>
      <c r="J503" s="1826"/>
      <c r="K503" s="1826"/>
      <c r="L503" s="1826"/>
      <c r="M503" s="1827"/>
      <c r="N503" s="1970"/>
      <c r="O503" s="1967"/>
      <c r="P503" s="1967"/>
      <c r="Q503" s="1967"/>
      <c r="R503" s="1967"/>
      <c r="S503" s="1967"/>
      <c r="T503" s="1967"/>
      <c r="U503" s="1967"/>
      <c r="V503" s="1967"/>
      <c r="W503" s="1967"/>
      <c r="X503" s="1967"/>
      <c r="Y503" s="1967"/>
      <c r="Z503" s="1967"/>
      <c r="AA503" s="1967"/>
      <c r="AB503" s="1967"/>
      <c r="AC503" s="1967"/>
      <c r="AD503" s="1967"/>
      <c r="AE503" s="1967"/>
      <c r="AF503" s="1967"/>
      <c r="AG503" s="1967"/>
    </row>
    <row r="504" spans="1:33" s="584" customFormat="1" ht="23.25" customHeight="1" thickBot="1">
      <c r="A504" s="597"/>
      <c r="D504" s="1955" t="s">
        <v>1750</v>
      </c>
      <c r="E504" s="1956"/>
      <c r="F504" s="1956"/>
      <c r="G504" s="1956"/>
      <c r="H504" s="1956"/>
      <c r="I504" s="1956"/>
      <c r="J504" s="1956"/>
      <c r="K504" s="1956"/>
      <c r="L504" s="1956"/>
      <c r="M504" s="1957"/>
      <c r="N504" s="2013">
        <f>'Notes- SK Template'!N501</f>
        <v>1097984</v>
      </c>
      <c r="O504" s="2014"/>
      <c r="P504" s="2014"/>
      <c r="Q504" s="2014"/>
      <c r="R504" s="2014"/>
      <c r="S504" s="2014"/>
      <c r="T504" s="2014"/>
      <c r="U504" s="2014"/>
      <c r="V504" s="2014"/>
      <c r="W504" s="2014"/>
      <c r="X504" s="2013">
        <f>'Notes- SK Template'!X501</f>
        <v>299913</v>
      </c>
      <c r="Y504" s="2014"/>
      <c r="Z504" s="2014"/>
      <c r="AA504" s="2014"/>
      <c r="AB504" s="2014"/>
      <c r="AC504" s="2014"/>
      <c r="AD504" s="2014"/>
      <c r="AE504" s="2014"/>
      <c r="AF504" s="2014"/>
      <c r="AG504" s="2014"/>
    </row>
    <row r="505" spans="1:33" s="584" customFormat="1" ht="14">
      <c r="A505" s="597"/>
    </row>
    <row r="506" spans="1:33" s="584" customFormat="1" ht="14">
      <c r="A506" s="597"/>
      <c r="D506" s="584" t="s">
        <v>3085</v>
      </c>
    </row>
    <row r="507" spans="1:33" s="584" customFormat="1" ht="14">
      <c r="A507" s="597"/>
      <c r="D507" s="2101"/>
      <c r="E507" s="2101"/>
      <c r="F507" s="2101"/>
      <c r="G507" s="2101"/>
      <c r="H507" s="2101"/>
      <c r="I507" s="2101"/>
      <c r="J507" s="2101"/>
      <c r="K507" s="2101"/>
      <c r="L507" s="2101"/>
      <c r="M507" s="2101"/>
      <c r="N507" s="2101"/>
      <c r="O507" s="2101"/>
      <c r="P507" s="2101"/>
      <c r="Q507" s="2101"/>
      <c r="R507" s="2101"/>
      <c r="S507" s="2101"/>
      <c r="T507" s="2101"/>
      <c r="U507" s="2101"/>
      <c r="V507" s="2101"/>
      <c r="W507" s="2101"/>
      <c r="X507" s="2101"/>
      <c r="Y507" s="2101"/>
      <c r="Z507" s="2101"/>
      <c r="AA507" s="2101"/>
      <c r="AB507" s="2101"/>
      <c r="AC507" s="2101"/>
      <c r="AD507" s="2101"/>
      <c r="AE507" s="2101"/>
      <c r="AF507" s="2101"/>
      <c r="AG507" s="2101"/>
    </row>
    <row r="508" spans="1:33" ht="14.25" customHeight="1">
      <c r="D508" s="582" t="s">
        <v>3031</v>
      </c>
    </row>
    <row r="510" spans="1:33" ht="14.25" customHeight="1">
      <c r="D510" s="2005" t="s">
        <v>1863</v>
      </c>
      <c r="E510" s="2006"/>
      <c r="F510" s="2006"/>
      <c r="G510" s="2006"/>
      <c r="H510" s="2006"/>
      <c r="I510" s="2006"/>
      <c r="J510" s="2006"/>
      <c r="K510" s="2006"/>
      <c r="L510" s="2006"/>
      <c r="M510" s="2006"/>
      <c r="N510" s="2006"/>
      <c r="O510" s="2006"/>
      <c r="P510" s="2006"/>
      <c r="Q510" s="2006"/>
      <c r="R510" s="2006"/>
      <c r="S510" s="2006"/>
      <c r="T510" s="2006"/>
      <c r="U510" s="2006"/>
      <c r="V510" s="2006"/>
      <c r="W510" s="2006"/>
      <c r="X510" s="2006"/>
      <c r="Y510" s="2006"/>
      <c r="Z510" s="2006"/>
      <c r="AA510" s="2006"/>
      <c r="AB510" s="2006"/>
      <c r="AC510" s="2006"/>
      <c r="AD510" s="2006"/>
      <c r="AE510" s="2006"/>
      <c r="AF510" s="2006"/>
      <c r="AG510" s="2006"/>
    </row>
    <row r="511" spans="1:33" ht="14.25" customHeight="1" thickBot="1"/>
    <row r="512" spans="1:33" ht="28.5" customHeight="1" thickBot="1">
      <c r="A512" s="597">
        <v>22</v>
      </c>
      <c r="D512" s="2193" t="s">
        <v>1739</v>
      </c>
      <c r="E512" s="2193"/>
      <c r="F512" s="2193"/>
      <c r="G512" s="2193"/>
      <c r="H512" s="2193"/>
      <c r="I512" s="2193"/>
      <c r="J512" s="2193"/>
      <c r="K512" s="2193"/>
      <c r="L512" s="2193"/>
      <c r="M512" s="2193"/>
      <c r="N512" s="2193"/>
      <c r="O512" s="2193"/>
      <c r="P512" s="2193" t="s">
        <v>1740</v>
      </c>
      <c r="Q512" s="2193"/>
      <c r="R512" s="2193"/>
      <c r="S512" s="2193"/>
      <c r="T512" s="2193"/>
      <c r="U512" s="2193"/>
      <c r="V512" s="2193"/>
      <c r="W512" s="2193"/>
      <c r="X512" s="2193"/>
      <c r="Y512" s="2193" t="s">
        <v>1798</v>
      </c>
      <c r="Z512" s="2193"/>
      <c r="AA512" s="2193"/>
      <c r="AB512" s="2193"/>
      <c r="AC512" s="2193"/>
      <c r="AD512" s="2193"/>
      <c r="AE512" s="2193"/>
      <c r="AF512" s="2193"/>
      <c r="AG512" s="2193"/>
    </row>
    <row r="513" spans="4:33" ht="16.75" customHeight="1" thickBot="1">
      <c r="D513" s="1995" t="s">
        <v>1864</v>
      </c>
      <c r="E513" s="1995"/>
      <c r="F513" s="1995"/>
      <c r="G513" s="1995"/>
      <c r="H513" s="1995"/>
      <c r="I513" s="1995"/>
      <c r="J513" s="1995"/>
      <c r="K513" s="1995"/>
      <c r="L513" s="1995"/>
      <c r="M513" s="1995"/>
      <c r="N513" s="1995"/>
      <c r="O513" s="1995"/>
      <c r="P513" s="1895">
        <v>0</v>
      </c>
      <c r="Q513" s="1895"/>
      <c r="R513" s="1895"/>
      <c r="S513" s="1895"/>
      <c r="T513" s="1895"/>
      <c r="U513" s="1895"/>
      <c r="V513" s="1895"/>
      <c r="W513" s="1895"/>
      <c r="X513" s="2662"/>
      <c r="Y513" s="2114">
        <v>0</v>
      </c>
      <c r="Z513" s="1895"/>
      <c r="AA513" s="1895"/>
      <c r="AB513" s="1895"/>
      <c r="AC513" s="1895"/>
      <c r="AD513" s="1895"/>
      <c r="AE513" s="1895"/>
      <c r="AF513" s="1895"/>
      <c r="AG513" s="1895"/>
    </row>
    <row r="514" spans="4:33" ht="16.75" customHeight="1">
      <c r="D514" s="2605"/>
      <c r="E514" s="2605"/>
      <c r="F514" s="2605"/>
      <c r="G514" s="2605"/>
      <c r="H514" s="2605"/>
      <c r="I514" s="2605"/>
      <c r="J514" s="2605"/>
      <c r="K514" s="2605"/>
      <c r="L514" s="2605"/>
      <c r="M514" s="2605"/>
      <c r="N514" s="2605"/>
      <c r="O514" s="2605"/>
      <c r="P514" s="2687"/>
      <c r="Q514" s="2687"/>
      <c r="R514" s="2687"/>
      <c r="S514" s="2687"/>
      <c r="T514" s="2687"/>
      <c r="U514" s="2687"/>
      <c r="V514" s="2687"/>
      <c r="W514" s="2687"/>
      <c r="X514" s="2688"/>
      <c r="Y514" s="2689"/>
      <c r="Z514" s="2687"/>
      <c r="AA514" s="2687"/>
      <c r="AB514" s="2687"/>
      <c r="AC514" s="2687"/>
      <c r="AD514" s="2687"/>
      <c r="AE514" s="2687"/>
      <c r="AF514" s="2687"/>
      <c r="AG514" s="2687"/>
    </row>
    <row r="515" spans="4:33" ht="16.75" customHeight="1" thickBot="1">
      <c r="D515" s="2641"/>
      <c r="E515" s="2641"/>
      <c r="F515" s="2641"/>
      <c r="G515" s="2641"/>
      <c r="H515" s="2641"/>
      <c r="I515" s="2641"/>
      <c r="J515" s="2641"/>
      <c r="K515" s="2641"/>
      <c r="L515" s="2641"/>
      <c r="M515" s="2641"/>
      <c r="N515" s="2641"/>
      <c r="O515" s="2641"/>
      <c r="P515" s="2659"/>
      <c r="Q515" s="2659"/>
      <c r="R515" s="2659"/>
      <c r="S515" s="2659"/>
      <c r="T515" s="2659"/>
      <c r="U515" s="2659"/>
      <c r="V515" s="2659"/>
      <c r="W515" s="2659"/>
      <c r="X515" s="2660"/>
      <c r="Y515" s="2661"/>
      <c r="Z515" s="2659"/>
      <c r="AA515" s="2659"/>
      <c r="AB515" s="2659"/>
      <c r="AC515" s="2659"/>
      <c r="AD515" s="2659"/>
      <c r="AE515" s="2659"/>
      <c r="AF515" s="2659"/>
      <c r="AG515" s="2659"/>
    </row>
    <row r="516" spans="4:33" ht="16.75" customHeight="1" thickBot="1">
      <c r="D516" s="1995" t="s">
        <v>1865</v>
      </c>
      <c r="E516" s="1995"/>
      <c r="F516" s="1995"/>
      <c r="G516" s="1995"/>
      <c r="H516" s="1995"/>
      <c r="I516" s="1995"/>
      <c r="J516" s="1995"/>
      <c r="K516" s="1995"/>
      <c r="L516" s="1995"/>
      <c r="M516" s="1995"/>
      <c r="N516" s="1995"/>
      <c r="O516" s="1995"/>
      <c r="P516" s="1895">
        <f>P517+P518</f>
        <v>8178</v>
      </c>
      <c r="Q516" s="1895"/>
      <c r="R516" s="1895"/>
      <c r="S516" s="1895"/>
      <c r="T516" s="1895"/>
      <c r="U516" s="1895"/>
      <c r="V516" s="1895"/>
      <c r="W516" s="1895"/>
      <c r="X516" s="2662"/>
      <c r="Y516" s="2690">
        <v>6058</v>
      </c>
      <c r="Z516" s="2691"/>
      <c r="AA516" s="2691"/>
      <c r="AB516" s="2691"/>
      <c r="AC516" s="2691"/>
      <c r="AD516" s="2691"/>
      <c r="AE516" s="2691"/>
      <c r="AF516" s="2691"/>
      <c r="AG516" s="2691"/>
    </row>
    <row r="517" spans="4:33" ht="16.75" customHeight="1">
      <c r="D517" s="2692" t="s">
        <v>2808</v>
      </c>
      <c r="E517" s="2605">
        <f>'Notes- SK Template'!E515</f>
        <v>0</v>
      </c>
      <c r="F517" s="2605">
        <f>'Notes- SK Template'!F515</f>
        <v>0</v>
      </c>
      <c r="G517" s="2605">
        <f>'Notes- SK Template'!G515</f>
        <v>0</v>
      </c>
      <c r="H517" s="2605">
        <f>'Notes- SK Template'!H515</f>
        <v>0</v>
      </c>
      <c r="I517" s="2605">
        <f>'Notes- SK Template'!I515</f>
        <v>0</v>
      </c>
      <c r="J517" s="2605">
        <f>'Notes- SK Template'!J515</f>
        <v>0</v>
      </c>
      <c r="K517" s="2605">
        <f>'Notes- SK Template'!K515</f>
        <v>0</v>
      </c>
      <c r="L517" s="2605">
        <f>'Notes- SK Template'!L515</f>
        <v>0</v>
      </c>
      <c r="M517" s="2605">
        <f>'Notes- SK Template'!M515</f>
        <v>0</v>
      </c>
      <c r="N517" s="2605">
        <f>'Notes- SK Template'!N515</f>
        <v>0</v>
      </c>
      <c r="O517" s="2605">
        <f>'Notes- SK Template'!O515</f>
        <v>0</v>
      </c>
      <c r="P517" s="2640">
        <f>'Notes- SK Template'!P515</f>
        <v>3347</v>
      </c>
      <c r="Q517" s="2640">
        <f>'Notes- SK Template'!Q515</f>
        <v>0</v>
      </c>
      <c r="R517" s="2640">
        <f>'Notes- SK Template'!R515</f>
        <v>0</v>
      </c>
      <c r="S517" s="2640">
        <f>'Notes- SK Template'!S515</f>
        <v>0</v>
      </c>
      <c r="T517" s="2640">
        <f>'Notes- SK Template'!T515</f>
        <v>0</v>
      </c>
      <c r="U517" s="2640">
        <f>'Notes- SK Template'!U515</f>
        <v>0</v>
      </c>
      <c r="V517" s="2640">
        <f>'Notes- SK Template'!V515</f>
        <v>0</v>
      </c>
      <c r="W517" s="2640">
        <f>'Notes- SK Template'!W515</f>
        <v>0</v>
      </c>
      <c r="X517" s="2657">
        <f>'Notes- SK Template'!X515</f>
        <v>0</v>
      </c>
      <c r="Y517" s="2685">
        <v>3860</v>
      </c>
      <c r="Z517" s="2686"/>
      <c r="AA517" s="2686"/>
      <c r="AB517" s="2686"/>
      <c r="AC517" s="2686"/>
      <c r="AD517" s="2686"/>
      <c r="AE517" s="2686"/>
      <c r="AF517" s="2686"/>
      <c r="AG517" s="2686"/>
    </row>
    <row r="518" spans="4:33" ht="16.75" customHeight="1" thickBot="1">
      <c r="D518" s="2641"/>
      <c r="E518" s="2641"/>
      <c r="F518" s="2641"/>
      <c r="G518" s="2641"/>
      <c r="H518" s="2641"/>
      <c r="I518" s="2641"/>
      <c r="J518" s="2641"/>
      <c r="K518" s="2641"/>
      <c r="L518" s="2641"/>
      <c r="M518" s="2641"/>
      <c r="N518" s="2641"/>
      <c r="O518" s="2641"/>
      <c r="P518" s="2642">
        <f>'Notes- SK Template'!P516</f>
        <v>4831</v>
      </c>
      <c r="Q518" s="2642">
        <f>'Notes- SK Template'!Q516</f>
        <v>0</v>
      </c>
      <c r="R518" s="2642">
        <f>'Notes- SK Template'!R516</f>
        <v>0</v>
      </c>
      <c r="S518" s="2642">
        <f>'Notes- SK Template'!S516</f>
        <v>0</v>
      </c>
      <c r="T518" s="2642">
        <f>'Notes- SK Template'!T516</f>
        <v>0</v>
      </c>
      <c r="U518" s="2642">
        <f>'Notes- SK Template'!U516</f>
        <v>0</v>
      </c>
      <c r="V518" s="2642">
        <f>'Notes- SK Template'!V516</f>
        <v>0</v>
      </c>
      <c r="W518" s="2642">
        <f>'Notes- SK Template'!W516</f>
        <v>0</v>
      </c>
      <c r="X518" s="2643">
        <f>'Notes- SK Template'!X516</f>
        <v>0</v>
      </c>
      <c r="Y518" s="2705">
        <v>2198</v>
      </c>
      <c r="Z518" s="2706"/>
      <c r="AA518" s="2706"/>
      <c r="AB518" s="2706"/>
      <c r="AC518" s="2706"/>
      <c r="AD518" s="2706"/>
      <c r="AE518" s="2706"/>
      <c r="AF518" s="2706"/>
      <c r="AG518" s="2706"/>
    </row>
    <row r="519" spans="4:33" ht="16.75" customHeight="1" thickBot="1">
      <c r="D519" s="1995" t="s">
        <v>1866</v>
      </c>
      <c r="E519" s="1995"/>
      <c r="F519" s="1995"/>
      <c r="G519" s="1995"/>
      <c r="H519" s="1995"/>
      <c r="I519" s="1995"/>
      <c r="J519" s="1995"/>
      <c r="K519" s="1995"/>
      <c r="L519" s="1995"/>
      <c r="M519" s="1995"/>
      <c r="N519" s="1995"/>
      <c r="O519" s="1995"/>
      <c r="P519" s="1895">
        <v>0</v>
      </c>
      <c r="Q519" s="1895"/>
      <c r="R519" s="1895"/>
      <c r="S519" s="1895"/>
      <c r="T519" s="1895"/>
      <c r="U519" s="1895"/>
      <c r="V519" s="1895"/>
      <c r="W519" s="1895"/>
      <c r="X519" s="2662"/>
      <c r="Y519" s="2114">
        <v>0</v>
      </c>
      <c r="Z519" s="1895"/>
      <c r="AA519" s="1895"/>
      <c r="AB519" s="1895"/>
      <c r="AC519" s="1895"/>
      <c r="AD519" s="1895"/>
      <c r="AE519" s="1895"/>
      <c r="AF519" s="1895"/>
      <c r="AG519" s="1895"/>
    </row>
    <row r="520" spans="4:33" ht="16.75" customHeight="1">
      <c r="D520" s="2605"/>
      <c r="E520" s="2605"/>
      <c r="F520" s="2605"/>
      <c r="G520" s="2605"/>
      <c r="H520" s="2605"/>
      <c r="I520" s="2605"/>
      <c r="J520" s="2605"/>
      <c r="K520" s="2605"/>
      <c r="L520" s="2605"/>
      <c r="M520" s="2605"/>
      <c r="N520" s="2605"/>
      <c r="O520" s="2605"/>
      <c r="P520" s="2640"/>
      <c r="Q520" s="2640"/>
      <c r="R520" s="2640"/>
      <c r="S520" s="2640"/>
      <c r="T520" s="2640"/>
      <c r="U520" s="2640"/>
      <c r="V520" s="2640"/>
      <c r="W520" s="2640"/>
      <c r="X520" s="2657"/>
      <c r="Y520" s="2639"/>
      <c r="Z520" s="2640"/>
      <c r="AA520" s="2640"/>
      <c r="AB520" s="2640"/>
      <c r="AC520" s="2640"/>
      <c r="AD520" s="2640"/>
      <c r="AE520" s="2640"/>
      <c r="AF520" s="2640"/>
      <c r="AG520" s="2640"/>
    </row>
    <row r="521" spans="4:33" ht="16.75" customHeight="1" thickBot="1">
      <c r="D521" s="2641"/>
      <c r="E521" s="2641"/>
      <c r="F521" s="2641"/>
      <c r="G521" s="2641"/>
      <c r="H521" s="2641"/>
      <c r="I521" s="2641"/>
      <c r="J521" s="2641"/>
      <c r="K521" s="2641"/>
      <c r="L521" s="2641"/>
      <c r="M521" s="2641"/>
      <c r="N521" s="2641"/>
      <c r="O521" s="2641"/>
      <c r="P521" s="2642"/>
      <c r="Q521" s="2642"/>
      <c r="R521" s="2642"/>
      <c r="S521" s="2642"/>
      <c r="T521" s="2642"/>
      <c r="U521" s="2642"/>
      <c r="V521" s="2642"/>
      <c r="W521" s="2642"/>
      <c r="X521" s="2643"/>
      <c r="Y521" s="2644"/>
      <c r="Z521" s="2642"/>
      <c r="AA521" s="2642"/>
      <c r="AB521" s="2642"/>
      <c r="AC521" s="2642"/>
      <c r="AD521" s="2642"/>
      <c r="AE521" s="2642"/>
      <c r="AF521" s="2642"/>
      <c r="AG521" s="2642"/>
    </row>
    <row r="522" spans="4:33" ht="16.75" customHeight="1" thickBot="1">
      <c r="D522" s="1995" t="s">
        <v>1867</v>
      </c>
      <c r="E522" s="1995"/>
      <c r="F522" s="1995"/>
      <c r="G522" s="1995"/>
      <c r="H522" s="1995"/>
      <c r="I522" s="1995"/>
      <c r="J522" s="1995"/>
      <c r="K522" s="1995"/>
      <c r="L522" s="1995"/>
      <c r="M522" s="1995"/>
      <c r="N522" s="1995"/>
      <c r="O522" s="1995"/>
      <c r="P522" s="1895">
        <v>0</v>
      </c>
      <c r="Q522" s="1895"/>
      <c r="R522" s="1895"/>
      <c r="S522" s="1895"/>
      <c r="T522" s="1895"/>
      <c r="U522" s="1895"/>
      <c r="V522" s="1895"/>
      <c r="W522" s="1895"/>
      <c r="X522" s="2662"/>
      <c r="Y522" s="2114">
        <v>0</v>
      </c>
      <c r="Z522" s="1895"/>
      <c r="AA522" s="1895"/>
      <c r="AB522" s="1895"/>
      <c r="AC522" s="1895"/>
      <c r="AD522" s="1895"/>
      <c r="AE522" s="1895"/>
      <c r="AF522" s="1895"/>
      <c r="AG522" s="1895"/>
    </row>
    <row r="523" spans="4:33" ht="16.75" customHeight="1">
      <c r="D523" s="2605"/>
      <c r="E523" s="2605"/>
      <c r="F523" s="2605"/>
      <c r="G523" s="2605"/>
      <c r="H523" s="2605"/>
      <c r="I523" s="2605"/>
      <c r="J523" s="2605"/>
      <c r="K523" s="2605"/>
      <c r="L523" s="2605"/>
      <c r="M523" s="2605"/>
      <c r="N523" s="2605"/>
      <c r="O523" s="2605"/>
      <c r="P523" s="2640"/>
      <c r="Q523" s="2640"/>
      <c r="R523" s="2640"/>
      <c r="S523" s="2640"/>
      <c r="T523" s="2640"/>
      <c r="U523" s="2640"/>
      <c r="V523" s="2640"/>
      <c r="W523" s="2640"/>
      <c r="X523" s="2657"/>
      <c r="Y523" s="2639"/>
      <c r="Z523" s="2640"/>
      <c r="AA523" s="2640"/>
      <c r="AB523" s="2640"/>
      <c r="AC523" s="2640"/>
      <c r="AD523" s="2640"/>
      <c r="AE523" s="2640"/>
      <c r="AF523" s="2640"/>
      <c r="AG523" s="2640"/>
    </row>
    <row r="524" spans="4:33" ht="16.75" customHeight="1" thickBot="1">
      <c r="D524" s="2097"/>
      <c r="E524" s="2097"/>
      <c r="F524" s="2097"/>
      <c r="G524" s="2097"/>
      <c r="H524" s="2097"/>
      <c r="I524" s="2097"/>
      <c r="J524" s="2097"/>
      <c r="K524" s="2097"/>
      <c r="L524" s="2097"/>
      <c r="M524" s="2097"/>
      <c r="N524" s="2097"/>
      <c r="O524" s="2097"/>
      <c r="P524" s="2648"/>
      <c r="Q524" s="2648"/>
      <c r="R524" s="2648"/>
      <c r="S524" s="2648"/>
      <c r="T524" s="2648"/>
      <c r="U524" s="2648"/>
      <c r="V524" s="2648"/>
      <c r="W524" s="2648"/>
      <c r="X524" s="2649"/>
      <c r="Y524" s="2650"/>
      <c r="Z524" s="2648"/>
      <c r="AA524" s="2648"/>
      <c r="AB524" s="2648"/>
      <c r="AC524" s="2648"/>
      <c r="AD524" s="2648"/>
      <c r="AE524" s="2648"/>
      <c r="AF524" s="2648"/>
      <c r="AG524" s="2648"/>
    </row>
    <row r="526" spans="4:33" ht="14.25" customHeight="1">
      <c r="D526" s="582" t="s">
        <v>3032</v>
      </c>
    </row>
    <row r="528" spans="4:33" ht="14.25" customHeight="1">
      <c r="D528" s="2100" t="s">
        <v>2809</v>
      </c>
      <c r="E528" s="2101"/>
      <c r="F528" s="2101"/>
      <c r="G528" s="2101"/>
      <c r="H528" s="2101"/>
      <c r="I528" s="2101"/>
      <c r="J528" s="2101"/>
      <c r="K528" s="2101"/>
      <c r="L528" s="2101"/>
      <c r="M528" s="2101"/>
      <c r="N528" s="2101"/>
      <c r="O528" s="2101"/>
      <c r="P528" s="2101"/>
      <c r="Q528" s="2101"/>
      <c r="R528" s="2101"/>
      <c r="S528" s="2101"/>
      <c r="T528" s="2101"/>
      <c r="U528" s="2101"/>
      <c r="V528" s="2101"/>
      <c r="W528" s="2101"/>
      <c r="X528" s="2101"/>
      <c r="Y528" s="2101"/>
      <c r="Z528" s="2101"/>
      <c r="AA528" s="2101"/>
      <c r="AB528" s="2101"/>
      <c r="AC528" s="2101"/>
      <c r="AD528" s="2101"/>
      <c r="AE528" s="2101"/>
      <c r="AF528" s="2101"/>
      <c r="AG528" s="2101"/>
    </row>
    <row r="529" spans="1:33" ht="14.25" customHeight="1">
      <c r="D529" s="2101"/>
      <c r="E529" s="2101"/>
      <c r="F529" s="2101"/>
      <c r="G529" s="2101"/>
      <c r="H529" s="2101"/>
      <c r="I529" s="2101"/>
      <c r="J529" s="2101"/>
      <c r="K529" s="2101"/>
      <c r="L529" s="2101"/>
      <c r="M529" s="2101"/>
      <c r="N529" s="2101"/>
      <c r="O529" s="2101"/>
      <c r="P529" s="2101"/>
      <c r="Q529" s="2101"/>
      <c r="R529" s="2101"/>
      <c r="S529" s="2101"/>
      <c r="T529" s="2101"/>
      <c r="U529" s="2101"/>
      <c r="V529" s="2101"/>
      <c r="W529" s="2101"/>
      <c r="X529" s="2101"/>
      <c r="Y529" s="2101"/>
      <c r="Z529" s="2101"/>
      <c r="AA529" s="2101"/>
      <c r="AB529" s="2101"/>
      <c r="AC529" s="2101"/>
      <c r="AD529" s="2101"/>
      <c r="AE529" s="2101"/>
      <c r="AF529" s="2101"/>
      <c r="AG529" s="2101"/>
    </row>
    <row r="530" spans="1:33" ht="14.25" customHeight="1">
      <c r="D530" s="2133" t="s">
        <v>2898</v>
      </c>
      <c r="E530" s="2134"/>
      <c r="F530" s="2134"/>
      <c r="G530" s="2134"/>
      <c r="H530" s="2134"/>
      <c r="I530" s="2134"/>
      <c r="J530" s="2134"/>
      <c r="K530" s="2134"/>
      <c r="L530" s="2134"/>
      <c r="M530" s="2134"/>
      <c r="N530" s="2134"/>
      <c r="O530" s="2134"/>
      <c r="P530" s="2134"/>
      <c r="Q530" s="2134"/>
      <c r="R530" s="2134"/>
      <c r="S530" s="2134"/>
      <c r="T530" s="2134"/>
      <c r="U530" s="2134"/>
      <c r="V530" s="2134"/>
      <c r="W530" s="2134"/>
      <c r="X530" s="2134"/>
      <c r="Y530" s="2134"/>
      <c r="Z530" s="2134"/>
      <c r="AA530" s="2134"/>
      <c r="AB530" s="2134"/>
      <c r="AC530" s="2134"/>
      <c r="AD530" s="2134"/>
      <c r="AE530" s="2134"/>
      <c r="AF530" s="2134"/>
      <c r="AG530" s="2134"/>
    </row>
    <row r="531" spans="1:33" ht="14.25" customHeight="1" thickBot="1"/>
    <row r="532" spans="1:33" ht="15.75" customHeight="1" thickBot="1">
      <c r="A532" s="597" t="s">
        <v>1370</v>
      </c>
      <c r="D532" s="1921" t="s">
        <v>1739</v>
      </c>
      <c r="E532" s="1921"/>
      <c r="F532" s="1921"/>
      <c r="G532" s="1921"/>
      <c r="H532" s="1921"/>
      <c r="I532" s="1921"/>
      <c r="J532" s="1921"/>
      <c r="K532" s="1921"/>
      <c r="L532" s="1921"/>
      <c r="M532" s="1921"/>
      <c r="N532" s="1921"/>
      <c r="O532" s="1921"/>
      <c r="P532" s="1921"/>
      <c r="Q532" s="1921"/>
      <c r="R532" s="1921" t="s">
        <v>1798</v>
      </c>
      <c r="S532" s="1921"/>
      <c r="T532" s="1921"/>
      <c r="U532" s="1921"/>
      <c r="V532" s="1921"/>
      <c r="W532" s="1921"/>
      <c r="X532" s="1921"/>
      <c r="Y532" s="1921"/>
      <c r="Z532" s="1921"/>
      <c r="AA532" s="1921"/>
      <c r="AB532" s="1921"/>
      <c r="AC532" s="1921"/>
      <c r="AD532" s="1921"/>
      <c r="AE532" s="1921"/>
      <c r="AF532" s="1921"/>
      <c r="AG532" s="1921"/>
    </row>
    <row r="533" spans="1:33" ht="15.75" customHeight="1" thickBot="1">
      <c r="D533" s="2651" t="s">
        <v>1868</v>
      </c>
      <c r="E533" s="2652"/>
      <c r="F533" s="2652"/>
      <c r="G533" s="2652"/>
      <c r="H533" s="2652"/>
      <c r="I533" s="2652"/>
      <c r="J533" s="2652"/>
      <c r="K533" s="2652"/>
      <c r="L533" s="2652"/>
      <c r="M533" s="2652"/>
      <c r="N533" s="2652"/>
      <c r="O533" s="2652"/>
      <c r="P533" s="2652"/>
      <c r="Q533" s="2653"/>
      <c r="R533" s="2638">
        <f>'Notes- SK Template'!R532</f>
        <v>159575</v>
      </c>
      <c r="S533" s="2633">
        <f>'Notes- SK Template'!S532</f>
        <v>0</v>
      </c>
      <c r="T533" s="2633">
        <f>'Notes- SK Template'!T532</f>
        <v>0</v>
      </c>
      <c r="U533" s="2633">
        <f>'Notes- SK Template'!U532</f>
        <v>0</v>
      </c>
      <c r="V533" s="2633">
        <f>'Notes- SK Template'!V532</f>
        <v>0</v>
      </c>
      <c r="W533" s="2633">
        <f>'Notes- SK Template'!W532</f>
        <v>0</v>
      </c>
      <c r="X533" s="2633">
        <f>'Notes- SK Template'!X532</f>
        <v>0</v>
      </c>
      <c r="Y533" s="2633">
        <f>'Notes- SK Template'!Y532</f>
        <v>0</v>
      </c>
      <c r="Z533" s="2633">
        <f>'Notes- SK Template'!Z532</f>
        <v>0</v>
      </c>
      <c r="AA533" s="2633">
        <f>'Notes- SK Template'!AA532</f>
        <v>0</v>
      </c>
      <c r="AB533" s="2633">
        <f>'Notes- SK Template'!AB532</f>
        <v>0</v>
      </c>
      <c r="AC533" s="2633">
        <f>'Notes- SK Template'!AC532</f>
        <v>0</v>
      </c>
      <c r="AD533" s="2633">
        <f>'Notes- SK Template'!AD532</f>
        <v>0</v>
      </c>
      <c r="AE533" s="2633">
        <f>'Notes- SK Template'!AE532</f>
        <v>0</v>
      </c>
      <c r="AF533" s="2633">
        <f>'Notes- SK Template'!AF532</f>
        <v>0</v>
      </c>
      <c r="AG533" s="2709">
        <f>'Notes- SK Template'!AG532</f>
        <v>0</v>
      </c>
    </row>
    <row r="534" spans="1:33" ht="15.75" customHeight="1" thickBot="1">
      <c r="D534" s="2651" t="s">
        <v>1869</v>
      </c>
      <c r="E534" s="2652"/>
      <c r="F534" s="2652"/>
      <c r="G534" s="2652"/>
      <c r="H534" s="2652"/>
      <c r="I534" s="2652"/>
      <c r="J534" s="2652"/>
      <c r="K534" s="2652"/>
      <c r="L534" s="2652"/>
      <c r="M534" s="2652"/>
      <c r="N534" s="2652"/>
      <c r="O534" s="2652"/>
      <c r="P534" s="2652"/>
      <c r="Q534" s="2653"/>
      <c r="R534" s="1921" t="s">
        <v>1740</v>
      </c>
      <c r="S534" s="1921"/>
      <c r="T534" s="1921"/>
      <c r="U534" s="1921"/>
      <c r="V534" s="1921"/>
      <c r="W534" s="1921"/>
      <c r="X534" s="1921"/>
      <c r="Y534" s="1921"/>
      <c r="Z534" s="1921"/>
      <c r="AA534" s="1921"/>
      <c r="AB534" s="1921"/>
      <c r="AC534" s="1921"/>
      <c r="AD534" s="1921"/>
      <c r="AE534" s="1921"/>
      <c r="AF534" s="1921"/>
      <c r="AG534" s="1921"/>
    </row>
    <row r="535" spans="1:33" ht="15.75" customHeight="1">
      <c r="D535" s="2654" t="s">
        <v>1870</v>
      </c>
      <c r="E535" s="2655"/>
      <c r="F535" s="2655"/>
      <c r="G535" s="2655"/>
      <c r="H535" s="2655"/>
      <c r="I535" s="2655"/>
      <c r="J535" s="2655"/>
      <c r="K535" s="2655"/>
      <c r="L535" s="2655"/>
      <c r="M535" s="2655"/>
      <c r="N535" s="2655"/>
      <c r="O535" s="2655"/>
      <c r="P535" s="2655"/>
      <c r="Q535" s="2656"/>
      <c r="R535" s="2578">
        <f>'Notes- SK Template'!R534</f>
        <v>7979</v>
      </c>
      <c r="S535" s="2578">
        <f>'Notes- SK Template'!S534</f>
        <v>0</v>
      </c>
      <c r="T535" s="2578">
        <f>'Notes- SK Template'!T534</f>
        <v>0</v>
      </c>
      <c r="U535" s="2578">
        <f>'Notes- SK Template'!U534</f>
        <v>0</v>
      </c>
      <c r="V535" s="2578">
        <f>'Notes- SK Template'!V534</f>
        <v>0</v>
      </c>
      <c r="W535" s="2578">
        <f>'Notes- SK Template'!W534</f>
        <v>0</v>
      </c>
      <c r="X535" s="2578">
        <f>'Notes- SK Template'!X534</f>
        <v>0</v>
      </c>
      <c r="Y535" s="2578">
        <f>'Notes- SK Template'!Y534</f>
        <v>0</v>
      </c>
      <c r="Z535" s="2578">
        <f>'Notes- SK Template'!Z534</f>
        <v>0</v>
      </c>
      <c r="AA535" s="2578">
        <f>'Notes- SK Template'!AA534</f>
        <v>0</v>
      </c>
      <c r="AB535" s="2578">
        <f>'Notes- SK Template'!AB534</f>
        <v>0</v>
      </c>
      <c r="AC535" s="2578">
        <f>'Notes- SK Template'!AC534</f>
        <v>0</v>
      </c>
      <c r="AD535" s="2578">
        <f>'Notes- SK Template'!AD534</f>
        <v>0</v>
      </c>
      <c r="AE535" s="2578">
        <f>'Notes- SK Template'!AE534</f>
        <v>0</v>
      </c>
      <c r="AF535" s="2578">
        <f>'Notes- SK Template'!AF534</f>
        <v>0</v>
      </c>
      <c r="AG535" s="2578">
        <f>'Notes- SK Template'!AG534</f>
        <v>0</v>
      </c>
    </row>
    <row r="536" spans="1:33" ht="15.75" customHeight="1">
      <c r="D536" s="1971" t="s">
        <v>1871</v>
      </c>
      <c r="E536" s="1972"/>
      <c r="F536" s="1972"/>
      <c r="G536" s="1972"/>
      <c r="H536" s="1972"/>
      <c r="I536" s="1972"/>
      <c r="J536" s="1972"/>
      <c r="K536" s="1972"/>
      <c r="L536" s="1972"/>
      <c r="M536" s="1972"/>
      <c r="N536" s="1972"/>
      <c r="O536" s="1972"/>
      <c r="P536" s="1972"/>
      <c r="Q536" s="1973"/>
      <c r="R536" s="1967"/>
      <c r="S536" s="1967"/>
      <c r="T536" s="1967"/>
      <c r="U536" s="1967"/>
      <c r="V536" s="1967"/>
      <c r="W536" s="1967"/>
      <c r="X536" s="1967"/>
      <c r="Y536" s="1967"/>
      <c r="Z536" s="1967"/>
      <c r="AA536" s="1967"/>
      <c r="AB536" s="1967"/>
      <c r="AC536" s="1967"/>
      <c r="AD536" s="1967"/>
      <c r="AE536" s="1967"/>
      <c r="AF536" s="1967"/>
      <c r="AG536" s="1967"/>
    </row>
    <row r="537" spans="1:33" ht="15.75" customHeight="1">
      <c r="D537" s="1971" t="s">
        <v>1872</v>
      </c>
      <c r="E537" s="1972"/>
      <c r="F537" s="1972"/>
      <c r="G537" s="1972"/>
      <c r="H537" s="1972"/>
      <c r="I537" s="1972"/>
      <c r="J537" s="1972"/>
      <c r="K537" s="1972"/>
      <c r="L537" s="1972"/>
      <c r="M537" s="1972"/>
      <c r="N537" s="1972"/>
      <c r="O537" s="1972"/>
      <c r="P537" s="1972"/>
      <c r="Q537" s="1973"/>
      <c r="R537" s="1967"/>
      <c r="S537" s="1967"/>
      <c r="T537" s="1967"/>
      <c r="U537" s="1967"/>
      <c r="V537" s="1967"/>
      <c r="W537" s="1967"/>
      <c r="X537" s="1967"/>
      <c r="Y537" s="1967"/>
      <c r="Z537" s="1967"/>
      <c r="AA537" s="1967"/>
      <c r="AB537" s="1967"/>
      <c r="AC537" s="1967"/>
      <c r="AD537" s="1967"/>
      <c r="AE537" s="1967"/>
      <c r="AF537" s="1967"/>
      <c r="AG537" s="1967"/>
    </row>
    <row r="538" spans="1:33" ht="15.75" customHeight="1">
      <c r="D538" s="1971" t="s">
        <v>1873</v>
      </c>
      <c r="E538" s="1972"/>
      <c r="F538" s="1972"/>
      <c r="G538" s="1972"/>
      <c r="H538" s="1972"/>
      <c r="I538" s="1972"/>
      <c r="J538" s="1972"/>
      <c r="K538" s="1972"/>
      <c r="L538" s="1972"/>
      <c r="M538" s="1972"/>
      <c r="N538" s="1972"/>
      <c r="O538" s="1972"/>
      <c r="P538" s="1972"/>
      <c r="Q538" s="1973"/>
      <c r="R538" s="1967"/>
      <c r="S538" s="1967"/>
      <c r="T538" s="1967"/>
      <c r="U538" s="1967"/>
      <c r="V538" s="1967"/>
      <c r="W538" s="1967"/>
      <c r="X538" s="1967"/>
      <c r="Y538" s="1967"/>
      <c r="Z538" s="1967"/>
      <c r="AA538" s="1967"/>
      <c r="AB538" s="1967"/>
      <c r="AC538" s="1967"/>
      <c r="AD538" s="1967"/>
      <c r="AE538" s="1967"/>
      <c r="AF538" s="1967"/>
      <c r="AG538" s="1967"/>
    </row>
    <row r="539" spans="1:33" ht="15.75" customHeight="1">
      <c r="D539" s="1971" t="s">
        <v>1874</v>
      </c>
      <c r="E539" s="1972"/>
      <c r="F539" s="1972"/>
      <c r="G539" s="1972"/>
      <c r="H539" s="1972"/>
      <c r="I539" s="1972"/>
      <c r="J539" s="1972"/>
      <c r="K539" s="1972"/>
      <c r="L539" s="1972"/>
      <c r="M539" s="1972"/>
      <c r="N539" s="1972"/>
      <c r="O539" s="1972"/>
      <c r="P539" s="1972"/>
      <c r="Q539" s="1973"/>
      <c r="R539" s="1967"/>
      <c r="S539" s="1967"/>
      <c r="T539" s="1967"/>
      <c r="U539" s="1967"/>
      <c r="V539" s="1967"/>
      <c r="W539" s="1967"/>
      <c r="X539" s="1967"/>
      <c r="Y539" s="1967"/>
      <c r="Z539" s="1967"/>
      <c r="AA539" s="1967"/>
      <c r="AB539" s="1967"/>
      <c r="AC539" s="1967"/>
      <c r="AD539" s="1967"/>
      <c r="AE539" s="1967"/>
      <c r="AF539" s="1967"/>
      <c r="AG539" s="1967"/>
    </row>
    <row r="540" spans="1:33" ht="15.75" customHeight="1">
      <c r="D540" s="1971" t="s">
        <v>1875</v>
      </c>
      <c r="E540" s="1972"/>
      <c r="F540" s="1972"/>
      <c r="G540" s="1972"/>
      <c r="H540" s="1972"/>
      <c r="I540" s="1972"/>
      <c r="J540" s="1972"/>
      <c r="K540" s="1972"/>
      <c r="L540" s="1972"/>
      <c r="M540" s="1972"/>
      <c r="N540" s="1972"/>
      <c r="O540" s="1972"/>
      <c r="P540" s="1972"/>
      <c r="Q540" s="1973"/>
      <c r="R540" s="1967">
        <f>'Notes- SK Template'!R539</f>
        <v>151596</v>
      </c>
      <c r="S540" s="1967">
        <f>'Notes- SK Template'!S539</f>
        <v>0</v>
      </c>
      <c r="T540" s="1967">
        <f>'Notes- SK Template'!T539</f>
        <v>0</v>
      </c>
      <c r="U540" s="1967">
        <f>'Notes- SK Template'!U539</f>
        <v>0</v>
      </c>
      <c r="V540" s="1967">
        <f>'Notes- SK Template'!V539</f>
        <v>0</v>
      </c>
      <c r="W540" s="1967">
        <f>'Notes- SK Template'!W539</f>
        <v>0</v>
      </c>
      <c r="X540" s="1967">
        <f>'Notes- SK Template'!X539</f>
        <v>0</v>
      </c>
      <c r="Y540" s="1967">
        <f>'Notes- SK Template'!Y539</f>
        <v>0</v>
      </c>
      <c r="Z540" s="1967">
        <f>'Notes- SK Template'!Z539</f>
        <v>0</v>
      </c>
      <c r="AA540" s="1967">
        <f>'Notes- SK Template'!AA539</f>
        <v>0</v>
      </c>
      <c r="AB540" s="1967">
        <f>'Notes- SK Template'!AB539</f>
        <v>0</v>
      </c>
      <c r="AC540" s="1967">
        <f>'Notes- SK Template'!AC539</f>
        <v>0</v>
      </c>
      <c r="AD540" s="1967">
        <f>'Notes- SK Template'!AD539</f>
        <v>0</v>
      </c>
      <c r="AE540" s="1967">
        <f>'Notes- SK Template'!AE539</f>
        <v>0</v>
      </c>
      <c r="AF540" s="1967">
        <f>'Notes- SK Template'!AF539</f>
        <v>0</v>
      </c>
      <c r="AG540" s="1967">
        <f>'Notes- SK Template'!AG539</f>
        <v>0</v>
      </c>
    </row>
    <row r="541" spans="1:33" ht="15.75" customHeight="1">
      <c r="D541" s="1971" t="s">
        <v>1876</v>
      </c>
      <c r="E541" s="1972"/>
      <c r="F541" s="1972"/>
      <c r="G541" s="1972"/>
      <c r="H541" s="1972"/>
      <c r="I541" s="1972"/>
      <c r="J541" s="1972"/>
      <c r="K541" s="1972"/>
      <c r="L541" s="1972"/>
      <c r="M541" s="1972"/>
      <c r="N541" s="1972"/>
      <c r="O541" s="1972"/>
      <c r="P541" s="1972"/>
      <c r="Q541" s="1973"/>
      <c r="R541" s="1967">
        <f>'Notes- SK Template'!R540</f>
        <v>0</v>
      </c>
      <c r="S541" s="1967">
        <f>'Notes- SK Template'!S540</f>
        <v>0</v>
      </c>
      <c r="T541" s="1967">
        <f>'Notes- SK Template'!T540</f>
        <v>0</v>
      </c>
      <c r="U541" s="1967">
        <f>'Notes- SK Template'!U540</f>
        <v>0</v>
      </c>
      <c r="V541" s="1967">
        <f>'Notes- SK Template'!V540</f>
        <v>0</v>
      </c>
      <c r="W541" s="1967">
        <f>'Notes- SK Template'!W540</f>
        <v>0</v>
      </c>
      <c r="X541" s="1967">
        <f>'Notes- SK Template'!X540</f>
        <v>0</v>
      </c>
      <c r="Y541" s="1967">
        <f>'Notes- SK Template'!Y540</f>
        <v>0</v>
      </c>
      <c r="Z541" s="1967">
        <f>'Notes- SK Template'!Z540</f>
        <v>0</v>
      </c>
      <c r="AA541" s="1967">
        <f>'Notes- SK Template'!AA540</f>
        <v>0</v>
      </c>
      <c r="AB541" s="1967">
        <f>'Notes- SK Template'!AB540</f>
        <v>0</v>
      </c>
      <c r="AC541" s="1967">
        <f>'Notes- SK Template'!AC540</f>
        <v>0</v>
      </c>
      <c r="AD541" s="1967">
        <f>'Notes- SK Template'!AD540</f>
        <v>0</v>
      </c>
      <c r="AE541" s="1967">
        <f>'Notes- SK Template'!AE540</f>
        <v>0</v>
      </c>
      <c r="AF541" s="1967">
        <f>'Notes- SK Template'!AF540</f>
        <v>0</v>
      </c>
      <c r="AG541" s="1967">
        <f>'Notes- SK Template'!AG540</f>
        <v>0</v>
      </c>
    </row>
    <row r="542" spans="1:33" ht="15.75" customHeight="1">
      <c r="D542" s="1971" t="s">
        <v>1877</v>
      </c>
      <c r="E542" s="1972"/>
      <c r="F542" s="1972"/>
      <c r="G542" s="1972"/>
      <c r="H542" s="1972"/>
      <c r="I542" s="1972"/>
      <c r="J542" s="1972"/>
      <c r="K542" s="1972"/>
      <c r="L542" s="1972"/>
      <c r="M542" s="1972"/>
      <c r="N542" s="1972"/>
      <c r="O542" s="1972"/>
      <c r="P542" s="1972"/>
      <c r="Q542" s="1973"/>
      <c r="R542" s="1967"/>
      <c r="S542" s="1967"/>
      <c r="T542" s="1967"/>
      <c r="U542" s="1967"/>
      <c r="V542" s="1967"/>
      <c r="W542" s="1967"/>
      <c r="X542" s="1967"/>
      <c r="Y542" s="1967"/>
      <c r="Z542" s="1967"/>
      <c r="AA542" s="1967"/>
      <c r="AB542" s="1967"/>
      <c r="AC542" s="1967"/>
      <c r="AD542" s="1967"/>
      <c r="AE542" s="1967"/>
      <c r="AF542" s="1967"/>
      <c r="AG542" s="1967"/>
    </row>
    <row r="543" spans="1:33" ht="15.75" customHeight="1" thickBot="1">
      <c r="D543" s="2010" t="s">
        <v>1750</v>
      </c>
      <c r="E543" s="2011"/>
      <c r="F543" s="2011"/>
      <c r="G543" s="2011"/>
      <c r="H543" s="2011"/>
      <c r="I543" s="2011"/>
      <c r="J543" s="2011"/>
      <c r="K543" s="2011"/>
      <c r="L543" s="2011"/>
      <c r="M543" s="2011"/>
      <c r="N543" s="2011"/>
      <c r="O543" s="2011"/>
      <c r="P543" s="2011"/>
      <c r="Q543" s="2012"/>
      <c r="R543" s="2645">
        <f>'Notes- SK Template'!R542</f>
        <v>159575</v>
      </c>
      <c r="S543" s="2646">
        <f>'Notes- SK Template'!S542</f>
        <v>0</v>
      </c>
      <c r="T543" s="2646">
        <f>'Notes- SK Template'!T542</f>
        <v>0</v>
      </c>
      <c r="U543" s="2646">
        <f>'Notes- SK Template'!U542</f>
        <v>0</v>
      </c>
      <c r="V543" s="2646">
        <f>'Notes- SK Template'!V542</f>
        <v>0</v>
      </c>
      <c r="W543" s="2646">
        <f>'Notes- SK Template'!W542</f>
        <v>0</v>
      </c>
      <c r="X543" s="2646">
        <f>'Notes- SK Template'!X542</f>
        <v>0</v>
      </c>
      <c r="Y543" s="2646">
        <f>'Notes- SK Template'!Y542</f>
        <v>0</v>
      </c>
      <c r="Z543" s="2646">
        <f>'Notes- SK Template'!Z542</f>
        <v>0</v>
      </c>
      <c r="AA543" s="2646">
        <f>'Notes- SK Template'!AA542</f>
        <v>0</v>
      </c>
      <c r="AB543" s="2646">
        <f>'Notes- SK Template'!AB542</f>
        <v>0</v>
      </c>
      <c r="AC543" s="2646">
        <f>'Notes- SK Template'!AC542</f>
        <v>0</v>
      </c>
      <c r="AD543" s="2646">
        <f>'Notes- SK Template'!AD542</f>
        <v>0</v>
      </c>
      <c r="AE543" s="2646">
        <f>'Notes- SK Template'!AE542</f>
        <v>0</v>
      </c>
      <c r="AF543" s="2646">
        <f>'Notes- SK Template'!AF542</f>
        <v>0</v>
      </c>
      <c r="AG543" s="2647">
        <f>'Notes- SK Template'!AG542</f>
        <v>0</v>
      </c>
    </row>
    <row r="544" spans="1:33" ht="15.75" customHeight="1">
      <c r="C544" s="786"/>
      <c r="D544" s="1517"/>
      <c r="E544" s="1517"/>
      <c r="F544" s="1517"/>
      <c r="G544" s="1517"/>
      <c r="H544" s="1517"/>
      <c r="I544" s="1517"/>
      <c r="J544" s="1517"/>
      <c r="K544" s="1517"/>
      <c r="L544" s="1517"/>
      <c r="M544" s="1517"/>
      <c r="N544" s="1517"/>
      <c r="O544" s="1517"/>
      <c r="P544" s="1517"/>
      <c r="Q544" s="1517"/>
      <c r="R544" s="1518"/>
      <c r="S544" s="1518"/>
      <c r="T544" s="1518"/>
      <c r="U544" s="1518"/>
      <c r="V544" s="1518"/>
      <c r="W544" s="1518"/>
      <c r="X544" s="1518"/>
      <c r="Y544" s="1518"/>
      <c r="Z544" s="1518"/>
      <c r="AA544" s="1518"/>
      <c r="AB544" s="1518"/>
      <c r="AC544" s="1518"/>
      <c r="AD544" s="1518"/>
      <c r="AE544" s="1518"/>
      <c r="AF544" s="1518"/>
      <c r="AG544" s="1518"/>
    </row>
    <row r="545" spans="1:33" ht="15.75" customHeight="1">
      <c r="C545" s="786"/>
      <c r="D545" s="1519" t="s">
        <v>3020</v>
      </c>
      <c r="E545" s="1517"/>
      <c r="F545" s="1517"/>
      <c r="G545" s="1517"/>
      <c r="H545" s="1517"/>
      <c r="I545" s="1517"/>
      <c r="J545" s="1517"/>
      <c r="K545" s="1517"/>
      <c r="L545" s="1517"/>
      <c r="M545" s="1517"/>
      <c r="N545" s="1517"/>
      <c r="O545" s="1517"/>
      <c r="P545" s="1517"/>
      <c r="Q545" s="1517"/>
      <c r="R545" s="1518"/>
      <c r="S545" s="1518"/>
      <c r="T545" s="1518"/>
      <c r="U545" s="1518"/>
      <c r="V545" s="1518"/>
      <c r="W545" s="1518"/>
      <c r="X545" s="1518"/>
      <c r="Y545" s="1518"/>
      <c r="Z545" s="1518"/>
      <c r="AA545" s="1518"/>
      <c r="AB545" s="1518"/>
      <c r="AC545" s="1518"/>
      <c r="AD545" s="1518"/>
      <c r="AE545" s="1518"/>
      <c r="AF545" s="1518"/>
      <c r="AG545" s="1518"/>
    </row>
    <row r="546" spans="1:33" ht="15.75" customHeight="1">
      <c r="C546" s="786"/>
      <c r="D546" s="1519" t="s">
        <v>3022</v>
      </c>
      <c r="E546" s="1517"/>
      <c r="F546" s="1517"/>
      <c r="G546" s="1517"/>
      <c r="H546" s="1517"/>
      <c r="I546" s="1517"/>
      <c r="J546" s="1517"/>
      <c r="K546" s="1517"/>
      <c r="L546" s="1517"/>
      <c r="M546" s="1517"/>
      <c r="N546" s="1517"/>
      <c r="O546" s="1517"/>
      <c r="P546" s="1517"/>
      <c r="Q546" s="1517"/>
      <c r="R546" s="1518"/>
      <c r="S546" s="1518"/>
      <c r="T546" s="1518"/>
      <c r="U546" s="1518"/>
      <c r="V546" s="1518"/>
      <c r="W546" s="1518"/>
      <c r="X546" s="1518"/>
      <c r="Y546" s="1518"/>
      <c r="Z546" s="1518"/>
      <c r="AA546" s="1518"/>
      <c r="AB546" s="1518"/>
      <c r="AC546" s="1518"/>
      <c r="AD546" s="1518"/>
      <c r="AE546" s="1518"/>
      <c r="AF546" s="1518"/>
      <c r="AG546" s="1518"/>
    </row>
    <row r="547" spans="1:33" ht="15.75" customHeight="1">
      <c r="C547" s="786"/>
      <c r="D547" s="1519" t="s">
        <v>3021</v>
      </c>
      <c r="E547" s="1517"/>
      <c r="F547" s="1517"/>
      <c r="G547" s="1517"/>
      <c r="H547" s="1517"/>
      <c r="I547" s="1517"/>
      <c r="J547" s="1517"/>
      <c r="K547" s="1517"/>
      <c r="L547" s="1517"/>
      <c r="M547" s="1517"/>
      <c r="N547" s="1517"/>
      <c r="O547" s="1517"/>
      <c r="P547" s="1517"/>
      <c r="Q547" s="1517"/>
      <c r="R547" s="1518"/>
      <c r="S547" s="1518"/>
      <c r="T547" s="1518"/>
      <c r="U547" s="1518"/>
      <c r="V547" s="1518"/>
      <c r="W547" s="1518"/>
      <c r="X547" s="1518"/>
      <c r="Y547" s="1518"/>
      <c r="Z547" s="1518"/>
      <c r="AA547" s="1518"/>
      <c r="AB547" s="1518"/>
      <c r="AC547" s="1518"/>
      <c r="AD547" s="1518"/>
      <c r="AE547" s="1518"/>
      <c r="AF547" s="1518"/>
      <c r="AG547" s="1518"/>
    </row>
    <row r="548" spans="1:33" ht="14.25" customHeight="1">
      <c r="C548" s="786"/>
      <c r="D548" s="786"/>
      <c r="E548" s="786"/>
      <c r="F548" s="786"/>
      <c r="G548" s="786"/>
      <c r="H548" s="786"/>
      <c r="I548" s="786"/>
      <c r="J548" s="786"/>
      <c r="K548" s="786"/>
      <c r="L548" s="786"/>
      <c r="M548" s="786"/>
      <c r="N548" s="786"/>
      <c r="O548" s="786"/>
      <c r="P548" s="786"/>
      <c r="Q548" s="786"/>
      <c r="R548" s="786"/>
      <c r="S548" s="786"/>
      <c r="T548" s="786"/>
      <c r="U548" s="786"/>
      <c r="V548" s="786"/>
      <c r="W548" s="786"/>
      <c r="X548" s="786"/>
      <c r="Y548" s="786"/>
      <c r="Z548" s="786"/>
      <c r="AA548" s="786"/>
      <c r="AB548" s="786"/>
      <c r="AC548" s="786"/>
      <c r="AD548" s="786"/>
      <c r="AE548" s="786"/>
      <c r="AF548" s="786"/>
      <c r="AG548" s="786"/>
    </row>
    <row r="549" spans="1:33" ht="14.25" customHeight="1">
      <c r="C549" s="786"/>
      <c r="D549" s="1520" t="s">
        <v>2976</v>
      </c>
      <c r="E549" s="786"/>
      <c r="F549" s="786"/>
      <c r="G549" s="786"/>
      <c r="H549" s="786"/>
      <c r="I549" s="786"/>
      <c r="J549" s="786"/>
      <c r="K549" s="786"/>
      <c r="L549" s="786"/>
      <c r="M549" s="786"/>
      <c r="N549" s="786"/>
      <c r="O549" s="786"/>
      <c r="P549" s="786"/>
      <c r="Q549" s="786"/>
      <c r="R549" s="786"/>
      <c r="S549" s="786"/>
      <c r="T549" s="786"/>
      <c r="U549" s="786"/>
      <c r="V549" s="786"/>
      <c r="W549" s="786"/>
      <c r="X549" s="786"/>
      <c r="Y549" s="786"/>
      <c r="Z549" s="786"/>
      <c r="AA549" s="786"/>
      <c r="AB549" s="786"/>
      <c r="AC549" s="786"/>
      <c r="AD549" s="786"/>
      <c r="AE549" s="786"/>
      <c r="AF549" s="786"/>
      <c r="AG549" s="786"/>
    </row>
    <row r="551" spans="1:33" ht="14.25" customHeight="1">
      <c r="D551" s="2005" t="s">
        <v>1878</v>
      </c>
      <c r="E551" s="2006"/>
      <c r="F551" s="2006"/>
      <c r="G551" s="2006"/>
      <c r="H551" s="2006"/>
      <c r="I551" s="2006"/>
      <c r="J551" s="2006"/>
      <c r="K551" s="2006"/>
      <c r="L551" s="2006"/>
      <c r="M551" s="2006"/>
      <c r="N551" s="2006"/>
      <c r="O551" s="2006"/>
      <c r="P551" s="2006"/>
      <c r="Q551" s="2006"/>
      <c r="R551" s="2006"/>
      <c r="S551" s="2006"/>
      <c r="T551" s="2006"/>
      <c r="U551" s="2006"/>
      <c r="V551" s="2006"/>
      <c r="W551" s="2006"/>
      <c r="X551" s="2006"/>
      <c r="Y551" s="2006"/>
      <c r="Z551" s="2006"/>
      <c r="AA551" s="2006"/>
      <c r="AB551" s="2006"/>
      <c r="AC551" s="2006"/>
      <c r="AD551" s="2006"/>
      <c r="AE551" s="2006"/>
      <c r="AF551" s="2006"/>
      <c r="AG551" s="2006"/>
    </row>
    <row r="552" spans="1:33" ht="14.25" customHeight="1" thickBot="1"/>
    <row r="553" spans="1:33" ht="14.25" customHeight="1" thickBot="1">
      <c r="A553" s="597" t="s">
        <v>1372</v>
      </c>
      <c r="D553" s="2275" t="s">
        <v>1739</v>
      </c>
      <c r="E553" s="2276"/>
      <c r="F553" s="2276"/>
      <c r="G553" s="2276"/>
      <c r="H553" s="2277"/>
      <c r="I553" s="1887" t="s">
        <v>1740</v>
      </c>
      <c r="J553" s="1888"/>
      <c r="K553" s="1888"/>
      <c r="L553" s="1888"/>
      <c r="M553" s="1888"/>
      <c r="N553" s="1888"/>
      <c r="O553" s="1888"/>
      <c r="P553" s="1888"/>
      <c r="Q553" s="1888"/>
      <c r="R553" s="1888"/>
      <c r="S553" s="1888"/>
      <c r="T553" s="1888"/>
      <c r="U553" s="1888"/>
      <c r="V553" s="1888"/>
      <c r="W553" s="1888"/>
      <c r="X553" s="1888"/>
      <c r="Y553" s="1888"/>
      <c r="Z553" s="1888"/>
      <c r="AA553" s="1888"/>
      <c r="AB553" s="1888"/>
      <c r="AC553" s="1888"/>
      <c r="AD553" s="1888"/>
      <c r="AE553" s="1888"/>
      <c r="AF553" s="1888"/>
      <c r="AG553" s="1889"/>
    </row>
    <row r="554" spans="1:33" ht="31" customHeight="1" thickBot="1">
      <c r="D554" s="2278"/>
      <c r="E554" s="2279"/>
      <c r="F554" s="2279"/>
      <c r="G554" s="2279"/>
      <c r="H554" s="2280"/>
      <c r="I554" s="2042" t="s">
        <v>1790</v>
      </c>
      <c r="J554" s="2043"/>
      <c r="K554" s="2043"/>
      <c r="L554" s="2043"/>
      <c r="M554" s="2044"/>
      <c r="N554" s="2042" t="s">
        <v>1881</v>
      </c>
      <c r="O554" s="2043"/>
      <c r="P554" s="2043"/>
      <c r="Q554" s="2043"/>
      <c r="R554" s="2044"/>
      <c r="S554" s="2042" t="s">
        <v>1882</v>
      </c>
      <c r="T554" s="2043"/>
      <c r="U554" s="2043"/>
      <c r="V554" s="2043"/>
      <c r="W554" s="2044"/>
      <c r="X554" s="2042" t="s">
        <v>1883</v>
      </c>
      <c r="Y554" s="2043"/>
      <c r="Z554" s="2043"/>
      <c r="AA554" s="2043"/>
      <c r="AB554" s="2044"/>
      <c r="AC554" s="2042" t="s">
        <v>1794</v>
      </c>
      <c r="AD554" s="2043"/>
      <c r="AE554" s="2043"/>
      <c r="AF554" s="2043"/>
      <c r="AG554" s="2044"/>
    </row>
    <row r="555" spans="1:33" ht="35.25" customHeight="1" thickBot="1">
      <c r="D555" s="2066" t="s">
        <v>1879</v>
      </c>
      <c r="E555" s="2067"/>
      <c r="F555" s="2067"/>
      <c r="G555" s="2067"/>
      <c r="H555" s="2068"/>
      <c r="I555" s="2632">
        <f>'Notes- SK Template'!I553</f>
        <v>0</v>
      </c>
      <c r="J555" s="2633">
        <f>'Notes- SK Template'!J553</f>
        <v>0</v>
      </c>
      <c r="K555" s="2633">
        <f>'Notes- SK Template'!K553</f>
        <v>0</v>
      </c>
      <c r="L555" s="2633">
        <f>'Notes- SK Template'!L553</f>
        <v>0</v>
      </c>
      <c r="M555" s="2634">
        <f>'Notes- SK Template'!M553</f>
        <v>0</v>
      </c>
      <c r="N555" s="2632">
        <f>'Notes- SK Template'!N553</f>
        <v>0</v>
      </c>
      <c r="O555" s="2633">
        <f>'Notes- SK Template'!O553</f>
        <v>0</v>
      </c>
      <c r="P555" s="2633">
        <f>'Notes- SK Template'!P553</f>
        <v>0</v>
      </c>
      <c r="Q555" s="2633">
        <f>'Notes- SK Template'!Q553</f>
        <v>0</v>
      </c>
      <c r="R555" s="2634">
        <f>'Notes- SK Template'!R553</f>
        <v>0</v>
      </c>
      <c r="S555" s="2632">
        <f>'Notes- SK Template'!S553</f>
        <v>0</v>
      </c>
      <c r="T555" s="2633">
        <f>'Notes- SK Template'!T553</f>
        <v>0</v>
      </c>
      <c r="U555" s="2633">
        <f>'Notes- SK Template'!U553</f>
        <v>0</v>
      </c>
      <c r="V555" s="2633">
        <f>'Notes- SK Template'!V553</f>
        <v>0</v>
      </c>
      <c r="W555" s="2634">
        <f>'Notes- SK Template'!W553</f>
        <v>0</v>
      </c>
      <c r="X555" s="2632">
        <f>'Notes- SK Template'!X553</f>
        <v>0</v>
      </c>
      <c r="Y555" s="2633">
        <f>'Notes- SK Template'!Y553</f>
        <v>0</v>
      </c>
      <c r="Z555" s="2633">
        <f>'Notes- SK Template'!Z553</f>
        <v>0</v>
      </c>
      <c r="AA555" s="2633">
        <f>'Notes- SK Template'!AA553</f>
        <v>0</v>
      </c>
      <c r="AB555" s="2634">
        <f>'Notes- SK Template'!AB553</f>
        <v>0</v>
      </c>
      <c r="AC555" s="2635">
        <f>'Notes- SK Template'!AC553</f>
        <v>0</v>
      </c>
      <c r="AD555" s="2636">
        <f>'Notes- SK Template'!AD553</f>
        <v>0</v>
      </c>
      <c r="AE555" s="2636">
        <f>'Notes- SK Template'!AE553</f>
        <v>0</v>
      </c>
      <c r="AF555" s="2636">
        <f>'Notes- SK Template'!AF553</f>
        <v>0</v>
      </c>
      <c r="AG555" s="2637">
        <f>'Notes- SK Template'!AG553</f>
        <v>0</v>
      </c>
    </row>
    <row r="556" spans="1:33" ht="21.75" customHeight="1" thickBot="1">
      <c r="D556" s="1809"/>
      <c r="E556" s="1810"/>
      <c r="F556" s="1810"/>
      <c r="G556" s="1810"/>
      <c r="H556" s="1811"/>
      <c r="I556" s="1809"/>
      <c r="J556" s="1810"/>
      <c r="K556" s="1810"/>
      <c r="L556" s="1810"/>
      <c r="M556" s="1811"/>
      <c r="N556" s="1809"/>
      <c r="O556" s="1810"/>
      <c r="P556" s="1810"/>
      <c r="Q556" s="1810"/>
      <c r="R556" s="1811"/>
      <c r="S556" s="1809"/>
      <c r="T556" s="1810"/>
      <c r="U556" s="1810"/>
      <c r="V556" s="1810"/>
      <c r="W556" s="1811"/>
      <c r="X556" s="1809"/>
      <c r="Y556" s="1810"/>
      <c r="Z556" s="1810"/>
      <c r="AA556" s="1810"/>
      <c r="AB556" s="1811"/>
      <c r="AC556" s="2635">
        <f>'Notes- SK Template'!AC554</f>
        <v>0</v>
      </c>
      <c r="AD556" s="2636">
        <f>'Notes- SK Template'!AD554</f>
        <v>0</v>
      </c>
      <c r="AE556" s="2636">
        <f>'Notes- SK Template'!AE554</f>
        <v>0</v>
      </c>
      <c r="AF556" s="2636">
        <f>'Notes- SK Template'!AF554</f>
        <v>0</v>
      </c>
      <c r="AG556" s="2637">
        <f>'Notes- SK Template'!AG554</f>
        <v>0</v>
      </c>
    </row>
    <row r="557" spans="1:33" ht="33.75" customHeight="1" thickBot="1">
      <c r="D557" s="2066" t="s">
        <v>1880</v>
      </c>
      <c r="E557" s="2067"/>
      <c r="F557" s="2067"/>
      <c r="G557" s="2067"/>
      <c r="H557" s="2068"/>
      <c r="I557" s="2638">
        <f>'Notes- SK Template'!I555</f>
        <v>113122</v>
      </c>
      <c r="J557" s="2633">
        <f>'Notes- SK Template'!J555</f>
        <v>0</v>
      </c>
      <c r="K557" s="2633">
        <f>'Notes- SK Template'!K555</f>
        <v>0</v>
      </c>
      <c r="L557" s="2633">
        <f>'Notes- SK Template'!L555</f>
        <v>0</v>
      </c>
      <c r="M557" s="2634">
        <f>'Notes- SK Template'!M555</f>
        <v>0</v>
      </c>
      <c r="N557" s="2632">
        <f>'Notes- SK Template'!N555</f>
        <v>134706</v>
      </c>
      <c r="O557" s="2633">
        <f>'Notes- SK Template'!O555</f>
        <v>0</v>
      </c>
      <c r="P557" s="2633">
        <f>'Notes- SK Template'!P555</f>
        <v>0</v>
      </c>
      <c r="Q557" s="2633">
        <f>'Notes- SK Template'!Q555</f>
        <v>0</v>
      </c>
      <c r="R557" s="2634">
        <f>'Notes- SK Template'!R555</f>
        <v>0</v>
      </c>
      <c r="S557" s="2632">
        <f>'Notes- SK Template'!S555</f>
        <v>-113122</v>
      </c>
      <c r="T557" s="2633">
        <f>'Notes- SK Template'!T555</f>
        <v>0</v>
      </c>
      <c r="U557" s="2633">
        <f>'Notes- SK Template'!U555</f>
        <v>0</v>
      </c>
      <c r="V557" s="2633">
        <f>'Notes- SK Template'!V555</f>
        <v>0</v>
      </c>
      <c r="W557" s="2634">
        <f>'Notes- SK Template'!W555</f>
        <v>0</v>
      </c>
      <c r="X557" s="2632">
        <f>'Notes- SK Template'!X555</f>
        <v>0</v>
      </c>
      <c r="Y557" s="2633">
        <f>'Notes- SK Template'!Y555</f>
        <v>0</v>
      </c>
      <c r="Z557" s="2633">
        <f>'Notes- SK Template'!Z555</f>
        <v>0</v>
      </c>
      <c r="AA557" s="2633">
        <f>'Notes- SK Template'!AA555</f>
        <v>0</v>
      </c>
      <c r="AB557" s="2634">
        <f>'Notes- SK Template'!AB555</f>
        <v>0</v>
      </c>
      <c r="AC557" s="2635">
        <f>'Notes- SK Template'!AC555</f>
        <v>134706</v>
      </c>
      <c r="AD557" s="2636">
        <f>'Notes- SK Template'!AD555</f>
        <v>0</v>
      </c>
      <c r="AE557" s="2636">
        <f>'Notes- SK Template'!AE555</f>
        <v>0</v>
      </c>
      <c r="AF557" s="2636">
        <f>'Notes- SK Template'!AF555</f>
        <v>0</v>
      </c>
      <c r="AG557" s="2637">
        <f>'Notes- SK Template'!AG555</f>
        <v>0</v>
      </c>
    </row>
    <row r="558" spans="1:33" ht="32.5" customHeight="1">
      <c r="D558" s="2073" t="s">
        <v>2810</v>
      </c>
      <c r="E558" s="1810">
        <f>'Notes- SK Template'!E556</f>
        <v>0</v>
      </c>
      <c r="F558" s="1810">
        <f>'Notes- SK Template'!F556</f>
        <v>0</v>
      </c>
      <c r="G558" s="1810">
        <f>'Notes- SK Template'!G556</f>
        <v>0</v>
      </c>
      <c r="H558" s="1811">
        <f>'Notes- SK Template'!H556</f>
        <v>0</v>
      </c>
      <c r="I558" s="1839">
        <f>'Notes- SK Template'!I556</f>
        <v>42770</v>
      </c>
      <c r="J558" s="1840">
        <f>'Notes- SK Template'!J556</f>
        <v>0</v>
      </c>
      <c r="K558" s="1840">
        <f>'Notes- SK Template'!K556</f>
        <v>0</v>
      </c>
      <c r="L558" s="1840">
        <f>'Notes- SK Template'!L556</f>
        <v>0</v>
      </c>
      <c r="M558" s="1841">
        <f>'Notes- SK Template'!M556</f>
        <v>0</v>
      </c>
      <c r="N558" s="1842">
        <f>'Notes- SK Template'!N556</f>
        <v>43381</v>
      </c>
      <c r="O558" s="1840">
        <f>'Notes- SK Template'!O556</f>
        <v>0</v>
      </c>
      <c r="P558" s="1840">
        <f>'Notes- SK Template'!P556</f>
        <v>0</v>
      </c>
      <c r="Q558" s="1840">
        <f>'Notes- SK Template'!Q556</f>
        <v>0</v>
      </c>
      <c r="R558" s="1841">
        <f>'Notes- SK Template'!R556</f>
        <v>0</v>
      </c>
      <c r="S558" s="1842">
        <f>'Notes- SK Template'!S556</f>
        <v>-42770</v>
      </c>
      <c r="T558" s="1840">
        <f>'Notes- SK Template'!T556</f>
        <v>0</v>
      </c>
      <c r="U558" s="1840">
        <f>'Notes- SK Template'!U556</f>
        <v>0</v>
      </c>
      <c r="V558" s="1840">
        <f>'Notes- SK Template'!V556</f>
        <v>0</v>
      </c>
      <c r="W558" s="1841">
        <f>'Notes- SK Template'!W556</f>
        <v>0</v>
      </c>
      <c r="X558" s="1842">
        <f>'Notes- SK Template'!X556</f>
        <v>0</v>
      </c>
      <c r="Y558" s="1840">
        <f>'Notes- SK Template'!Y556</f>
        <v>0</v>
      </c>
      <c r="Z558" s="1840">
        <f>'Notes- SK Template'!Z556</f>
        <v>0</v>
      </c>
      <c r="AA558" s="1840">
        <f>'Notes- SK Template'!AA556</f>
        <v>0</v>
      </c>
      <c r="AB558" s="1841">
        <f>'Notes- SK Template'!AB556</f>
        <v>0</v>
      </c>
      <c r="AC558" s="2056">
        <f>'Notes- SK Template'!AC556</f>
        <v>43381</v>
      </c>
      <c r="AD558" s="1925">
        <f>'Notes- SK Template'!AD556</f>
        <v>0</v>
      </c>
      <c r="AE558" s="1925">
        <f>'Notes- SK Template'!AE556</f>
        <v>0</v>
      </c>
      <c r="AF558" s="1925">
        <f>'Notes- SK Template'!AF556</f>
        <v>0</v>
      </c>
      <c r="AG558" s="1926">
        <f>'Notes- SK Template'!AG556</f>
        <v>0</v>
      </c>
    </row>
    <row r="559" spans="1:33" ht="21.75" customHeight="1">
      <c r="D559" s="1908" t="s">
        <v>2811</v>
      </c>
      <c r="E559" s="1826">
        <f>'Notes- SK Template'!E557</f>
        <v>0</v>
      </c>
      <c r="F559" s="1826">
        <f>'Notes- SK Template'!F557</f>
        <v>0</v>
      </c>
      <c r="G559" s="1826">
        <f>'Notes- SK Template'!G557</f>
        <v>0</v>
      </c>
      <c r="H559" s="1827">
        <f>'Notes- SK Template'!H557</f>
        <v>0</v>
      </c>
      <c r="I559" s="1968">
        <f>'Notes- SK Template'!I557</f>
        <v>19700</v>
      </c>
      <c r="J559" s="1969">
        <f>'Notes- SK Template'!J557</f>
        <v>0</v>
      </c>
      <c r="K559" s="1969">
        <f>'Notes- SK Template'!K557</f>
        <v>0</v>
      </c>
      <c r="L559" s="1969">
        <f>'Notes- SK Template'!L557</f>
        <v>0</v>
      </c>
      <c r="M559" s="1820">
        <f>'Notes- SK Template'!M557</f>
        <v>0</v>
      </c>
      <c r="N559" s="1991">
        <f>'Notes- SK Template'!N557</f>
        <v>10881</v>
      </c>
      <c r="O559" s="1969">
        <f>'Notes- SK Template'!O557</f>
        <v>0</v>
      </c>
      <c r="P559" s="1969">
        <f>'Notes- SK Template'!P557</f>
        <v>0</v>
      </c>
      <c r="Q559" s="1969">
        <f>'Notes- SK Template'!Q557</f>
        <v>0</v>
      </c>
      <c r="R559" s="1820">
        <f>'Notes- SK Template'!R557</f>
        <v>0</v>
      </c>
      <c r="S559" s="1991">
        <f>'Notes- SK Template'!S557</f>
        <v>-19700</v>
      </c>
      <c r="T559" s="1969">
        <f>'Notes- SK Template'!T557</f>
        <v>0</v>
      </c>
      <c r="U559" s="1969">
        <f>'Notes- SK Template'!U557</f>
        <v>0</v>
      </c>
      <c r="V559" s="1969">
        <f>'Notes- SK Template'!V557</f>
        <v>0</v>
      </c>
      <c r="W559" s="1820">
        <f>'Notes- SK Template'!W557</f>
        <v>0</v>
      </c>
      <c r="X559" s="1991">
        <f>'Notes- SK Template'!X557</f>
        <v>0</v>
      </c>
      <c r="Y559" s="1969">
        <f>'Notes- SK Template'!Y557</f>
        <v>0</v>
      </c>
      <c r="Z559" s="1969">
        <f>'Notes- SK Template'!Z557</f>
        <v>0</v>
      </c>
      <c r="AA559" s="1969">
        <f>'Notes- SK Template'!AA557</f>
        <v>0</v>
      </c>
      <c r="AB559" s="1820">
        <f>'Notes- SK Template'!AB557</f>
        <v>0</v>
      </c>
      <c r="AC559" s="2631">
        <f>'Notes- SK Template'!AC557</f>
        <v>10881</v>
      </c>
      <c r="AD559" s="1975">
        <f>'Notes- SK Template'!AD557</f>
        <v>0</v>
      </c>
      <c r="AE559" s="1975">
        <f>'Notes- SK Template'!AE557</f>
        <v>0</v>
      </c>
      <c r="AF559" s="1975">
        <f>'Notes- SK Template'!AF557</f>
        <v>0</v>
      </c>
      <c r="AG559" s="1976">
        <f>'Notes- SK Template'!AG557</f>
        <v>0</v>
      </c>
    </row>
    <row r="560" spans="1:33" ht="21.75" customHeight="1">
      <c r="D560" s="1908" t="s">
        <v>2812</v>
      </c>
      <c r="E560" s="1826" t="e">
        <f>'Notes- SK Template'!#REF!</f>
        <v>#REF!</v>
      </c>
      <c r="F560" s="1826" t="e">
        <f>'Notes- SK Template'!#REF!</f>
        <v>#REF!</v>
      </c>
      <c r="G560" s="1826" t="e">
        <f>'Notes- SK Template'!#REF!</f>
        <v>#REF!</v>
      </c>
      <c r="H560" s="1827" t="e">
        <f>'Notes- SK Template'!#REF!</f>
        <v>#REF!</v>
      </c>
      <c r="I560" s="1968">
        <f>'Notes- SK Template'!I558</f>
        <v>50652</v>
      </c>
      <c r="J560" s="1969">
        <f>'Notes- SK Template'!J558</f>
        <v>0</v>
      </c>
      <c r="K560" s="1969">
        <f>'Notes- SK Template'!K558</f>
        <v>0</v>
      </c>
      <c r="L560" s="1969">
        <f>'Notes- SK Template'!L558</f>
        <v>0</v>
      </c>
      <c r="M560" s="1820">
        <f>'Notes- SK Template'!M558</f>
        <v>0</v>
      </c>
      <c r="N560" s="1991">
        <f>'Notes- SK Template'!N558</f>
        <v>80444</v>
      </c>
      <c r="O560" s="1969">
        <f>'Notes- SK Template'!O558</f>
        <v>0</v>
      </c>
      <c r="P560" s="1969">
        <f>'Notes- SK Template'!P558</f>
        <v>0</v>
      </c>
      <c r="Q560" s="1969">
        <f>'Notes- SK Template'!Q558</f>
        <v>0</v>
      </c>
      <c r="R560" s="1820">
        <f>'Notes- SK Template'!R558</f>
        <v>0</v>
      </c>
      <c r="S560" s="1991">
        <f>'Notes- SK Template'!S558</f>
        <v>-50652</v>
      </c>
      <c r="T560" s="1969">
        <f>'Notes- SK Template'!T558</f>
        <v>0</v>
      </c>
      <c r="U560" s="1969">
        <f>'Notes- SK Template'!U558</f>
        <v>0</v>
      </c>
      <c r="V560" s="1969">
        <f>'Notes- SK Template'!V558</f>
        <v>0</v>
      </c>
      <c r="W560" s="1820">
        <f>'Notes- SK Template'!W558</f>
        <v>0</v>
      </c>
      <c r="X560" s="2684">
        <f>'Notes- SK Template'!X558</f>
        <v>0</v>
      </c>
      <c r="Y560" s="2684">
        <f>'Notes- SK Template'!Y558</f>
        <v>0</v>
      </c>
      <c r="Z560" s="2684">
        <f>'Notes- SK Template'!Z558</f>
        <v>0</v>
      </c>
      <c r="AA560" s="2684">
        <f>'Notes- SK Template'!AA558</f>
        <v>0</v>
      </c>
      <c r="AB560" s="2684">
        <f>'Notes- SK Template'!AB558</f>
        <v>0</v>
      </c>
      <c r="AC560" s="2631">
        <f>'Notes- SK Template'!AC558</f>
        <v>80444</v>
      </c>
      <c r="AD560" s="1975">
        <f>'Notes- SK Template'!AD558</f>
        <v>0</v>
      </c>
      <c r="AE560" s="1975">
        <f>'Notes- SK Template'!AE558</f>
        <v>0</v>
      </c>
      <c r="AF560" s="1975">
        <f>'Notes- SK Template'!AF558</f>
        <v>0</v>
      </c>
      <c r="AG560" s="1976">
        <f>'Notes- SK Template'!AG558</f>
        <v>0</v>
      </c>
    </row>
    <row r="561" spans="1:33" ht="14.25" customHeight="1">
      <c r="D561" s="786"/>
      <c r="E561" s="786"/>
      <c r="F561" s="786"/>
      <c r="G561" s="786"/>
      <c r="H561" s="786"/>
      <c r="I561" s="786"/>
      <c r="J561" s="786"/>
      <c r="K561" s="786"/>
      <c r="L561" s="786"/>
      <c r="M561" s="786"/>
      <c r="N561" s="786"/>
      <c r="O561" s="786"/>
      <c r="P561" s="786"/>
      <c r="Q561" s="786"/>
      <c r="R561" s="786"/>
      <c r="S561" s="786"/>
      <c r="T561" s="786"/>
      <c r="U561" s="786"/>
      <c r="V561" s="786"/>
      <c r="W561" s="786"/>
      <c r="X561" s="786"/>
      <c r="Y561" s="786"/>
      <c r="Z561" s="786"/>
      <c r="AA561" s="786"/>
      <c r="AB561" s="786"/>
      <c r="AC561" s="786"/>
      <c r="AD561" s="786"/>
      <c r="AE561" s="786"/>
      <c r="AF561" s="786"/>
    </row>
    <row r="562" spans="1:33" ht="14.25" customHeight="1">
      <c r="D562" s="1521" t="s">
        <v>2840</v>
      </c>
      <c r="E562" s="786"/>
      <c r="F562" s="786"/>
      <c r="G562" s="786"/>
      <c r="H562" s="786"/>
      <c r="I562" s="786"/>
      <c r="J562" s="786"/>
      <c r="K562" s="786"/>
      <c r="L562" s="786"/>
      <c r="M562" s="786"/>
      <c r="N562" s="786"/>
      <c r="O562" s="786"/>
      <c r="P562" s="786"/>
      <c r="Q562" s="786"/>
      <c r="R562" s="786"/>
      <c r="S562" s="786"/>
      <c r="T562" s="786"/>
      <c r="U562" s="786"/>
      <c r="V562" s="786"/>
      <c r="W562" s="786"/>
      <c r="X562" s="786"/>
      <c r="Y562" s="786"/>
      <c r="Z562" s="786"/>
      <c r="AA562" s="786"/>
      <c r="AB562" s="786"/>
      <c r="AC562" s="786"/>
      <c r="AD562" s="786"/>
      <c r="AE562" s="786"/>
      <c r="AF562" s="786"/>
    </row>
    <row r="563" spans="1:33" ht="14.25" customHeight="1" thickBot="1">
      <c r="D563" s="786"/>
      <c r="E563" s="786"/>
      <c r="F563" s="786"/>
      <c r="G563" s="786"/>
      <c r="H563" s="786"/>
      <c r="I563" s="786"/>
      <c r="J563" s="786"/>
      <c r="K563" s="786"/>
      <c r="L563" s="786"/>
      <c r="M563" s="786"/>
      <c r="N563" s="786"/>
      <c r="O563" s="786"/>
      <c r="P563" s="786"/>
      <c r="Q563" s="786"/>
      <c r="R563" s="786"/>
      <c r="S563" s="786"/>
      <c r="T563" s="786"/>
      <c r="U563" s="786"/>
      <c r="V563" s="786"/>
      <c r="W563" s="786"/>
      <c r="X563" s="786"/>
      <c r="Y563" s="786"/>
      <c r="Z563" s="786"/>
      <c r="AA563" s="786"/>
      <c r="AB563" s="786"/>
      <c r="AC563" s="786"/>
      <c r="AD563" s="786"/>
      <c r="AE563" s="786"/>
      <c r="AF563" s="786"/>
    </row>
    <row r="564" spans="1:33" ht="14.25" customHeight="1" thickBot="1">
      <c r="A564" s="597" t="s">
        <v>1373</v>
      </c>
      <c r="D564" s="2275" t="s">
        <v>1739</v>
      </c>
      <c r="E564" s="2276"/>
      <c r="F564" s="2276"/>
      <c r="G564" s="2276"/>
      <c r="H564" s="2277"/>
      <c r="I564" s="1887" t="s">
        <v>1798</v>
      </c>
      <c r="J564" s="1888"/>
      <c r="K564" s="1888"/>
      <c r="L564" s="1888"/>
      <c r="M564" s="1888"/>
      <c r="N564" s="1888"/>
      <c r="O564" s="1888"/>
      <c r="P564" s="1888"/>
      <c r="Q564" s="1888"/>
      <c r="R564" s="1888"/>
      <c r="S564" s="1888"/>
      <c r="T564" s="1888"/>
      <c r="U564" s="1888"/>
      <c r="V564" s="1888"/>
      <c r="W564" s="1888"/>
      <c r="X564" s="1888"/>
      <c r="Y564" s="1888"/>
      <c r="Z564" s="1888"/>
      <c r="AA564" s="1888"/>
      <c r="AB564" s="1888"/>
      <c r="AC564" s="1888"/>
      <c r="AD564" s="1888"/>
      <c r="AE564" s="1888"/>
      <c r="AF564" s="1888"/>
      <c r="AG564" s="1889"/>
    </row>
    <row r="565" spans="1:33" ht="31" customHeight="1" thickBot="1">
      <c r="D565" s="2278"/>
      <c r="E565" s="2279"/>
      <c r="F565" s="2279"/>
      <c r="G565" s="2279"/>
      <c r="H565" s="2280"/>
      <c r="I565" s="2042" t="s">
        <v>1790</v>
      </c>
      <c r="J565" s="2043"/>
      <c r="K565" s="2043"/>
      <c r="L565" s="2043"/>
      <c r="M565" s="2044"/>
      <c r="N565" s="2042" t="s">
        <v>1881</v>
      </c>
      <c r="O565" s="2043"/>
      <c r="P565" s="2043"/>
      <c r="Q565" s="2043"/>
      <c r="R565" s="2044"/>
      <c r="S565" s="2042" t="s">
        <v>1882</v>
      </c>
      <c r="T565" s="2043"/>
      <c r="U565" s="2043"/>
      <c r="V565" s="2043"/>
      <c r="W565" s="2044"/>
      <c r="X565" s="2042" t="s">
        <v>1883</v>
      </c>
      <c r="Y565" s="2043"/>
      <c r="Z565" s="2043"/>
      <c r="AA565" s="2043"/>
      <c r="AB565" s="2044"/>
      <c r="AC565" s="2042" t="s">
        <v>1794</v>
      </c>
      <c r="AD565" s="2043"/>
      <c r="AE565" s="2043"/>
      <c r="AF565" s="2043"/>
      <c r="AG565" s="2044"/>
    </row>
    <row r="566" spans="1:33" ht="34.75" customHeight="1" thickBot="1">
      <c r="D566" s="2066" t="s">
        <v>1879</v>
      </c>
      <c r="E566" s="2067"/>
      <c r="F566" s="2067"/>
      <c r="G566" s="2067"/>
      <c r="H566" s="2068"/>
      <c r="I566" s="2638">
        <f>'Notes- SK Template'!I564</f>
        <v>0</v>
      </c>
      <c r="J566" s="2633">
        <f>'Notes- SK Template'!J564</f>
        <v>0</v>
      </c>
      <c r="K566" s="2633">
        <f>'Notes- SK Template'!K564</f>
        <v>0</v>
      </c>
      <c r="L566" s="2633">
        <f>'Notes- SK Template'!L564</f>
        <v>0</v>
      </c>
      <c r="M566" s="2634">
        <f>'Notes- SK Template'!M564</f>
        <v>0</v>
      </c>
      <c r="N566" s="2632">
        <f>'Notes- SK Template'!N564</f>
        <v>0</v>
      </c>
      <c r="O566" s="2633">
        <f>'Notes- SK Template'!O564</f>
        <v>0</v>
      </c>
      <c r="P566" s="2633">
        <f>'Notes- SK Template'!P564</f>
        <v>0</v>
      </c>
      <c r="Q566" s="2633">
        <f>'Notes- SK Template'!Q564</f>
        <v>0</v>
      </c>
      <c r="R566" s="2634">
        <f>'Notes- SK Template'!R564</f>
        <v>0</v>
      </c>
      <c r="S566" s="2632">
        <f>'Notes- SK Template'!S564</f>
        <v>0</v>
      </c>
      <c r="T566" s="2633">
        <f>'Notes- SK Template'!T564</f>
        <v>0</v>
      </c>
      <c r="U566" s="2633">
        <f>'Notes- SK Template'!U564</f>
        <v>0</v>
      </c>
      <c r="V566" s="2633">
        <f>'Notes- SK Template'!V564</f>
        <v>0</v>
      </c>
      <c r="W566" s="2634">
        <f>'Notes- SK Template'!W564</f>
        <v>0</v>
      </c>
      <c r="X566" s="2632">
        <f>'Notes- SK Template'!X564</f>
        <v>0</v>
      </c>
      <c r="Y566" s="2633">
        <f>'Notes- SK Template'!Y564</f>
        <v>0</v>
      </c>
      <c r="Z566" s="2633">
        <f>'Notes- SK Template'!Z564</f>
        <v>0</v>
      </c>
      <c r="AA566" s="2633">
        <f>'Notes- SK Template'!AA564</f>
        <v>0</v>
      </c>
      <c r="AB566" s="2634">
        <f>'Notes- SK Template'!AB564</f>
        <v>0</v>
      </c>
      <c r="AC566" s="2635">
        <f>'Notes- SK Template'!AC564</f>
        <v>0</v>
      </c>
      <c r="AD566" s="2636">
        <f>'Notes- SK Template'!AD564</f>
        <v>0</v>
      </c>
      <c r="AE566" s="2636">
        <f>'Notes- SK Template'!AE564</f>
        <v>0</v>
      </c>
      <c r="AF566" s="2636">
        <f>'Notes- SK Template'!AF564</f>
        <v>0</v>
      </c>
      <c r="AG566" s="2637">
        <f>'Notes- SK Template'!AG564</f>
        <v>0</v>
      </c>
    </row>
    <row r="567" spans="1:33" ht="21.75" customHeight="1" thickBot="1">
      <c r="D567" s="1809"/>
      <c r="E567" s="1810"/>
      <c r="F567" s="1810"/>
      <c r="G567" s="1810"/>
      <c r="H567" s="1811"/>
      <c r="I567" s="1839"/>
      <c r="J567" s="1840"/>
      <c r="K567" s="1840"/>
      <c r="L567" s="1840"/>
      <c r="M567" s="1841"/>
      <c r="N567" s="1842"/>
      <c r="O567" s="1840"/>
      <c r="P567" s="1840"/>
      <c r="Q567" s="1840"/>
      <c r="R567" s="1841"/>
      <c r="S567" s="1842"/>
      <c r="T567" s="1840"/>
      <c r="U567" s="1840"/>
      <c r="V567" s="1840"/>
      <c r="W567" s="1841"/>
      <c r="X567" s="1842"/>
      <c r="Y567" s="1840"/>
      <c r="Z567" s="1840"/>
      <c r="AA567" s="1840"/>
      <c r="AB567" s="1841"/>
      <c r="AC567" s="2056"/>
      <c r="AD567" s="1925"/>
      <c r="AE567" s="1925"/>
      <c r="AF567" s="1925"/>
      <c r="AG567" s="1926"/>
    </row>
    <row r="568" spans="1:33" ht="33.75" customHeight="1" thickBot="1">
      <c r="D568" s="2066" t="s">
        <v>1880</v>
      </c>
      <c r="E568" s="2067"/>
      <c r="F568" s="2067"/>
      <c r="G568" s="2067"/>
      <c r="H568" s="2068"/>
      <c r="I568" s="2638">
        <f>'Notes- SK Template'!I566</f>
        <v>102437</v>
      </c>
      <c r="J568" s="2633">
        <f>'Notes- SK Template'!J566</f>
        <v>0</v>
      </c>
      <c r="K568" s="2633">
        <f>'Notes- SK Template'!K566</f>
        <v>0</v>
      </c>
      <c r="L568" s="2633">
        <f>'Notes- SK Template'!L566</f>
        <v>0</v>
      </c>
      <c r="M568" s="2634">
        <f>'Notes- SK Template'!M566</f>
        <v>0</v>
      </c>
      <c r="N568" s="2632">
        <f>'Notes- SK Template'!N566</f>
        <v>113122</v>
      </c>
      <c r="O568" s="2633">
        <f>'Notes- SK Template'!O566</f>
        <v>0</v>
      </c>
      <c r="P568" s="2633">
        <f>'Notes- SK Template'!P566</f>
        <v>0</v>
      </c>
      <c r="Q568" s="2633">
        <f>'Notes- SK Template'!Q566</f>
        <v>0</v>
      </c>
      <c r="R568" s="2634">
        <f>'Notes- SK Template'!R566</f>
        <v>0</v>
      </c>
      <c r="S568" s="2632">
        <f>'Notes- SK Template'!S566</f>
        <v>-102437</v>
      </c>
      <c r="T568" s="2633">
        <f>'Notes- SK Template'!T566</f>
        <v>0</v>
      </c>
      <c r="U568" s="2633">
        <f>'Notes- SK Template'!U566</f>
        <v>0</v>
      </c>
      <c r="V568" s="2633">
        <f>'Notes- SK Template'!V566</f>
        <v>0</v>
      </c>
      <c r="W568" s="2634">
        <f>'Notes- SK Template'!W566</f>
        <v>0</v>
      </c>
      <c r="X568" s="2632">
        <f>'Notes- SK Template'!X566</f>
        <v>0</v>
      </c>
      <c r="Y568" s="2633">
        <f>'Notes- SK Template'!Y566</f>
        <v>0</v>
      </c>
      <c r="Z568" s="2633">
        <f>'Notes- SK Template'!Z566</f>
        <v>0</v>
      </c>
      <c r="AA568" s="2633">
        <f>'Notes- SK Template'!AA566</f>
        <v>0</v>
      </c>
      <c r="AB568" s="2634">
        <f>'Notes- SK Template'!AB566</f>
        <v>0</v>
      </c>
      <c r="AC568" s="2635">
        <f>'Notes- SK Template'!AC566</f>
        <v>113122</v>
      </c>
      <c r="AD568" s="2636">
        <f>'Notes- SK Template'!AD566</f>
        <v>0</v>
      </c>
      <c r="AE568" s="2636">
        <f>'Notes- SK Template'!AE566</f>
        <v>0</v>
      </c>
      <c r="AF568" s="2636">
        <f>'Notes- SK Template'!AF566</f>
        <v>0</v>
      </c>
      <c r="AG568" s="2637">
        <f>'Notes- SK Template'!AG566</f>
        <v>0</v>
      </c>
    </row>
    <row r="569" spans="1:33" ht="33.75" customHeight="1">
      <c r="D569" s="2073" t="s">
        <v>2810</v>
      </c>
      <c r="E569" s="1810">
        <f>'Notes- SK Template'!E567</f>
        <v>0</v>
      </c>
      <c r="F569" s="1810">
        <f>'Notes- SK Template'!F567</f>
        <v>0</v>
      </c>
      <c r="G569" s="1810">
        <f>'Notes- SK Template'!G567</f>
        <v>0</v>
      </c>
      <c r="H569" s="1811">
        <f>'Notes- SK Template'!H567</f>
        <v>0</v>
      </c>
      <c r="I569" s="1839">
        <f>'Notes- SK Template'!I567</f>
        <v>34294</v>
      </c>
      <c r="J569" s="1840">
        <f>'Notes- SK Template'!J567</f>
        <v>0</v>
      </c>
      <c r="K569" s="1840">
        <f>'Notes- SK Template'!K567</f>
        <v>0</v>
      </c>
      <c r="L569" s="1840">
        <f>'Notes- SK Template'!L567</f>
        <v>0</v>
      </c>
      <c r="M569" s="1841">
        <f>'Notes- SK Template'!M567</f>
        <v>0</v>
      </c>
      <c r="N569" s="1842">
        <f>'Notes- SK Template'!N567</f>
        <v>42770</v>
      </c>
      <c r="O569" s="1840">
        <f>'Notes- SK Template'!O567</f>
        <v>0</v>
      </c>
      <c r="P569" s="1840">
        <f>'Notes- SK Template'!P567</f>
        <v>0</v>
      </c>
      <c r="Q569" s="1840">
        <f>'Notes- SK Template'!Q567</f>
        <v>0</v>
      </c>
      <c r="R569" s="1841">
        <f>'Notes- SK Template'!R567</f>
        <v>0</v>
      </c>
      <c r="S569" s="1842">
        <f>'Notes- SK Template'!S567</f>
        <v>-34294</v>
      </c>
      <c r="T569" s="1840">
        <f>'Notes- SK Template'!T567</f>
        <v>0</v>
      </c>
      <c r="U569" s="1840">
        <f>'Notes- SK Template'!U567</f>
        <v>0</v>
      </c>
      <c r="V569" s="1840">
        <f>'Notes- SK Template'!V567</f>
        <v>0</v>
      </c>
      <c r="W569" s="1841">
        <f>'Notes- SK Template'!W567</f>
        <v>0</v>
      </c>
      <c r="X569" s="1842">
        <f>'Notes- SK Template'!X567</f>
        <v>0</v>
      </c>
      <c r="Y569" s="1840">
        <f>'Notes- SK Template'!Y567</f>
        <v>0</v>
      </c>
      <c r="Z569" s="1840">
        <f>'Notes- SK Template'!Z567</f>
        <v>0</v>
      </c>
      <c r="AA569" s="1840">
        <f>'Notes- SK Template'!AA567</f>
        <v>0</v>
      </c>
      <c r="AB569" s="1841">
        <f>'Notes- SK Template'!AB567</f>
        <v>0</v>
      </c>
      <c r="AC569" s="2056">
        <f>'Notes- SK Template'!AC567</f>
        <v>42770</v>
      </c>
      <c r="AD569" s="1925">
        <f>'Notes- SK Template'!AD567</f>
        <v>0</v>
      </c>
      <c r="AE569" s="1925">
        <f>'Notes- SK Template'!AE567</f>
        <v>0</v>
      </c>
      <c r="AF569" s="1925">
        <f>'Notes- SK Template'!AF567</f>
        <v>0</v>
      </c>
      <c r="AG569" s="1926">
        <f>'Notes- SK Template'!AG567</f>
        <v>0</v>
      </c>
    </row>
    <row r="570" spans="1:33" ht="39.75" customHeight="1">
      <c r="D570" s="1908" t="s">
        <v>2811</v>
      </c>
      <c r="E570" s="1826">
        <f>'Notes- SK Template'!E568</f>
        <v>0</v>
      </c>
      <c r="F570" s="1826">
        <f>'Notes- SK Template'!F568</f>
        <v>0</v>
      </c>
      <c r="G570" s="1826">
        <f>'Notes- SK Template'!G568</f>
        <v>0</v>
      </c>
      <c r="H570" s="1827">
        <f>'Notes- SK Template'!H568</f>
        <v>0</v>
      </c>
      <c r="I570" s="1968">
        <f>'Notes- SK Template'!I568</f>
        <v>9747</v>
      </c>
      <c r="J570" s="1969">
        <f>'Notes- SK Template'!J568</f>
        <v>0</v>
      </c>
      <c r="K570" s="1969">
        <f>'Notes- SK Template'!K568</f>
        <v>0</v>
      </c>
      <c r="L570" s="1969">
        <f>'Notes- SK Template'!L568</f>
        <v>0</v>
      </c>
      <c r="M570" s="1820">
        <f>'Notes- SK Template'!M568</f>
        <v>0</v>
      </c>
      <c r="N570" s="1991">
        <f>'Notes- SK Template'!N568</f>
        <v>19700</v>
      </c>
      <c r="O570" s="1969">
        <f>'Notes- SK Template'!O568</f>
        <v>0</v>
      </c>
      <c r="P570" s="1969">
        <f>'Notes- SK Template'!P568</f>
        <v>0</v>
      </c>
      <c r="Q570" s="1969">
        <f>'Notes- SK Template'!Q568</f>
        <v>0</v>
      </c>
      <c r="R570" s="1820">
        <f>'Notes- SK Template'!R568</f>
        <v>0</v>
      </c>
      <c r="S570" s="1991">
        <f>'Notes- SK Template'!S568</f>
        <v>-9747</v>
      </c>
      <c r="T570" s="1969">
        <f>'Notes- SK Template'!T568</f>
        <v>0</v>
      </c>
      <c r="U570" s="1969">
        <f>'Notes- SK Template'!U568</f>
        <v>0</v>
      </c>
      <c r="V570" s="1969">
        <f>'Notes- SK Template'!V568</f>
        <v>0</v>
      </c>
      <c r="W570" s="1820">
        <f>'Notes- SK Template'!W568</f>
        <v>0</v>
      </c>
      <c r="X570" s="1991">
        <f>'Notes- SK Template'!X568</f>
        <v>0</v>
      </c>
      <c r="Y570" s="1969">
        <f>'Notes- SK Template'!Y568</f>
        <v>0</v>
      </c>
      <c r="Z570" s="1969">
        <f>'Notes- SK Template'!Z568</f>
        <v>0</v>
      </c>
      <c r="AA570" s="1969">
        <f>'Notes- SK Template'!AA568</f>
        <v>0</v>
      </c>
      <c r="AB570" s="1820">
        <f>'Notes- SK Template'!AB568</f>
        <v>0</v>
      </c>
      <c r="AC570" s="2631">
        <f>'Notes- SK Template'!AC568</f>
        <v>19700</v>
      </c>
      <c r="AD570" s="1975">
        <f>'Notes- SK Template'!AD568</f>
        <v>0</v>
      </c>
      <c r="AE570" s="1975">
        <f>'Notes- SK Template'!AE568</f>
        <v>0</v>
      </c>
      <c r="AF570" s="1975">
        <f>'Notes- SK Template'!AF568</f>
        <v>0</v>
      </c>
      <c r="AG570" s="1976">
        <f>'Notes- SK Template'!AG568</f>
        <v>0</v>
      </c>
    </row>
    <row r="571" spans="1:33" ht="21.75" customHeight="1">
      <c r="D571" s="1908" t="s">
        <v>2812</v>
      </c>
      <c r="E571" s="1826" t="e">
        <f>'Notes- SK Template'!#REF!</f>
        <v>#REF!</v>
      </c>
      <c r="F571" s="1826" t="e">
        <f>'Notes- SK Template'!#REF!</f>
        <v>#REF!</v>
      </c>
      <c r="G571" s="1826" t="e">
        <f>'Notes- SK Template'!#REF!</f>
        <v>#REF!</v>
      </c>
      <c r="H571" s="1827" t="e">
        <f>'Notes- SK Template'!#REF!</f>
        <v>#REF!</v>
      </c>
      <c r="I571" s="1968">
        <f>'Notes- SK Template'!I569</f>
        <v>58396</v>
      </c>
      <c r="J571" s="1969">
        <f>'Notes- SK Template'!J569</f>
        <v>0</v>
      </c>
      <c r="K571" s="1969">
        <f>'Notes- SK Template'!K569</f>
        <v>0</v>
      </c>
      <c r="L571" s="1969">
        <f>'Notes- SK Template'!L569</f>
        <v>0</v>
      </c>
      <c r="M571" s="1820">
        <f>'Notes- SK Template'!M569</f>
        <v>0</v>
      </c>
      <c r="N571" s="1991">
        <f>'Notes- SK Template'!N569</f>
        <v>50652</v>
      </c>
      <c r="O571" s="1969">
        <f>'Notes- SK Template'!O569</f>
        <v>0</v>
      </c>
      <c r="P571" s="1969">
        <f>'Notes- SK Template'!P569</f>
        <v>0</v>
      </c>
      <c r="Q571" s="1969">
        <f>'Notes- SK Template'!Q569</f>
        <v>0</v>
      </c>
      <c r="R571" s="1820">
        <f>'Notes- SK Template'!R569</f>
        <v>0</v>
      </c>
      <c r="S571" s="1991">
        <f>'Notes- SK Template'!S569</f>
        <v>-58396</v>
      </c>
      <c r="T571" s="1969">
        <f>'Notes- SK Template'!T569</f>
        <v>0</v>
      </c>
      <c r="U571" s="1969">
        <f>'Notes- SK Template'!U569</f>
        <v>0</v>
      </c>
      <c r="V571" s="1969">
        <f>'Notes- SK Template'!V569</f>
        <v>0</v>
      </c>
      <c r="W571" s="1820">
        <f>'Notes- SK Template'!W569</f>
        <v>0</v>
      </c>
      <c r="X571" s="2684">
        <f>'Notes- SK Template'!X569</f>
        <v>0</v>
      </c>
      <c r="Y571" s="2684">
        <f>'Notes- SK Template'!Y569</f>
        <v>0</v>
      </c>
      <c r="Z571" s="2684">
        <f>'Notes- SK Template'!Z569</f>
        <v>0</v>
      </c>
      <c r="AA571" s="2684">
        <f>'Notes- SK Template'!AA569</f>
        <v>0</v>
      </c>
      <c r="AB571" s="2684">
        <f>'Notes- SK Template'!AB569</f>
        <v>0</v>
      </c>
      <c r="AC571" s="2631">
        <f>'Notes- SK Template'!AC569</f>
        <v>50652</v>
      </c>
      <c r="AD571" s="1975">
        <f>'Notes- SK Template'!AD569</f>
        <v>0</v>
      </c>
      <c r="AE571" s="1975">
        <f>'Notes- SK Template'!AE569</f>
        <v>0</v>
      </c>
      <c r="AF571" s="1975">
        <f>'Notes- SK Template'!AF569</f>
        <v>0</v>
      </c>
      <c r="AG571" s="1976">
        <f>'Notes- SK Template'!AG569</f>
        <v>0</v>
      </c>
    </row>
    <row r="573" spans="1:33" ht="14.25" customHeight="1">
      <c r="D573" s="582" t="s">
        <v>2977</v>
      </c>
    </row>
    <row r="575" spans="1:33" ht="14.25" customHeight="1">
      <c r="D575" s="2005" t="s">
        <v>1884</v>
      </c>
      <c r="E575" s="2006"/>
      <c r="F575" s="2006"/>
      <c r="G575" s="2006"/>
      <c r="H575" s="2006"/>
      <c r="I575" s="2006"/>
      <c r="J575" s="2006"/>
      <c r="K575" s="2006"/>
      <c r="L575" s="2006"/>
      <c r="M575" s="2006"/>
      <c r="N575" s="2006"/>
      <c r="O575" s="2006"/>
      <c r="P575" s="2006"/>
      <c r="Q575" s="2006"/>
      <c r="R575" s="2006"/>
      <c r="S575" s="2006"/>
      <c r="T575" s="2006"/>
      <c r="U575" s="2006"/>
      <c r="V575" s="2006"/>
      <c r="W575" s="2006"/>
      <c r="X575" s="2006"/>
      <c r="Y575" s="2006"/>
      <c r="Z575" s="2006"/>
      <c r="AA575" s="2006"/>
      <c r="AB575" s="2006"/>
      <c r="AC575" s="2006"/>
      <c r="AD575" s="2006"/>
      <c r="AE575" s="2006"/>
      <c r="AF575" s="2006"/>
      <c r="AG575" s="2006"/>
    </row>
    <row r="576" spans="1:33" ht="14.25" customHeight="1" thickBot="1"/>
    <row r="577" spans="1:33" ht="26.25" customHeight="1" thickBot="1">
      <c r="D577" s="2042" t="s">
        <v>1739</v>
      </c>
      <c r="E577" s="2043"/>
      <c r="F577" s="2043"/>
      <c r="G577" s="2043"/>
      <c r="H577" s="2043"/>
      <c r="I577" s="2043"/>
      <c r="J577" s="2043"/>
      <c r="K577" s="2043"/>
      <c r="L577" s="2043"/>
      <c r="M577" s="2044"/>
      <c r="N577" s="2042" t="s">
        <v>1740</v>
      </c>
      <c r="O577" s="2043"/>
      <c r="P577" s="2043"/>
      <c r="Q577" s="2043"/>
      <c r="R577" s="2043"/>
      <c r="S577" s="2043"/>
      <c r="T577" s="2043"/>
      <c r="U577" s="2043"/>
      <c r="V577" s="2043"/>
      <c r="W577" s="2044"/>
      <c r="X577" s="2042" t="s">
        <v>1858</v>
      </c>
      <c r="Y577" s="2043"/>
      <c r="Z577" s="2043"/>
      <c r="AA577" s="2043"/>
      <c r="AB577" s="2043"/>
      <c r="AC577" s="2043"/>
      <c r="AD577" s="2043"/>
      <c r="AE577" s="2043"/>
      <c r="AF577" s="2043"/>
      <c r="AG577" s="2044"/>
    </row>
    <row r="578" spans="1:33" ht="26.25" customHeight="1" thickBot="1">
      <c r="D578" s="2622" t="s">
        <v>1889</v>
      </c>
      <c r="E578" s="2623"/>
      <c r="F578" s="2623"/>
      <c r="G578" s="2623"/>
      <c r="H578" s="2623"/>
      <c r="I578" s="2623"/>
      <c r="J578" s="2623"/>
      <c r="K578" s="2623"/>
      <c r="L578" s="2623"/>
      <c r="M578" s="2624"/>
      <c r="N578" s="2014">
        <f>'Notes- SK Template'!N576</f>
        <v>226060</v>
      </c>
      <c r="O578" s="2014"/>
      <c r="P578" s="2014"/>
      <c r="Q578" s="2014"/>
      <c r="R578" s="2014"/>
      <c r="S578" s="2014"/>
      <c r="T578" s="2014"/>
      <c r="U578" s="2014"/>
      <c r="V578" s="2014"/>
      <c r="W578" s="2014"/>
      <c r="X578" s="2013">
        <f>'Notes- SK Template'!X576</f>
        <v>314230</v>
      </c>
      <c r="Y578" s="2014"/>
      <c r="Z578" s="2014"/>
      <c r="AA578" s="2014"/>
      <c r="AB578" s="2014"/>
      <c r="AC578" s="2014"/>
      <c r="AD578" s="2014"/>
      <c r="AE578" s="2014"/>
      <c r="AF578" s="2014"/>
      <c r="AG578" s="2014"/>
    </row>
    <row r="579" spans="1:33" ht="26.25" customHeight="1">
      <c r="D579" s="1908" t="s">
        <v>2899</v>
      </c>
      <c r="E579" s="1909"/>
      <c r="F579" s="1909"/>
      <c r="G579" s="1909"/>
      <c r="H579" s="1909"/>
      <c r="I579" s="1909"/>
      <c r="J579" s="1909"/>
      <c r="K579" s="1909"/>
      <c r="L579" s="1909"/>
      <c r="M579" s="1910"/>
      <c r="N579" s="1970">
        <f>'Notes- SK Template'!N577</f>
        <v>112</v>
      </c>
      <c r="O579" s="1967"/>
      <c r="P579" s="1967"/>
      <c r="Q579" s="1967"/>
      <c r="R579" s="1967"/>
      <c r="S579" s="1967"/>
      <c r="T579" s="1967"/>
      <c r="U579" s="1967"/>
      <c r="V579" s="1967"/>
      <c r="W579" s="1967"/>
      <c r="X579" s="1970">
        <f>'Notes- SK Template'!X577</f>
        <v>279</v>
      </c>
      <c r="Y579" s="1967"/>
      <c r="Z579" s="1967"/>
      <c r="AA579" s="1967"/>
      <c r="AB579" s="1967"/>
      <c r="AC579" s="1967"/>
      <c r="AD579" s="1967"/>
      <c r="AE579" s="1967"/>
      <c r="AF579" s="1967"/>
      <c r="AG579" s="1967"/>
    </row>
    <row r="580" spans="1:33" ht="26.25" customHeight="1">
      <c r="D580" s="1908" t="s">
        <v>2900</v>
      </c>
      <c r="E580" s="1909"/>
      <c r="F580" s="1909"/>
      <c r="G580" s="1909"/>
      <c r="H580" s="1909"/>
      <c r="I580" s="1909"/>
      <c r="J580" s="1909"/>
      <c r="K580" s="1909"/>
      <c r="L580" s="1909"/>
      <c r="M580" s="1910"/>
      <c r="N580" s="1970">
        <f>'Notes- SK Template'!N578</f>
        <v>8969</v>
      </c>
      <c r="O580" s="1967"/>
      <c r="P580" s="1967"/>
      <c r="Q580" s="1967"/>
      <c r="R580" s="1967"/>
      <c r="S580" s="1967"/>
      <c r="T580" s="1967"/>
      <c r="U580" s="1967"/>
      <c r="V580" s="1967"/>
      <c r="W580" s="1967"/>
      <c r="X580" s="1970">
        <f>'Notes- SK Template'!X578</f>
        <v>12927</v>
      </c>
      <c r="Y580" s="1967"/>
      <c r="Z580" s="1967"/>
      <c r="AA580" s="1967"/>
      <c r="AB580" s="1967"/>
      <c r="AC580" s="1967"/>
      <c r="AD580" s="1967"/>
      <c r="AE580" s="1967"/>
      <c r="AF580" s="1967"/>
      <c r="AG580" s="1967"/>
    </row>
    <row r="581" spans="1:33" ht="26.25" customHeight="1">
      <c r="D581" s="1908" t="s">
        <v>1900</v>
      </c>
      <c r="E581" s="1909"/>
      <c r="F581" s="1909"/>
      <c r="G581" s="1909"/>
      <c r="H581" s="1909"/>
      <c r="I581" s="1909"/>
      <c r="J581" s="1909"/>
      <c r="K581" s="1909"/>
      <c r="L581" s="1909"/>
      <c r="M581" s="1910"/>
      <c r="N581" s="1970">
        <f>'Notes- SK Template'!N579</f>
        <v>216979</v>
      </c>
      <c r="O581" s="1967"/>
      <c r="P581" s="1967"/>
      <c r="Q581" s="1967"/>
      <c r="R581" s="1967"/>
      <c r="S581" s="1967"/>
      <c r="T581" s="1967"/>
      <c r="U581" s="1967"/>
      <c r="V581" s="1967"/>
      <c r="W581" s="1967"/>
      <c r="X581" s="1970">
        <f>'Notes- SK Template'!X579</f>
        <v>301024</v>
      </c>
      <c r="Y581" s="1967"/>
      <c r="Z581" s="1967"/>
      <c r="AA581" s="1967"/>
      <c r="AB581" s="1967"/>
      <c r="AC581" s="1967"/>
      <c r="AD581" s="1967"/>
      <c r="AE581" s="1967"/>
      <c r="AF581" s="1967"/>
      <c r="AG581" s="1967"/>
    </row>
    <row r="582" spans="1:33" ht="26.25" customHeight="1" thickBot="1">
      <c r="D582" s="2000" t="s">
        <v>1886</v>
      </c>
      <c r="E582" s="2001"/>
      <c r="F582" s="2001"/>
      <c r="G582" s="2001"/>
      <c r="H582" s="2001"/>
      <c r="I582" s="2001"/>
      <c r="J582" s="2001"/>
      <c r="K582" s="2001"/>
      <c r="L582" s="2001"/>
      <c r="M582" s="2558"/>
      <c r="N582" s="2014">
        <f>'Notes- SK Template'!N580</f>
        <v>821475</v>
      </c>
      <c r="O582" s="2014"/>
      <c r="P582" s="2014"/>
      <c r="Q582" s="2014"/>
      <c r="R582" s="2014"/>
      <c r="S582" s="2014"/>
      <c r="T582" s="2014"/>
      <c r="U582" s="2014"/>
      <c r="V582" s="2014"/>
      <c r="W582" s="2014"/>
      <c r="X582" s="2013">
        <f>'Notes- SK Template'!X580</f>
        <v>1181891</v>
      </c>
      <c r="Y582" s="2014"/>
      <c r="Z582" s="2014"/>
      <c r="AA582" s="2014"/>
      <c r="AB582" s="2014"/>
      <c r="AC582" s="2014"/>
      <c r="AD582" s="2014"/>
      <c r="AE582" s="2014"/>
      <c r="AF582" s="2014"/>
      <c r="AG582" s="2014"/>
    </row>
    <row r="583" spans="1:33" ht="26.25" customHeight="1">
      <c r="D583" s="1908" t="s">
        <v>2901</v>
      </c>
      <c r="E583" s="1909"/>
      <c r="F583" s="1909"/>
      <c r="G583" s="1909"/>
      <c r="H583" s="1909"/>
      <c r="I583" s="1909"/>
      <c r="J583" s="1909"/>
      <c r="K583" s="1909"/>
      <c r="L583" s="1909"/>
      <c r="M583" s="1910"/>
      <c r="N583" s="1970">
        <f>'Notes- SK Template'!N581</f>
        <v>0</v>
      </c>
      <c r="O583" s="1967"/>
      <c r="P583" s="1967"/>
      <c r="Q583" s="1967"/>
      <c r="R583" s="1967"/>
      <c r="S583" s="1967"/>
      <c r="T583" s="1967"/>
      <c r="U583" s="1967"/>
      <c r="V583" s="1967"/>
      <c r="W583" s="1967"/>
      <c r="X583" s="1970">
        <f>'Notes- SK Template'!X581</f>
        <v>19992</v>
      </c>
      <c r="Y583" s="1967"/>
      <c r="Z583" s="1967"/>
      <c r="AA583" s="1967"/>
      <c r="AB583" s="1967"/>
      <c r="AC583" s="1967"/>
      <c r="AD583" s="1967"/>
      <c r="AE583" s="1967"/>
      <c r="AF583" s="1967"/>
      <c r="AG583" s="1967"/>
    </row>
    <row r="584" spans="1:33" ht="26.25" customHeight="1">
      <c r="D584" s="1908" t="s">
        <v>2902</v>
      </c>
      <c r="E584" s="1909"/>
      <c r="F584" s="1909"/>
      <c r="G584" s="1909"/>
      <c r="H584" s="1909"/>
      <c r="I584" s="1909"/>
      <c r="J584" s="1909"/>
      <c r="K584" s="1909"/>
      <c r="L584" s="1909"/>
      <c r="M584" s="1910"/>
      <c r="N584" s="1970">
        <f>'Notes- SK Template'!N582</f>
        <v>630565</v>
      </c>
      <c r="O584" s="1967"/>
      <c r="P584" s="1967"/>
      <c r="Q584" s="1967"/>
      <c r="R584" s="1967"/>
      <c r="S584" s="1967"/>
      <c r="T584" s="1967"/>
      <c r="U584" s="1967"/>
      <c r="V584" s="1967"/>
      <c r="W584" s="1967"/>
      <c r="X584" s="1970">
        <f>'Notes- SK Template'!X582</f>
        <v>1059744</v>
      </c>
      <c r="Y584" s="1967"/>
      <c r="Z584" s="1967"/>
      <c r="AA584" s="1967"/>
      <c r="AB584" s="1967"/>
      <c r="AC584" s="1967"/>
      <c r="AD584" s="1967"/>
      <c r="AE584" s="1967"/>
      <c r="AF584" s="1967"/>
      <c r="AG584" s="1967"/>
    </row>
    <row r="585" spans="1:33" ht="26.25" customHeight="1">
      <c r="D585" s="1908" t="s">
        <v>2903</v>
      </c>
      <c r="E585" s="1909"/>
      <c r="F585" s="1909"/>
      <c r="G585" s="1909"/>
      <c r="H585" s="1909"/>
      <c r="I585" s="1909"/>
      <c r="J585" s="1909"/>
      <c r="K585" s="1909"/>
      <c r="L585" s="1909"/>
      <c r="M585" s="1910"/>
      <c r="N585" s="1970">
        <f>'Notes- SK Template'!N583</f>
        <v>62434</v>
      </c>
      <c r="O585" s="1967"/>
      <c r="P585" s="1967"/>
      <c r="Q585" s="1967"/>
      <c r="R585" s="1967"/>
      <c r="S585" s="1967"/>
      <c r="T585" s="1967"/>
      <c r="U585" s="1967"/>
      <c r="V585" s="1967"/>
      <c r="W585" s="1967"/>
      <c r="X585" s="1970">
        <f>'Notes- SK Template'!X583</f>
        <v>47382</v>
      </c>
      <c r="Y585" s="1967"/>
      <c r="Z585" s="1967"/>
      <c r="AA585" s="1967"/>
      <c r="AB585" s="1967"/>
      <c r="AC585" s="1967"/>
      <c r="AD585" s="1967"/>
      <c r="AE585" s="1967"/>
      <c r="AF585" s="1967"/>
      <c r="AG585" s="1967"/>
    </row>
    <row r="586" spans="1:33" ht="26.25" customHeight="1">
      <c r="D586" s="1908" t="s">
        <v>2904</v>
      </c>
      <c r="E586" s="1909"/>
      <c r="F586" s="1909"/>
      <c r="G586" s="1909"/>
      <c r="H586" s="1909"/>
      <c r="I586" s="1909"/>
      <c r="J586" s="1909"/>
      <c r="K586" s="1909"/>
      <c r="L586" s="1909"/>
      <c r="M586" s="1910"/>
      <c r="N586" s="1970">
        <f>'Notes- SK Template'!N584</f>
        <v>39822</v>
      </c>
      <c r="O586" s="1967"/>
      <c r="P586" s="1967"/>
      <c r="Q586" s="1967"/>
      <c r="R586" s="1967"/>
      <c r="S586" s="1967"/>
      <c r="T586" s="1967"/>
      <c r="U586" s="1967"/>
      <c r="V586" s="1967"/>
      <c r="W586" s="1967"/>
      <c r="X586" s="1970">
        <f>'Notes- SK Template'!X584</f>
        <v>31104</v>
      </c>
      <c r="Y586" s="1967"/>
      <c r="Z586" s="1967"/>
      <c r="AA586" s="1967"/>
      <c r="AB586" s="1967"/>
      <c r="AC586" s="1967"/>
      <c r="AD586" s="1967"/>
      <c r="AE586" s="1967"/>
      <c r="AF586" s="1967"/>
      <c r="AG586" s="1967"/>
    </row>
    <row r="587" spans="1:33" ht="26.25" customHeight="1">
      <c r="D587" s="1908" t="s">
        <v>2905</v>
      </c>
      <c r="E587" s="1909"/>
      <c r="F587" s="1909"/>
      <c r="G587" s="1909"/>
      <c r="H587" s="1909"/>
      <c r="I587" s="1909"/>
      <c r="J587" s="1909"/>
      <c r="K587" s="1909"/>
      <c r="L587" s="1909"/>
      <c r="M587" s="1910"/>
      <c r="N587" s="1970">
        <f>'Notes- SK Template'!N585</f>
        <v>85270</v>
      </c>
      <c r="O587" s="1967"/>
      <c r="P587" s="1967"/>
      <c r="Q587" s="1967"/>
      <c r="R587" s="1967"/>
      <c r="S587" s="1967"/>
      <c r="T587" s="1967"/>
      <c r="U587" s="1967"/>
      <c r="V587" s="1967"/>
      <c r="W587" s="1967"/>
      <c r="X587" s="1970">
        <f>'Notes- SK Template'!X585</f>
        <v>8319</v>
      </c>
      <c r="Y587" s="1967"/>
      <c r="Z587" s="1967"/>
      <c r="AA587" s="1967"/>
      <c r="AB587" s="1967"/>
      <c r="AC587" s="1967"/>
      <c r="AD587" s="1967"/>
      <c r="AE587" s="1967"/>
      <c r="AF587" s="1967"/>
      <c r="AG587" s="1967"/>
    </row>
    <row r="588" spans="1:33" ht="26.25" customHeight="1" thickBot="1">
      <c r="D588" s="2053" t="s">
        <v>2906</v>
      </c>
      <c r="E588" s="2064"/>
      <c r="F588" s="2064"/>
      <c r="G588" s="2064"/>
      <c r="H588" s="2064"/>
      <c r="I588" s="2064"/>
      <c r="J588" s="2064"/>
      <c r="K588" s="2064"/>
      <c r="L588" s="2064"/>
      <c r="M588" s="2065"/>
      <c r="N588" s="2060">
        <f>'Notes- SK Template'!N586</f>
        <v>3384</v>
      </c>
      <c r="O588" s="2341"/>
      <c r="P588" s="2341"/>
      <c r="Q588" s="2341"/>
      <c r="R588" s="2341"/>
      <c r="S588" s="2341"/>
      <c r="T588" s="2341"/>
      <c r="U588" s="2341"/>
      <c r="V588" s="2341"/>
      <c r="W588" s="2341"/>
      <c r="X588" s="2060">
        <f>'Notes- SK Template'!X586</f>
        <v>15350</v>
      </c>
      <c r="Y588" s="2341"/>
      <c r="Z588" s="2341"/>
      <c r="AA588" s="2341"/>
      <c r="AB588" s="2341"/>
      <c r="AC588" s="2341"/>
      <c r="AD588" s="2341"/>
      <c r="AE588" s="2341"/>
      <c r="AF588" s="2341"/>
      <c r="AG588" s="2341"/>
    </row>
    <row r="589" spans="1:33" ht="19.5" customHeight="1" thickBot="1"/>
    <row r="590" spans="1:33" ht="28.5" customHeight="1" thickBot="1">
      <c r="A590" s="597">
        <v>26</v>
      </c>
      <c r="D590" s="2042" t="s">
        <v>1739</v>
      </c>
      <c r="E590" s="2043"/>
      <c r="F590" s="2043"/>
      <c r="G590" s="2043"/>
      <c r="H590" s="2043"/>
      <c r="I590" s="2043"/>
      <c r="J590" s="2043"/>
      <c r="K590" s="2043"/>
      <c r="L590" s="2043"/>
      <c r="M590" s="2044"/>
      <c r="N590" s="2042" t="s">
        <v>1740</v>
      </c>
      <c r="O590" s="2043"/>
      <c r="P590" s="2043"/>
      <c r="Q590" s="2043"/>
      <c r="R590" s="2043"/>
      <c r="S590" s="2043"/>
      <c r="T590" s="2043"/>
      <c r="U590" s="2043"/>
      <c r="V590" s="2043"/>
      <c r="W590" s="2044"/>
      <c r="X590" s="2042" t="s">
        <v>1858</v>
      </c>
      <c r="Y590" s="2043"/>
      <c r="Z590" s="2043"/>
      <c r="AA590" s="2043"/>
      <c r="AB590" s="2043"/>
      <c r="AC590" s="2043"/>
      <c r="AD590" s="2043"/>
      <c r="AE590" s="2043"/>
      <c r="AF590" s="2043"/>
      <c r="AG590" s="2044"/>
    </row>
    <row r="591" spans="1:33" ht="28.5" customHeight="1">
      <c r="D591" s="2622" t="s">
        <v>1889</v>
      </c>
      <c r="E591" s="2623"/>
      <c r="F591" s="2623"/>
      <c r="G591" s="2623"/>
      <c r="H591" s="2623"/>
      <c r="I591" s="2623"/>
      <c r="J591" s="2623"/>
      <c r="K591" s="2623"/>
      <c r="L591" s="2623"/>
      <c r="M591" s="2624"/>
      <c r="N591" s="2628">
        <f>'Notes- SK Template'!N589</f>
        <v>226060</v>
      </c>
      <c r="O591" s="2629">
        <f>'Notes- SK Template'!O589</f>
        <v>0</v>
      </c>
      <c r="P591" s="2629">
        <f>'Notes- SK Template'!P589</f>
        <v>0</v>
      </c>
      <c r="Q591" s="2629">
        <f>'Notes- SK Template'!Q589</f>
        <v>0</v>
      </c>
      <c r="R591" s="2629">
        <f>'Notes- SK Template'!R589</f>
        <v>0</v>
      </c>
      <c r="S591" s="2629">
        <f>'Notes- SK Template'!S589</f>
        <v>0</v>
      </c>
      <c r="T591" s="2629">
        <f>'Notes- SK Template'!T589</f>
        <v>0</v>
      </c>
      <c r="U591" s="2629">
        <f>'Notes- SK Template'!U589</f>
        <v>0</v>
      </c>
      <c r="V591" s="2629">
        <f>'Notes- SK Template'!V589</f>
        <v>0</v>
      </c>
      <c r="W591" s="2630">
        <f>'Notes- SK Template'!W589</f>
        <v>0</v>
      </c>
      <c r="X591" s="2628">
        <f>'Notes- SK Template'!X589</f>
        <v>314230</v>
      </c>
      <c r="Y591" s="2629">
        <f>'Notes- SK Template'!Y589</f>
        <v>0</v>
      </c>
      <c r="Z591" s="2629">
        <f>'Notes- SK Template'!Z589</f>
        <v>0</v>
      </c>
      <c r="AA591" s="2629">
        <f>'Notes- SK Template'!AA589</f>
        <v>0</v>
      </c>
      <c r="AB591" s="2629">
        <f>'Notes- SK Template'!AB589</f>
        <v>0</v>
      </c>
      <c r="AC591" s="2629">
        <f>'Notes- SK Template'!AC589</f>
        <v>0</v>
      </c>
      <c r="AD591" s="2629">
        <f>'Notes- SK Template'!AD589</f>
        <v>0</v>
      </c>
      <c r="AE591" s="2629">
        <f>'Notes- SK Template'!AE589</f>
        <v>0</v>
      </c>
      <c r="AF591" s="2629">
        <f>'Notes- SK Template'!AF589</f>
        <v>0</v>
      </c>
      <c r="AG591" s="2630">
        <f>'Notes- SK Template'!AG589</f>
        <v>0</v>
      </c>
    </row>
    <row r="592" spans="1:33" ht="28.5" customHeight="1">
      <c r="D592" s="2625" t="s">
        <v>1888</v>
      </c>
      <c r="E592" s="1998"/>
      <c r="F592" s="1998"/>
      <c r="G592" s="1998"/>
      <c r="H592" s="1998"/>
      <c r="I592" s="1998"/>
      <c r="J592" s="1998"/>
      <c r="K592" s="1998"/>
      <c r="L592" s="1998"/>
      <c r="M592" s="2626"/>
      <c r="N592" s="1804">
        <f>'Notes- SK Template'!N590</f>
        <v>0</v>
      </c>
      <c r="O592" s="1805">
        <f>'Notes- SK Template'!O590</f>
        <v>0</v>
      </c>
      <c r="P592" s="1805">
        <f>'Notes- SK Template'!P590</f>
        <v>0</v>
      </c>
      <c r="Q592" s="1805">
        <f>'Notes- SK Template'!Q590</f>
        <v>0</v>
      </c>
      <c r="R592" s="1805">
        <f>'Notes- SK Template'!R590</f>
        <v>0</v>
      </c>
      <c r="S592" s="1805">
        <f>'Notes- SK Template'!S590</f>
        <v>0</v>
      </c>
      <c r="T592" s="1805">
        <f>'Notes- SK Template'!T590</f>
        <v>0</v>
      </c>
      <c r="U592" s="1805">
        <f>'Notes- SK Template'!U590</f>
        <v>0</v>
      </c>
      <c r="V592" s="1805">
        <f>'Notes- SK Template'!V590</f>
        <v>0</v>
      </c>
      <c r="W592" s="1821">
        <f>'Notes- SK Template'!W590</f>
        <v>0</v>
      </c>
      <c r="X592" s="2140">
        <f>'Notes- SK Template'!X590</f>
        <v>0</v>
      </c>
      <c r="Y592" s="1816">
        <f>'Notes- SK Template'!Y590</f>
        <v>0</v>
      </c>
      <c r="Z592" s="1816">
        <f>'Notes- SK Template'!Z590</f>
        <v>0</v>
      </c>
      <c r="AA592" s="1816">
        <f>'Notes- SK Template'!AA590</f>
        <v>0</v>
      </c>
      <c r="AB592" s="1816">
        <f>'Notes- SK Template'!AB590</f>
        <v>0</v>
      </c>
      <c r="AC592" s="1816">
        <f>'Notes- SK Template'!AC590</f>
        <v>0</v>
      </c>
      <c r="AD592" s="1816">
        <f>'Notes- SK Template'!AD590</f>
        <v>0</v>
      </c>
      <c r="AE592" s="1816">
        <f>'Notes- SK Template'!AE590</f>
        <v>0</v>
      </c>
      <c r="AF592" s="1816">
        <f>'Notes- SK Template'!AF590</f>
        <v>0</v>
      </c>
      <c r="AG592" s="2627">
        <f>'Notes- SK Template'!AG590</f>
        <v>0</v>
      </c>
    </row>
    <row r="593" spans="4:33" ht="28.5" customHeight="1">
      <c r="D593" s="2625" t="s">
        <v>1887</v>
      </c>
      <c r="E593" s="1998"/>
      <c r="F593" s="1998"/>
      <c r="G593" s="1998"/>
      <c r="H593" s="1998"/>
      <c r="I593" s="1998"/>
      <c r="J593" s="1998"/>
      <c r="K593" s="1998"/>
      <c r="L593" s="1998"/>
      <c r="M593" s="2626"/>
      <c r="N593" s="1804">
        <f>'Notes- SK Template'!N591</f>
        <v>226060</v>
      </c>
      <c r="O593" s="1805">
        <f>'Notes- SK Template'!O591</f>
        <v>0</v>
      </c>
      <c r="P593" s="1805">
        <f>'Notes- SK Template'!P591</f>
        <v>0</v>
      </c>
      <c r="Q593" s="1805">
        <f>'Notes- SK Template'!Q591</f>
        <v>0</v>
      </c>
      <c r="R593" s="1805">
        <f>'Notes- SK Template'!R591</f>
        <v>0</v>
      </c>
      <c r="S593" s="1805">
        <f>'Notes- SK Template'!S591</f>
        <v>0</v>
      </c>
      <c r="T593" s="1805">
        <f>'Notes- SK Template'!T591</f>
        <v>0</v>
      </c>
      <c r="U593" s="1805">
        <f>'Notes- SK Template'!U591</f>
        <v>0</v>
      </c>
      <c r="V593" s="1805">
        <f>'Notes- SK Template'!V591</f>
        <v>0</v>
      </c>
      <c r="W593" s="1821">
        <f>'Notes- SK Template'!W591</f>
        <v>0</v>
      </c>
      <c r="X593" s="2140">
        <f>'Notes- SK Template'!X591</f>
        <v>314230</v>
      </c>
      <c r="Y593" s="1816">
        <f>'Notes- SK Template'!Y591</f>
        <v>0</v>
      </c>
      <c r="Z593" s="1816">
        <f>'Notes- SK Template'!Z591</f>
        <v>0</v>
      </c>
      <c r="AA593" s="1816">
        <f>'Notes- SK Template'!AA591</f>
        <v>0</v>
      </c>
      <c r="AB593" s="1816">
        <f>'Notes- SK Template'!AB591</f>
        <v>0</v>
      </c>
      <c r="AC593" s="1816">
        <f>'Notes- SK Template'!AC591</f>
        <v>0</v>
      </c>
      <c r="AD593" s="1816">
        <f>'Notes- SK Template'!AD591</f>
        <v>0</v>
      </c>
      <c r="AE593" s="1816">
        <f>'Notes- SK Template'!AE591</f>
        <v>0</v>
      </c>
      <c r="AF593" s="1816">
        <f>'Notes- SK Template'!AF591</f>
        <v>0</v>
      </c>
      <c r="AG593" s="2627">
        <f>'Notes- SK Template'!AG591</f>
        <v>0</v>
      </c>
    </row>
    <row r="594" spans="4:33" ht="28.5" customHeight="1">
      <c r="D594" s="2000" t="s">
        <v>1886</v>
      </c>
      <c r="E594" s="2001"/>
      <c r="F594" s="2001"/>
      <c r="G594" s="2001"/>
      <c r="H594" s="2001"/>
      <c r="I594" s="2001"/>
      <c r="J594" s="2001"/>
      <c r="K594" s="2001"/>
      <c r="L594" s="2001"/>
      <c r="M594" s="2558"/>
      <c r="N594" s="1984">
        <f>'Notes- SK Template'!N592</f>
        <v>821475</v>
      </c>
      <c r="O594" s="1828">
        <f>'Notes- SK Template'!O592</f>
        <v>0</v>
      </c>
      <c r="P594" s="1828">
        <f>'Notes- SK Template'!P592</f>
        <v>0</v>
      </c>
      <c r="Q594" s="1828">
        <f>'Notes- SK Template'!Q592</f>
        <v>0</v>
      </c>
      <c r="R594" s="1828">
        <f>'Notes- SK Template'!R592</f>
        <v>0</v>
      </c>
      <c r="S594" s="1828">
        <f>'Notes- SK Template'!S592</f>
        <v>0</v>
      </c>
      <c r="T594" s="1828">
        <f>'Notes- SK Template'!T592</f>
        <v>0</v>
      </c>
      <c r="U594" s="1828">
        <f>'Notes- SK Template'!U592</f>
        <v>0</v>
      </c>
      <c r="V594" s="1828">
        <f>'Notes- SK Template'!V592</f>
        <v>0</v>
      </c>
      <c r="W594" s="1985">
        <f>'Notes- SK Template'!W592</f>
        <v>0</v>
      </c>
      <c r="X594" s="1871">
        <f>'Notes- SK Template'!X592</f>
        <v>1181891</v>
      </c>
      <c r="Y594" s="1828">
        <f>'Notes- SK Template'!Y592</f>
        <v>0</v>
      </c>
      <c r="Z594" s="1828">
        <f>'Notes- SK Template'!Z592</f>
        <v>0</v>
      </c>
      <c r="AA594" s="1828">
        <f>'Notes- SK Template'!AA592</f>
        <v>0</v>
      </c>
      <c r="AB594" s="1828">
        <f>'Notes- SK Template'!AB592</f>
        <v>0</v>
      </c>
      <c r="AC594" s="1828">
        <f>'Notes- SK Template'!AC592</f>
        <v>0</v>
      </c>
      <c r="AD594" s="1828">
        <f>'Notes- SK Template'!AD592</f>
        <v>0</v>
      </c>
      <c r="AE594" s="1828">
        <f>'Notes- SK Template'!AE592</f>
        <v>0</v>
      </c>
      <c r="AF594" s="1828">
        <f>'Notes- SK Template'!AF592</f>
        <v>0</v>
      </c>
      <c r="AG594" s="1985">
        <f>'Notes- SK Template'!AG592</f>
        <v>0</v>
      </c>
    </row>
    <row r="595" spans="4:33" ht="28.5" customHeight="1">
      <c r="D595" s="2625" t="s">
        <v>1885</v>
      </c>
      <c r="E595" s="1998"/>
      <c r="F595" s="1998"/>
      <c r="G595" s="1998"/>
      <c r="H595" s="1998"/>
      <c r="I595" s="1998"/>
      <c r="J595" s="1998"/>
      <c r="K595" s="1998"/>
      <c r="L595" s="1998"/>
      <c r="M595" s="2626"/>
      <c r="N595" s="1804">
        <f>'Notes- SK Template'!N593</f>
        <v>743631</v>
      </c>
      <c r="O595" s="1805">
        <f>'Notes- SK Template'!O593</f>
        <v>0</v>
      </c>
      <c r="P595" s="1805">
        <f>'Notes- SK Template'!P593</f>
        <v>0</v>
      </c>
      <c r="Q595" s="1805">
        <f>'Notes- SK Template'!Q593</f>
        <v>0</v>
      </c>
      <c r="R595" s="1805">
        <f>'Notes- SK Template'!R593</f>
        <v>0</v>
      </c>
      <c r="S595" s="1805">
        <f>'Notes- SK Template'!S593</f>
        <v>0</v>
      </c>
      <c r="T595" s="1805">
        <f>'Notes- SK Template'!T593</f>
        <v>0</v>
      </c>
      <c r="U595" s="1805">
        <f>'Notes- SK Template'!U593</f>
        <v>0</v>
      </c>
      <c r="V595" s="1805">
        <f>'Notes- SK Template'!V593</f>
        <v>0</v>
      </c>
      <c r="W595" s="1821">
        <f>'Notes- SK Template'!W593</f>
        <v>0</v>
      </c>
      <c r="X595" s="1804">
        <f>'Notes- SK Template'!X593</f>
        <v>854320</v>
      </c>
      <c r="Y595" s="1805">
        <f>'Notes- SK Template'!Y593</f>
        <v>0</v>
      </c>
      <c r="Z595" s="1805">
        <f>'Notes- SK Template'!Z593</f>
        <v>0</v>
      </c>
      <c r="AA595" s="1805">
        <f>'Notes- SK Template'!AA593</f>
        <v>0</v>
      </c>
      <c r="AB595" s="1805">
        <f>'Notes- SK Template'!AB593</f>
        <v>0</v>
      </c>
      <c r="AC595" s="1805">
        <f>'Notes- SK Template'!AC593</f>
        <v>0</v>
      </c>
      <c r="AD595" s="1805">
        <f>'Notes- SK Template'!AD593</f>
        <v>0</v>
      </c>
      <c r="AE595" s="1805">
        <f>'Notes- SK Template'!AE593</f>
        <v>0</v>
      </c>
      <c r="AF595" s="1805">
        <f>'Notes- SK Template'!AF593</f>
        <v>0</v>
      </c>
      <c r="AG595" s="1821">
        <f>'Notes- SK Template'!AG593</f>
        <v>0</v>
      </c>
    </row>
    <row r="596" spans="4:33" ht="28.5" customHeight="1" thickBot="1">
      <c r="D596" s="2616" t="s">
        <v>2019</v>
      </c>
      <c r="E596" s="2617"/>
      <c r="F596" s="2617"/>
      <c r="G596" s="2617"/>
      <c r="H596" s="2617"/>
      <c r="I596" s="2617"/>
      <c r="J596" s="2617"/>
      <c r="K596" s="2617"/>
      <c r="L596" s="2617"/>
      <c r="M596" s="2618"/>
      <c r="N596" s="2619">
        <f>'Notes- SK Template'!N594</f>
        <v>77844</v>
      </c>
      <c r="O596" s="2620">
        <f>'Notes- SK Template'!O594</f>
        <v>0</v>
      </c>
      <c r="P596" s="2620">
        <f>'Notes- SK Template'!P594</f>
        <v>0</v>
      </c>
      <c r="Q596" s="2620">
        <f>'Notes- SK Template'!Q594</f>
        <v>0</v>
      </c>
      <c r="R596" s="2620">
        <f>'Notes- SK Template'!R594</f>
        <v>0</v>
      </c>
      <c r="S596" s="2620">
        <f>'Notes- SK Template'!S594</f>
        <v>0</v>
      </c>
      <c r="T596" s="2620">
        <f>'Notes- SK Template'!T594</f>
        <v>0</v>
      </c>
      <c r="U596" s="2620">
        <f>'Notes- SK Template'!U594</f>
        <v>0</v>
      </c>
      <c r="V596" s="2620">
        <f>'Notes- SK Template'!V594</f>
        <v>0</v>
      </c>
      <c r="W596" s="2621">
        <f>'Notes- SK Template'!W594</f>
        <v>0</v>
      </c>
      <c r="X596" s="2619">
        <f>'Notes- SK Template'!X594</f>
        <v>327571</v>
      </c>
      <c r="Y596" s="2620">
        <f>'Notes- SK Template'!Y594</f>
        <v>0</v>
      </c>
      <c r="Z596" s="2620">
        <f>'Notes- SK Template'!Z594</f>
        <v>0</v>
      </c>
      <c r="AA596" s="2620">
        <f>'Notes- SK Template'!AA594</f>
        <v>0</v>
      </c>
      <c r="AB596" s="2620">
        <f>'Notes- SK Template'!AB594</f>
        <v>0</v>
      </c>
      <c r="AC596" s="2620">
        <f>'Notes- SK Template'!AC594</f>
        <v>0</v>
      </c>
      <c r="AD596" s="2620">
        <f>'Notes- SK Template'!AD594</f>
        <v>0</v>
      </c>
      <c r="AE596" s="2620">
        <f>'Notes- SK Template'!AE594</f>
        <v>0</v>
      </c>
      <c r="AF596" s="2620">
        <f>'Notes- SK Template'!AF594</f>
        <v>0</v>
      </c>
      <c r="AG596" s="2621">
        <f>'Notes- SK Template'!AG594</f>
        <v>0</v>
      </c>
    </row>
    <row r="597" spans="4:33" ht="28.5" customHeight="1">
      <c r="D597" s="1522" t="s">
        <v>3034</v>
      </c>
      <c r="E597" s="786"/>
      <c r="F597" s="786"/>
      <c r="G597" s="786"/>
      <c r="H597" s="786"/>
      <c r="I597" s="786"/>
      <c r="J597" s="786"/>
      <c r="K597" s="786"/>
      <c r="L597" s="786"/>
      <c r="M597" s="786"/>
      <c r="N597" s="786"/>
      <c r="O597" s="786"/>
      <c r="P597" s="786"/>
      <c r="Q597" s="786"/>
      <c r="R597" s="786"/>
      <c r="S597" s="786"/>
      <c r="T597" s="786"/>
      <c r="U597" s="786"/>
      <c r="V597" s="786"/>
      <c r="W597" s="786"/>
      <c r="X597" s="786"/>
      <c r="Y597" s="786"/>
      <c r="Z597" s="786"/>
      <c r="AA597" s="786"/>
      <c r="AB597" s="786"/>
      <c r="AC597" s="786"/>
    </row>
    <row r="599" spans="4:33" ht="14.25" customHeight="1">
      <c r="D599" s="582" t="s">
        <v>2978</v>
      </c>
    </row>
    <row r="601" spans="4:33" ht="14.25" customHeight="1">
      <c r="D601" s="2005" t="s">
        <v>2907</v>
      </c>
      <c r="E601" s="2006"/>
      <c r="F601" s="2006"/>
      <c r="G601" s="2006"/>
      <c r="H601" s="2006"/>
      <c r="I601" s="2006"/>
      <c r="J601" s="2006"/>
      <c r="K601" s="2006"/>
      <c r="L601" s="2006"/>
      <c r="M601" s="2006"/>
      <c r="N601" s="2006"/>
      <c r="O601" s="2006"/>
      <c r="P601" s="2006"/>
      <c r="Q601" s="2006"/>
      <c r="R601" s="2006"/>
      <c r="S601" s="2006"/>
      <c r="T601" s="2006"/>
      <c r="U601" s="2006"/>
      <c r="V601" s="2006"/>
      <c r="W601" s="2006"/>
      <c r="X601" s="2006"/>
      <c r="Y601" s="2006"/>
      <c r="Z601" s="2006"/>
      <c r="AA601" s="2006"/>
      <c r="AB601" s="2006"/>
      <c r="AC601" s="2006"/>
      <c r="AD601" s="2006"/>
      <c r="AE601" s="2006"/>
      <c r="AF601" s="2006"/>
      <c r="AG601" s="2006"/>
    </row>
    <row r="602" spans="4:33" ht="14.25" customHeight="1" thickBot="1"/>
    <row r="603" spans="4:33" ht="24" customHeight="1" thickBot="1">
      <c r="D603" s="1851" t="s">
        <v>1739</v>
      </c>
      <c r="E603" s="1851"/>
      <c r="F603" s="1851"/>
      <c r="G603" s="1851"/>
      <c r="H603" s="1851"/>
      <c r="I603" s="1851"/>
      <c r="J603" s="1851"/>
      <c r="K603" s="1851"/>
      <c r="L603" s="1851"/>
      <c r="M603" s="1851"/>
      <c r="N603" s="1851" t="s">
        <v>1740</v>
      </c>
      <c r="O603" s="1851"/>
      <c r="P603" s="1851"/>
      <c r="Q603" s="1851"/>
      <c r="R603" s="1851"/>
      <c r="S603" s="1851"/>
      <c r="T603" s="1851"/>
      <c r="U603" s="1851"/>
      <c r="V603" s="1851"/>
      <c r="W603" s="1851"/>
      <c r="X603" s="1851" t="s">
        <v>1858</v>
      </c>
      <c r="Y603" s="1851"/>
      <c r="Z603" s="1851"/>
      <c r="AA603" s="1851"/>
      <c r="AB603" s="1851"/>
      <c r="AC603" s="1851"/>
      <c r="AD603" s="1851"/>
      <c r="AE603" s="1851"/>
      <c r="AF603" s="1851"/>
      <c r="AG603" s="1851"/>
    </row>
    <row r="604" spans="4:33" ht="19.5" customHeight="1">
      <c r="D604" s="1922" t="s">
        <v>1890</v>
      </c>
      <c r="E604" s="1922"/>
      <c r="F604" s="1922"/>
      <c r="G604" s="1922"/>
      <c r="H604" s="1922"/>
      <c r="I604" s="1922"/>
      <c r="J604" s="1922"/>
      <c r="K604" s="1922"/>
      <c r="L604" s="1922"/>
      <c r="M604" s="1922"/>
      <c r="N604" s="2615">
        <f>'Notes- SK Template'!N603</f>
        <v>-1124568</v>
      </c>
      <c r="O604" s="2615">
        <f>'Notes- SK Template'!O603</f>
        <v>0</v>
      </c>
      <c r="P604" s="2615">
        <f>'Notes- SK Template'!P603</f>
        <v>0</v>
      </c>
      <c r="Q604" s="2615">
        <f>'Notes- SK Template'!Q603</f>
        <v>0</v>
      </c>
      <c r="R604" s="2615">
        <f>'Notes- SK Template'!R603</f>
        <v>0</v>
      </c>
      <c r="S604" s="2615">
        <f>'Notes- SK Template'!S603</f>
        <v>0</v>
      </c>
      <c r="T604" s="2615">
        <f>'Notes- SK Template'!T603</f>
        <v>0</v>
      </c>
      <c r="U604" s="2615">
        <f>'Notes- SK Template'!U603</f>
        <v>0</v>
      </c>
      <c r="V604" s="2615">
        <f>'Notes- SK Template'!V603</f>
        <v>0</v>
      </c>
      <c r="W604" s="2615">
        <f>'Notes- SK Template'!W603</f>
        <v>0</v>
      </c>
      <c r="X604" s="2615">
        <f>'Notes- SK Template'!X603</f>
        <v>-1504512</v>
      </c>
      <c r="Y604" s="2615">
        <f>'Notes- SK Template'!Y603</f>
        <v>0</v>
      </c>
      <c r="Z604" s="2615">
        <f>'Notes- SK Template'!Z603</f>
        <v>0</v>
      </c>
      <c r="AA604" s="2615">
        <f>'Notes- SK Template'!AA603</f>
        <v>0</v>
      </c>
      <c r="AB604" s="2615">
        <f>'Notes- SK Template'!AB603</f>
        <v>0</v>
      </c>
      <c r="AC604" s="2615">
        <f>'Notes- SK Template'!AC603</f>
        <v>0</v>
      </c>
      <c r="AD604" s="2615">
        <f>'Notes- SK Template'!AD603</f>
        <v>0</v>
      </c>
      <c r="AE604" s="2615">
        <f>'Notes- SK Template'!AE603</f>
        <v>0</v>
      </c>
      <c r="AF604" s="2615">
        <f>'Notes- SK Template'!AF603</f>
        <v>0</v>
      </c>
      <c r="AG604" s="2615">
        <f>'Notes- SK Template'!AG603</f>
        <v>0</v>
      </c>
    </row>
    <row r="605" spans="4:33" ht="14.25" customHeight="1">
      <c r="D605" s="1822" t="s">
        <v>1891</v>
      </c>
      <c r="E605" s="1822"/>
      <c r="F605" s="1822"/>
      <c r="G605" s="1822"/>
      <c r="H605" s="1822"/>
      <c r="I605" s="1822"/>
      <c r="J605" s="1822"/>
      <c r="K605" s="1822"/>
      <c r="L605" s="1822"/>
      <c r="M605" s="1822"/>
      <c r="N605" s="1967">
        <f>'Notes- SK Template'!N604</f>
        <v>60076</v>
      </c>
      <c r="O605" s="1967">
        <f>'Notes- SK Template'!O604</f>
        <v>0</v>
      </c>
      <c r="P605" s="1967">
        <f>'Notes- SK Template'!P604</f>
        <v>0</v>
      </c>
      <c r="Q605" s="1967">
        <f>'Notes- SK Template'!Q604</f>
        <v>0</v>
      </c>
      <c r="R605" s="1967">
        <f>'Notes- SK Template'!R604</f>
        <v>0</v>
      </c>
      <c r="S605" s="1967">
        <f>'Notes- SK Template'!S604</f>
        <v>0</v>
      </c>
      <c r="T605" s="1967">
        <f>'Notes- SK Template'!T604</f>
        <v>0</v>
      </c>
      <c r="U605" s="1967">
        <f>'Notes- SK Template'!U604</f>
        <v>0</v>
      </c>
      <c r="V605" s="1967">
        <f>'Notes- SK Template'!V604</f>
        <v>0</v>
      </c>
      <c r="W605" s="1967">
        <f>'Notes- SK Template'!W604</f>
        <v>0</v>
      </c>
      <c r="X605" s="1967">
        <f>'Notes- SK Template'!X604</f>
        <v>15954</v>
      </c>
      <c r="Y605" s="1967">
        <f>'Notes- SK Template'!Y604</f>
        <v>0</v>
      </c>
      <c r="Z605" s="1967">
        <f>'Notes- SK Template'!Z604</f>
        <v>0</v>
      </c>
      <c r="AA605" s="1967">
        <f>'Notes- SK Template'!AA604</f>
        <v>0</v>
      </c>
      <c r="AB605" s="1967">
        <f>'Notes- SK Template'!AB604</f>
        <v>0</v>
      </c>
      <c r="AC605" s="1967">
        <f>'Notes- SK Template'!AC604</f>
        <v>0</v>
      </c>
      <c r="AD605" s="1967">
        <f>'Notes- SK Template'!AD604</f>
        <v>0</v>
      </c>
      <c r="AE605" s="1967">
        <f>'Notes- SK Template'!AE604</f>
        <v>0</v>
      </c>
      <c r="AF605" s="1967">
        <f>'Notes- SK Template'!AF604</f>
        <v>0</v>
      </c>
      <c r="AG605" s="1967">
        <f>'Notes- SK Template'!AG604</f>
        <v>0</v>
      </c>
    </row>
    <row r="606" spans="4:33" ht="14.25" customHeight="1">
      <c r="D606" s="1822" t="s">
        <v>1892</v>
      </c>
      <c r="E606" s="1822"/>
      <c r="F606" s="1822"/>
      <c r="G606" s="1822"/>
      <c r="H606" s="1822"/>
      <c r="I606" s="1822"/>
      <c r="J606" s="1822"/>
      <c r="K606" s="1822"/>
      <c r="L606" s="1822"/>
      <c r="M606" s="1822"/>
      <c r="N606" s="1967">
        <f>'Notes- SK Template'!N605</f>
        <v>-1184644</v>
      </c>
      <c r="O606" s="1967">
        <f>'Notes- SK Template'!O605</f>
        <v>0</v>
      </c>
      <c r="P606" s="1967">
        <f>'Notes- SK Template'!P605</f>
        <v>0</v>
      </c>
      <c r="Q606" s="1967">
        <f>'Notes- SK Template'!Q605</f>
        <v>0</v>
      </c>
      <c r="R606" s="1967">
        <f>'Notes- SK Template'!R605</f>
        <v>0</v>
      </c>
      <c r="S606" s="1967">
        <f>'Notes- SK Template'!S605</f>
        <v>0</v>
      </c>
      <c r="T606" s="1967">
        <f>'Notes- SK Template'!T605</f>
        <v>0</v>
      </c>
      <c r="U606" s="1967">
        <f>'Notes- SK Template'!U605</f>
        <v>0</v>
      </c>
      <c r="V606" s="1967">
        <f>'Notes- SK Template'!V605</f>
        <v>0</v>
      </c>
      <c r="W606" s="1967">
        <f>'Notes- SK Template'!W605</f>
        <v>0</v>
      </c>
      <c r="X606" s="1967">
        <f>'Notes- SK Template'!X605</f>
        <v>-1520466</v>
      </c>
      <c r="Y606" s="1967">
        <f>'Notes- SK Template'!Y605</f>
        <v>0</v>
      </c>
      <c r="Z606" s="1967">
        <f>'Notes- SK Template'!Z605</f>
        <v>0</v>
      </c>
      <c r="AA606" s="1967">
        <f>'Notes- SK Template'!AA605</f>
        <v>0</v>
      </c>
      <c r="AB606" s="1967">
        <f>'Notes- SK Template'!AB605</f>
        <v>0</v>
      </c>
      <c r="AC606" s="1967">
        <f>'Notes- SK Template'!AC605</f>
        <v>0</v>
      </c>
      <c r="AD606" s="1967">
        <f>'Notes- SK Template'!AD605</f>
        <v>0</v>
      </c>
      <c r="AE606" s="1967">
        <f>'Notes- SK Template'!AE605</f>
        <v>0</v>
      </c>
      <c r="AF606" s="1967">
        <f>'Notes- SK Template'!AF605</f>
        <v>0</v>
      </c>
      <c r="AG606" s="1967">
        <f>'Notes- SK Template'!AG605</f>
        <v>0</v>
      </c>
    </row>
    <row r="607" spans="4:33" ht="20.25" customHeight="1">
      <c r="D607" s="1890" t="s">
        <v>1893</v>
      </c>
      <c r="E607" s="1890"/>
      <c r="F607" s="1890"/>
      <c r="G607" s="1890"/>
      <c r="H607" s="1890"/>
      <c r="I607" s="1890"/>
      <c r="J607" s="1890"/>
      <c r="K607" s="1890"/>
      <c r="L607" s="1890"/>
      <c r="M607" s="1890"/>
      <c r="N607" s="2244">
        <f>'Notes- SK Template'!N606</f>
        <v>91325</v>
      </c>
      <c r="O607" s="2244">
        <f>'Notes- SK Template'!O606</f>
        <v>0</v>
      </c>
      <c r="P607" s="2244">
        <f>'Notes- SK Template'!P606</f>
        <v>0</v>
      </c>
      <c r="Q607" s="2244">
        <f>'Notes- SK Template'!Q606</f>
        <v>0</v>
      </c>
      <c r="R607" s="2244">
        <f>'Notes- SK Template'!R606</f>
        <v>0</v>
      </c>
      <c r="S607" s="2244">
        <f>'Notes- SK Template'!S606</f>
        <v>0</v>
      </c>
      <c r="T607" s="2244">
        <f>'Notes- SK Template'!T606</f>
        <v>0</v>
      </c>
      <c r="U607" s="2244">
        <f>'Notes- SK Template'!U606</f>
        <v>0</v>
      </c>
      <c r="V607" s="2244">
        <f>'Notes- SK Template'!V606</f>
        <v>0</v>
      </c>
      <c r="W607" s="2244">
        <f>'Notes- SK Template'!W606</f>
        <v>0</v>
      </c>
      <c r="X607" s="2244">
        <f>'Notes- SK Template'!X606</f>
        <v>71060</v>
      </c>
      <c r="Y607" s="2244">
        <f>'Notes- SK Template'!Y606</f>
        <v>0</v>
      </c>
      <c r="Z607" s="2244">
        <f>'Notes- SK Template'!Z606</f>
        <v>0</v>
      </c>
      <c r="AA607" s="2244">
        <f>'Notes- SK Template'!AA606</f>
        <v>0</v>
      </c>
      <c r="AB607" s="2244">
        <f>'Notes- SK Template'!AB606</f>
        <v>0</v>
      </c>
      <c r="AC607" s="2244">
        <f>'Notes- SK Template'!AC606</f>
        <v>0</v>
      </c>
      <c r="AD607" s="2244">
        <f>'Notes- SK Template'!AD606</f>
        <v>0</v>
      </c>
      <c r="AE607" s="2244">
        <f>'Notes- SK Template'!AE606</f>
        <v>0</v>
      </c>
      <c r="AF607" s="2244">
        <f>'Notes- SK Template'!AF606</f>
        <v>0</v>
      </c>
      <c r="AG607" s="2244">
        <f>'Notes- SK Template'!AG606</f>
        <v>0</v>
      </c>
    </row>
    <row r="608" spans="4:33" ht="14.25" customHeight="1">
      <c r="D608" s="1822" t="s">
        <v>1891</v>
      </c>
      <c r="E608" s="1822"/>
      <c r="F608" s="1822"/>
      <c r="G608" s="1822"/>
      <c r="H608" s="1822"/>
      <c r="I608" s="1822"/>
      <c r="J608" s="1822"/>
      <c r="K608" s="1822"/>
      <c r="L608" s="1822"/>
      <c r="M608" s="1822"/>
      <c r="N608" s="1967">
        <f>'Notes- SK Template'!N607</f>
        <v>91325</v>
      </c>
      <c r="O608" s="1967">
        <f>'Notes- SK Template'!O607</f>
        <v>0</v>
      </c>
      <c r="P608" s="1967">
        <f>'Notes- SK Template'!P607</f>
        <v>0</v>
      </c>
      <c r="Q608" s="1967">
        <f>'Notes- SK Template'!Q607</f>
        <v>0</v>
      </c>
      <c r="R608" s="1967">
        <f>'Notes- SK Template'!R607</f>
        <v>0</v>
      </c>
      <c r="S608" s="1967">
        <f>'Notes- SK Template'!S607</f>
        <v>0</v>
      </c>
      <c r="T608" s="1967">
        <f>'Notes- SK Template'!T607</f>
        <v>0</v>
      </c>
      <c r="U608" s="1967">
        <f>'Notes- SK Template'!U607</f>
        <v>0</v>
      </c>
      <c r="V608" s="1967">
        <f>'Notes- SK Template'!V607</f>
        <v>0</v>
      </c>
      <c r="W608" s="1967">
        <f>'Notes- SK Template'!W607</f>
        <v>0</v>
      </c>
      <c r="X608" s="1967">
        <f>'Notes- SK Template'!X607</f>
        <v>71060</v>
      </c>
      <c r="Y608" s="1967">
        <f>'Notes- SK Template'!Y607</f>
        <v>0</v>
      </c>
      <c r="Z608" s="1967">
        <f>'Notes- SK Template'!Z607</f>
        <v>0</v>
      </c>
      <c r="AA608" s="1967">
        <f>'Notes- SK Template'!AA607</f>
        <v>0</v>
      </c>
      <c r="AB608" s="1967">
        <f>'Notes- SK Template'!AB607</f>
        <v>0</v>
      </c>
      <c r="AC608" s="1967">
        <f>'Notes- SK Template'!AC607</f>
        <v>0</v>
      </c>
      <c r="AD608" s="1967">
        <f>'Notes- SK Template'!AD607</f>
        <v>0</v>
      </c>
      <c r="AE608" s="1967">
        <f>'Notes- SK Template'!AE607</f>
        <v>0</v>
      </c>
      <c r="AF608" s="1967">
        <f>'Notes- SK Template'!AF607</f>
        <v>0</v>
      </c>
      <c r="AG608" s="1967">
        <f>'Notes- SK Template'!AG607</f>
        <v>0</v>
      </c>
    </row>
    <row r="609" spans="4:33" ht="14.25" customHeight="1">
      <c r="D609" s="1822" t="s">
        <v>1892</v>
      </c>
      <c r="E609" s="1822"/>
      <c r="F609" s="1822"/>
      <c r="G609" s="1822"/>
      <c r="H609" s="1822"/>
      <c r="I609" s="1822"/>
      <c r="J609" s="1822"/>
      <c r="K609" s="1822"/>
      <c r="L609" s="1822"/>
      <c r="M609" s="1822"/>
      <c r="N609" s="1967">
        <f>'Notes- SK Template'!N608</f>
        <v>0</v>
      </c>
      <c r="O609" s="1967">
        <f>'Notes- SK Template'!O608</f>
        <v>0</v>
      </c>
      <c r="P609" s="1967">
        <f>'Notes- SK Template'!P608</f>
        <v>0</v>
      </c>
      <c r="Q609" s="1967">
        <f>'Notes- SK Template'!Q608</f>
        <v>0</v>
      </c>
      <c r="R609" s="1967">
        <f>'Notes- SK Template'!R608</f>
        <v>0</v>
      </c>
      <c r="S609" s="1967">
        <f>'Notes- SK Template'!S608</f>
        <v>0</v>
      </c>
      <c r="T609" s="1967">
        <f>'Notes- SK Template'!T608</f>
        <v>0</v>
      </c>
      <c r="U609" s="1967">
        <f>'Notes- SK Template'!U608</f>
        <v>0</v>
      </c>
      <c r="V609" s="1967">
        <f>'Notes- SK Template'!V608</f>
        <v>0</v>
      </c>
      <c r="W609" s="1967">
        <f>'Notes- SK Template'!W608</f>
        <v>0</v>
      </c>
      <c r="X609" s="1967">
        <f>'Notes- SK Template'!X608</f>
        <v>0</v>
      </c>
      <c r="Y609" s="1967">
        <f>'Notes- SK Template'!Y608</f>
        <v>0</v>
      </c>
      <c r="Z609" s="1967">
        <f>'Notes- SK Template'!Z608</f>
        <v>0</v>
      </c>
      <c r="AA609" s="1967">
        <f>'Notes- SK Template'!AA608</f>
        <v>0</v>
      </c>
      <c r="AB609" s="1967">
        <f>'Notes- SK Template'!AB608</f>
        <v>0</v>
      </c>
      <c r="AC609" s="1967">
        <f>'Notes- SK Template'!AC608</f>
        <v>0</v>
      </c>
      <c r="AD609" s="1967">
        <f>'Notes- SK Template'!AD608</f>
        <v>0</v>
      </c>
      <c r="AE609" s="1967">
        <f>'Notes- SK Template'!AE608</f>
        <v>0</v>
      </c>
      <c r="AF609" s="1967">
        <f>'Notes- SK Template'!AF608</f>
        <v>0</v>
      </c>
      <c r="AG609" s="1967">
        <f>'Notes- SK Template'!AG608</f>
        <v>0</v>
      </c>
    </row>
    <row r="610" spans="4:33" ht="14.25" customHeight="1">
      <c r="D610" s="1890" t="s">
        <v>1894</v>
      </c>
      <c r="E610" s="1890"/>
      <c r="F610" s="1890"/>
      <c r="G610" s="1890"/>
      <c r="H610" s="1890"/>
      <c r="I610" s="1890"/>
      <c r="J610" s="1890"/>
      <c r="K610" s="1890"/>
      <c r="L610" s="1890"/>
      <c r="M610" s="1890"/>
      <c r="N610" s="2244">
        <f>'Notes- SK Template'!N609</f>
        <v>0</v>
      </c>
      <c r="O610" s="2244">
        <f>'Notes- SK Template'!O609</f>
        <v>0</v>
      </c>
      <c r="P610" s="2244">
        <f>'Notes- SK Template'!P609</f>
        <v>0</v>
      </c>
      <c r="Q610" s="2244">
        <f>'Notes- SK Template'!Q609</f>
        <v>0</v>
      </c>
      <c r="R610" s="2244">
        <f>'Notes- SK Template'!R609</f>
        <v>0</v>
      </c>
      <c r="S610" s="2244">
        <f>'Notes- SK Template'!S609</f>
        <v>0</v>
      </c>
      <c r="T610" s="2244">
        <f>'Notes- SK Template'!T609</f>
        <v>0</v>
      </c>
      <c r="U610" s="2244">
        <f>'Notes- SK Template'!U609</f>
        <v>0</v>
      </c>
      <c r="V610" s="2244">
        <f>'Notes- SK Template'!V609</f>
        <v>0</v>
      </c>
      <c r="W610" s="2244">
        <f>'Notes- SK Template'!W609</f>
        <v>0</v>
      </c>
      <c r="X610" s="2244">
        <f>'Notes- SK Template'!X609</f>
        <v>0</v>
      </c>
      <c r="Y610" s="2244">
        <f>'Notes- SK Template'!Y609</f>
        <v>0</v>
      </c>
      <c r="Z610" s="2244">
        <f>'Notes- SK Template'!Z609</f>
        <v>0</v>
      </c>
      <c r="AA610" s="2244">
        <f>'Notes- SK Template'!AA609</f>
        <v>0</v>
      </c>
      <c r="AB610" s="2244">
        <f>'Notes- SK Template'!AB609</f>
        <v>0</v>
      </c>
      <c r="AC610" s="2244">
        <f>'Notes- SK Template'!AC609</f>
        <v>0</v>
      </c>
      <c r="AD610" s="2244">
        <f>'Notes- SK Template'!AD609</f>
        <v>0</v>
      </c>
      <c r="AE610" s="2244">
        <f>'Notes- SK Template'!AE609</f>
        <v>0</v>
      </c>
      <c r="AF610" s="2244">
        <f>'Notes- SK Template'!AF609</f>
        <v>0</v>
      </c>
      <c r="AG610" s="2244">
        <f>'Notes- SK Template'!AG609</f>
        <v>0</v>
      </c>
    </row>
    <row r="611" spans="4:33" ht="14.25" customHeight="1">
      <c r="D611" s="1890" t="s">
        <v>1895</v>
      </c>
      <c r="E611" s="1890"/>
      <c r="F611" s="1890"/>
      <c r="G611" s="1890"/>
      <c r="H611" s="1890"/>
      <c r="I611" s="1890"/>
      <c r="J611" s="1890"/>
      <c r="K611" s="1890"/>
      <c r="L611" s="1890"/>
      <c r="M611" s="1890"/>
      <c r="N611" s="2244">
        <f>'Notes- SK Template'!N610</f>
        <v>0</v>
      </c>
      <c r="O611" s="2244">
        <f>'Notes- SK Template'!O610</f>
        <v>0</v>
      </c>
      <c r="P611" s="2244">
        <f>'Notes- SK Template'!P610</f>
        <v>0</v>
      </c>
      <c r="Q611" s="2244">
        <f>'Notes- SK Template'!Q610</f>
        <v>0</v>
      </c>
      <c r="R611" s="2244">
        <f>'Notes- SK Template'!R610</f>
        <v>0</v>
      </c>
      <c r="S611" s="2244">
        <f>'Notes- SK Template'!S610</f>
        <v>0</v>
      </c>
      <c r="T611" s="2244">
        <f>'Notes- SK Template'!T610</f>
        <v>0</v>
      </c>
      <c r="U611" s="2244">
        <f>'Notes- SK Template'!U610</f>
        <v>0</v>
      </c>
      <c r="V611" s="2244">
        <f>'Notes- SK Template'!V610</f>
        <v>0</v>
      </c>
      <c r="W611" s="2244">
        <f>'Notes- SK Template'!W610</f>
        <v>0</v>
      </c>
      <c r="X611" s="2244">
        <f>'Notes- SK Template'!X610</f>
        <v>0</v>
      </c>
      <c r="Y611" s="2244">
        <f>'Notes- SK Template'!Y610</f>
        <v>0</v>
      </c>
      <c r="Z611" s="2244">
        <f>'Notes- SK Template'!Z610</f>
        <v>0</v>
      </c>
      <c r="AA611" s="2244">
        <f>'Notes- SK Template'!AA610</f>
        <v>0</v>
      </c>
      <c r="AB611" s="2244">
        <f>'Notes- SK Template'!AB610</f>
        <v>0</v>
      </c>
      <c r="AC611" s="2244">
        <f>'Notes- SK Template'!AC610</f>
        <v>0</v>
      </c>
      <c r="AD611" s="2244">
        <f>'Notes- SK Template'!AD610</f>
        <v>0</v>
      </c>
      <c r="AE611" s="2244">
        <f>'Notes- SK Template'!AE610</f>
        <v>0</v>
      </c>
      <c r="AF611" s="2244">
        <f>'Notes- SK Template'!AF610</f>
        <v>0</v>
      </c>
      <c r="AG611" s="2244">
        <f>'Notes- SK Template'!AG610</f>
        <v>0</v>
      </c>
    </row>
    <row r="612" spans="4:33" ht="14.25" customHeight="1">
      <c r="D612" s="1890" t="s">
        <v>1896</v>
      </c>
      <c r="E612" s="1890"/>
      <c r="F612" s="1890"/>
      <c r="G612" s="1890"/>
      <c r="H612" s="1890"/>
      <c r="I612" s="1890"/>
      <c r="J612" s="1890"/>
      <c r="K612" s="1890"/>
      <c r="L612" s="1890"/>
      <c r="M612" s="1890"/>
      <c r="N612" s="2244">
        <f>'Notes- SK Template'!N611</f>
        <v>21</v>
      </c>
      <c r="O612" s="2244">
        <f>'Notes- SK Template'!O611</f>
        <v>0</v>
      </c>
      <c r="P612" s="2244">
        <f>'Notes- SK Template'!P611</f>
        <v>0</v>
      </c>
      <c r="Q612" s="2244">
        <f>'Notes- SK Template'!Q611</f>
        <v>0</v>
      </c>
      <c r="R612" s="2244">
        <f>'Notes- SK Template'!R611</f>
        <v>0</v>
      </c>
      <c r="S612" s="2244">
        <f>'Notes- SK Template'!S611</f>
        <v>0</v>
      </c>
      <c r="T612" s="2244">
        <f>'Notes- SK Template'!T611</f>
        <v>0</v>
      </c>
      <c r="U612" s="2244">
        <f>'Notes- SK Template'!U611</f>
        <v>0</v>
      </c>
      <c r="V612" s="2244">
        <f>'Notes- SK Template'!V611</f>
        <v>0</v>
      </c>
      <c r="W612" s="2244">
        <f>'Notes- SK Template'!W611</f>
        <v>0</v>
      </c>
      <c r="X612" s="2244">
        <f>'Notes- SK Template'!X611</f>
        <v>21</v>
      </c>
      <c r="Y612" s="2244">
        <f>'Notes- SK Template'!Y611</f>
        <v>0</v>
      </c>
      <c r="Z612" s="2244">
        <f>'Notes- SK Template'!Z611</f>
        <v>0</v>
      </c>
      <c r="AA612" s="2244">
        <f>'Notes- SK Template'!AA611</f>
        <v>0</v>
      </c>
      <c r="AB612" s="2244">
        <f>'Notes- SK Template'!AB611</f>
        <v>0</v>
      </c>
      <c r="AC612" s="2244">
        <f>'Notes- SK Template'!AC611</f>
        <v>0</v>
      </c>
      <c r="AD612" s="2244">
        <f>'Notes- SK Template'!AD611</f>
        <v>0</v>
      </c>
      <c r="AE612" s="2244">
        <f>'Notes- SK Template'!AE611</f>
        <v>0</v>
      </c>
      <c r="AF612" s="2244">
        <f>'Notes- SK Template'!AF611</f>
        <v>0</v>
      </c>
      <c r="AG612" s="2244">
        <f>'Notes- SK Template'!AG611</f>
        <v>0</v>
      </c>
    </row>
    <row r="613" spans="4:33" ht="14.25" customHeight="1">
      <c r="D613" s="1890" t="s">
        <v>1897</v>
      </c>
      <c r="E613" s="1890"/>
      <c r="F613" s="1890"/>
      <c r="G613" s="1890"/>
      <c r="H613" s="1890"/>
      <c r="I613" s="1890"/>
      <c r="J613" s="1890"/>
      <c r="K613" s="1890"/>
      <c r="L613" s="1890"/>
      <c r="M613" s="1890"/>
      <c r="N613" s="2244">
        <f>'Notes- SK Template'!N612</f>
        <v>0</v>
      </c>
      <c r="O613" s="2244">
        <f>'Notes- SK Template'!O612</f>
        <v>0</v>
      </c>
      <c r="P613" s="2244">
        <f>'Notes- SK Template'!P612</f>
        <v>0</v>
      </c>
      <c r="Q613" s="2244">
        <f>'Notes- SK Template'!Q612</f>
        <v>0</v>
      </c>
      <c r="R613" s="2244">
        <f>'Notes- SK Template'!R612</f>
        <v>0</v>
      </c>
      <c r="S613" s="2244">
        <f>'Notes- SK Template'!S612</f>
        <v>0</v>
      </c>
      <c r="T613" s="2244">
        <f>'Notes- SK Template'!T612</f>
        <v>0</v>
      </c>
      <c r="U613" s="2244">
        <f>'Notes- SK Template'!U612</f>
        <v>0</v>
      </c>
      <c r="V613" s="2244">
        <f>'Notes- SK Template'!V612</f>
        <v>0</v>
      </c>
      <c r="W613" s="2244">
        <f>'Notes- SK Template'!W612</f>
        <v>0</v>
      </c>
      <c r="X613" s="2244">
        <f>'Notes- SK Template'!X612</f>
        <v>0</v>
      </c>
      <c r="Y613" s="2244">
        <f>'Notes- SK Template'!Y612</f>
        <v>0</v>
      </c>
      <c r="Z613" s="2244">
        <f>'Notes- SK Template'!Z612</f>
        <v>0</v>
      </c>
      <c r="AA613" s="2244">
        <f>'Notes- SK Template'!AA612</f>
        <v>0</v>
      </c>
      <c r="AB613" s="2244">
        <f>'Notes- SK Template'!AB612</f>
        <v>0</v>
      </c>
      <c r="AC613" s="2244">
        <f>'Notes- SK Template'!AC612</f>
        <v>0</v>
      </c>
      <c r="AD613" s="2244">
        <f>'Notes- SK Template'!AD612</f>
        <v>0</v>
      </c>
      <c r="AE613" s="2244">
        <f>'Notes- SK Template'!AE612</f>
        <v>0</v>
      </c>
      <c r="AF613" s="2244">
        <f>'Notes- SK Template'!AF612</f>
        <v>0</v>
      </c>
      <c r="AG613" s="2244">
        <f>'Notes- SK Template'!AG612</f>
        <v>0</v>
      </c>
    </row>
    <row r="614" spans="4:33" ht="14.25" customHeight="1">
      <c r="D614" s="1890" t="s">
        <v>1898</v>
      </c>
      <c r="E614" s="1890"/>
      <c r="F614" s="1890"/>
      <c r="G614" s="1890"/>
      <c r="H614" s="1890"/>
      <c r="I614" s="1890"/>
      <c r="J614" s="1890"/>
      <c r="K614" s="1890"/>
      <c r="L614" s="1890"/>
      <c r="M614" s="1890"/>
      <c r="N614" s="2244">
        <f>'Notes- SK Template'!N613</f>
        <v>0</v>
      </c>
      <c r="O614" s="2244">
        <f>'Notes- SK Template'!O613</f>
        <v>0</v>
      </c>
      <c r="P614" s="2244">
        <f>'Notes- SK Template'!P613</f>
        <v>0</v>
      </c>
      <c r="Q614" s="2244">
        <f>'Notes- SK Template'!Q613</f>
        <v>0</v>
      </c>
      <c r="R614" s="2244">
        <f>'Notes- SK Template'!R613</f>
        <v>0</v>
      </c>
      <c r="S614" s="2244">
        <f>'Notes- SK Template'!S613</f>
        <v>0</v>
      </c>
      <c r="T614" s="2244">
        <f>'Notes- SK Template'!T613</f>
        <v>0</v>
      </c>
      <c r="U614" s="2244">
        <f>'Notes- SK Template'!U613</f>
        <v>0</v>
      </c>
      <c r="V614" s="2244">
        <f>'Notes- SK Template'!V613</f>
        <v>0</v>
      </c>
      <c r="W614" s="2244">
        <f>'Notes- SK Template'!W613</f>
        <v>0</v>
      </c>
      <c r="X614" s="2244">
        <f>'Notes- SK Template'!X613</f>
        <v>0</v>
      </c>
      <c r="Y614" s="2244">
        <f>'Notes- SK Template'!Y613</f>
        <v>0</v>
      </c>
      <c r="Z614" s="2244">
        <f>'Notes- SK Template'!Z613</f>
        <v>0</v>
      </c>
      <c r="AA614" s="2244">
        <f>'Notes- SK Template'!AA613</f>
        <v>0</v>
      </c>
      <c r="AB614" s="2244">
        <f>'Notes- SK Template'!AB613</f>
        <v>0</v>
      </c>
      <c r="AC614" s="2244">
        <f>'Notes- SK Template'!AC613</f>
        <v>0</v>
      </c>
      <c r="AD614" s="2244">
        <f>'Notes- SK Template'!AD613</f>
        <v>0</v>
      </c>
      <c r="AE614" s="2244">
        <f>'Notes- SK Template'!AE613</f>
        <v>0</v>
      </c>
      <c r="AF614" s="2244">
        <f>'Notes- SK Template'!AF613</f>
        <v>0</v>
      </c>
      <c r="AG614" s="2244">
        <f>'Notes- SK Template'!AG613</f>
        <v>0</v>
      </c>
    </row>
    <row r="615" spans="4:33" ht="14.25" customHeight="1">
      <c r="D615" s="2018" t="s">
        <v>1996</v>
      </c>
      <c r="E615" s="1822"/>
      <c r="F615" s="1822"/>
      <c r="G615" s="1822"/>
      <c r="H615" s="1822"/>
      <c r="I615" s="1822"/>
      <c r="J615" s="1822"/>
      <c r="K615" s="1822"/>
      <c r="L615" s="1822"/>
      <c r="M615" s="1822"/>
      <c r="N615" s="1967">
        <f>'Notes- SK Template'!N614</f>
        <v>0</v>
      </c>
      <c r="O615" s="1967">
        <f>'Notes- SK Template'!O614</f>
        <v>0</v>
      </c>
      <c r="P615" s="1967">
        <f>'Notes- SK Template'!P614</f>
        <v>0</v>
      </c>
      <c r="Q615" s="1967">
        <f>'Notes- SK Template'!Q614</f>
        <v>0</v>
      </c>
      <c r="R615" s="1967">
        <f>'Notes- SK Template'!R614</f>
        <v>0</v>
      </c>
      <c r="S615" s="1967">
        <f>'Notes- SK Template'!S614</f>
        <v>0</v>
      </c>
      <c r="T615" s="1967">
        <f>'Notes- SK Template'!T614</f>
        <v>0</v>
      </c>
      <c r="U615" s="1967">
        <f>'Notes- SK Template'!U614</f>
        <v>0</v>
      </c>
      <c r="V615" s="1967">
        <f>'Notes- SK Template'!V614</f>
        <v>0</v>
      </c>
      <c r="W615" s="1967">
        <f>'Notes- SK Template'!W614</f>
        <v>0</v>
      </c>
      <c r="X615" s="1967">
        <f>'Notes- SK Template'!X614</f>
        <v>0</v>
      </c>
      <c r="Y615" s="1967">
        <f>'Notes- SK Template'!Y614</f>
        <v>0</v>
      </c>
      <c r="Z615" s="1967">
        <f>'Notes- SK Template'!Z614</f>
        <v>0</v>
      </c>
      <c r="AA615" s="1967">
        <f>'Notes- SK Template'!AA614</f>
        <v>0</v>
      </c>
      <c r="AB615" s="1967">
        <f>'Notes- SK Template'!AB614</f>
        <v>0</v>
      </c>
      <c r="AC615" s="1967">
        <f>'Notes- SK Template'!AC614</f>
        <v>0</v>
      </c>
      <c r="AD615" s="1967">
        <f>'Notes- SK Template'!AD614</f>
        <v>0</v>
      </c>
      <c r="AE615" s="1967">
        <f>'Notes- SK Template'!AE614</f>
        <v>0</v>
      </c>
      <c r="AF615" s="1967">
        <f>'Notes- SK Template'!AF614</f>
        <v>0</v>
      </c>
      <c r="AG615" s="1967">
        <f>'Notes- SK Template'!AG614</f>
        <v>0</v>
      </c>
    </row>
    <row r="616" spans="4:33" ht="14.25" customHeight="1">
      <c r="D616" s="1822" t="s">
        <v>1899</v>
      </c>
      <c r="E616" s="1822"/>
      <c r="F616" s="1822"/>
      <c r="G616" s="1822"/>
      <c r="H616" s="1822"/>
      <c r="I616" s="1822"/>
      <c r="J616" s="1822"/>
      <c r="K616" s="1822"/>
      <c r="L616" s="1822"/>
      <c r="M616" s="1822"/>
      <c r="N616" s="1967">
        <f>'Notes- SK Template'!N615</f>
        <v>0</v>
      </c>
      <c r="O616" s="1967">
        <f>'Notes- SK Template'!O615</f>
        <v>0</v>
      </c>
      <c r="P616" s="1967">
        <f>'Notes- SK Template'!P615</f>
        <v>0</v>
      </c>
      <c r="Q616" s="1967">
        <f>'Notes- SK Template'!Q615</f>
        <v>0</v>
      </c>
      <c r="R616" s="1967">
        <f>'Notes- SK Template'!R615</f>
        <v>0</v>
      </c>
      <c r="S616" s="1967">
        <f>'Notes- SK Template'!S615</f>
        <v>0</v>
      </c>
      <c r="T616" s="1967">
        <f>'Notes- SK Template'!T615</f>
        <v>0</v>
      </c>
      <c r="U616" s="1967">
        <f>'Notes- SK Template'!U615</f>
        <v>0</v>
      </c>
      <c r="V616" s="1967">
        <f>'Notes- SK Template'!V615</f>
        <v>0</v>
      </c>
      <c r="W616" s="1967">
        <f>'Notes- SK Template'!W615</f>
        <v>0</v>
      </c>
      <c r="X616" s="1967">
        <f>'Notes- SK Template'!X615</f>
        <v>0</v>
      </c>
      <c r="Y616" s="1967">
        <f>'Notes- SK Template'!Y615</f>
        <v>0</v>
      </c>
      <c r="Z616" s="1967">
        <f>'Notes- SK Template'!Z615</f>
        <v>0</v>
      </c>
      <c r="AA616" s="1967">
        <f>'Notes- SK Template'!AA615</f>
        <v>0</v>
      </c>
      <c r="AB616" s="1967">
        <f>'Notes- SK Template'!AB615</f>
        <v>0</v>
      </c>
      <c r="AC616" s="1967">
        <f>'Notes- SK Template'!AC615</f>
        <v>0</v>
      </c>
      <c r="AD616" s="1967">
        <f>'Notes- SK Template'!AD615</f>
        <v>0</v>
      </c>
      <c r="AE616" s="1967">
        <f>'Notes- SK Template'!AE615</f>
        <v>0</v>
      </c>
      <c r="AF616" s="1967">
        <f>'Notes- SK Template'!AF615</f>
        <v>0</v>
      </c>
      <c r="AG616" s="1967">
        <f>'Notes- SK Template'!AG615</f>
        <v>0</v>
      </c>
    </row>
    <row r="617" spans="4:33" ht="14.25" customHeight="1">
      <c r="D617" s="1890" t="s">
        <v>1900</v>
      </c>
      <c r="E617" s="1890"/>
      <c r="F617" s="1890"/>
      <c r="G617" s="1890"/>
      <c r="H617" s="1890"/>
      <c r="I617" s="1890"/>
      <c r="J617" s="1890"/>
      <c r="K617" s="1890"/>
      <c r="L617" s="1890"/>
      <c r="M617" s="1890"/>
      <c r="N617" s="2003">
        <f>'Notes- SK Template'!N616</f>
        <v>-216979.03</v>
      </c>
      <c r="O617" s="2003">
        <f>'Notes- SK Template'!O616</f>
        <v>0</v>
      </c>
      <c r="P617" s="2003">
        <f>'Notes- SK Template'!P616</f>
        <v>0</v>
      </c>
      <c r="Q617" s="2003">
        <f>'Notes- SK Template'!Q616</f>
        <v>0</v>
      </c>
      <c r="R617" s="2003">
        <f>'Notes- SK Template'!R616</f>
        <v>0</v>
      </c>
      <c r="S617" s="2003">
        <f>'Notes- SK Template'!S616</f>
        <v>0</v>
      </c>
      <c r="T617" s="2003">
        <f>'Notes- SK Template'!T616</f>
        <v>0</v>
      </c>
      <c r="U617" s="2003">
        <f>'Notes- SK Template'!U616</f>
        <v>0</v>
      </c>
      <c r="V617" s="2003">
        <f>'Notes- SK Template'!V616</f>
        <v>0</v>
      </c>
      <c r="W617" s="2003">
        <f>'Notes- SK Template'!W616</f>
        <v>0</v>
      </c>
      <c r="X617" s="2244">
        <f>'Notes- SK Template'!X616</f>
        <v>-301023.92</v>
      </c>
      <c r="Y617" s="2244">
        <f>'Notes- SK Template'!Y616</f>
        <v>0</v>
      </c>
      <c r="Z617" s="2244">
        <f>'Notes- SK Template'!Z616</f>
        <v>0</v>
      </c>
      <c r="AA617" s="2244">
        <f>'Notes- SK Template'!AA616</f>
        <v>0</v>
      </c>
      <c r="AB617" s="2244">
        <f>'Notes- SK Template'!AB616</f>
        <v>0</v>
      </c>
      <c r="AC617" s="2244">
        <f>'Notes- SK Template'!AC616</f>
        <v>0</v>
      </c>
      <c r="AD617" s="2244">
        <f>'Notes- SK Template'!AD616</f>
        <v>0</v>
      </c>
      <c r="AE617" s="2244">
        <f>'Notes- SK Template'!AE616</f>
        <v>0</v>
      </c>
      <c r="AF617" s="2244">
        <f>'Notes- SK Template'!AF616</f>
        <v>0</v>
      </c>
      <c r="AG617" s="2244">
        <f>'Notes- SK Template'!AG616</f>
        <v>0</v>
      </c>
    </row>
    <row r="618" spans="4:33" ht="14.25" customHeight="1">
      <c r="D618" s="1890" t="s">
        <v>1901</v>
      </c>
      <c r="E618" s="1890"/>
      <c r="F618" s="1890"/>
      <c r="G618" s="1890"/>
      <c r="H618" s="1890"/>
      <c r="I618" s="1890"/>
      <c r="J618" s="1890"/>
      <c r="K618" s="1890"/>
      <c r="L618" s="1890"/>
      <c r="M618" s="1890"/>
      <c r="N618" s="2003">
        <f>'Notes- SK Template'!N617</f>
        <v>84043.889999999985</v>
      </c>
      <c r="O618" s="2003">
        <f>'Notes- SK Template'!O617</f>
        <v>0</v>
      </c>
      <c r="P618" s="2003">
        <f>'Notes- SK Template'!P617</f>
        <v>0</v>
      </c>
      <c r="Q618" s="2003">
        <f>'Notes- SK Template'!Q617</f>
        <v>0</v>
      </c>
      <c r="R618" s="2003">
        <f>'Notes- SK Template'!R617</f>
        <v>0</v>
      </c>
      <c r="S618" s="2003">
        <f>'Notes- SK Template'!S617</f>
        <v>0</v>
      </c>
      <c r="T618" s="2003">
        <f>'Notes- SK Template'!T617</f>
        <v>0</v>
      </c>
      <c r="U618" s="2003">
        <f>'Notes- SK Template'!U617</f>
        <v>0</v>
      </c>
      <c r="V618" s="2003">
        <f>'Notes- SK Template'!V617</f>
        <v>0</v>
      </c>
      <c r="W618" s="2003">
        <f>'Notes- SK Template'!W617</f>
        <v>0</v>
      </c>
      <c r="X618" s="2244">
        <f>'Notes- SK Template'!X617</f>
        <v>71840.530000000028</v>
      </c>
      <c r="Y618" s="2244">
        <f>'Notes- SK Template'!Y617</f>
        <v>0</v>
      </c>
      <c r="Z618" s="2244">
        <f>'Notes- SK Template'!Z617</f>
        <v>0</v>
      </c>
      <c r="AA618" s="2244">
        <f>'Notes- SK Template'!AA617</f>
        <v>0</v>
      </c>
      <c r="AB618" s="2244">
        <f>'Notes- SK Template'!AB617</f>
        <v>0</v>
      </c>
      <c r="AC618" s="2244">
        <f>'Notes- SK Template'!AC617</f>
        <v>0</v>
      </c>
      <c r="AD618" s="2244">
        <f>'Notes- SK Template'!AD617</f>
        <v>0</v>
      </c>
      <c r="AE618" s="2244">
        <f>'Notes- SK Template'!AE617</f>
        <v>0</v>
      </c>
      <c r="AF618" s="2244">
        <f>'Notes- SK Template'!AF617</f>
        <v>0</v>
      </c>
      <c r="AG618" s="2244">
        <f>'Notes- SK Template'!AG617</f>
        <v>0</v>
      </c>
    </row>
    <row r="619" spans="4:33" ht="14.25" customHeight="1">
      <c r="D619" s="1822" t="s">
        <v>1902</v>
      </c>
      <c r="E619" s="1822"/>
      <c r="F619" s="1822"/>
      <c r="G619" s="1822"/>
      <c r="H619" s="1822"/>
      <c r="I619" s="1822"/>
      <c r="J619" s="1822"/>
      <c r="K619" s="1822"/>
      <c r="L619" s="1822"/>
      <c r="M619" s="1822"/>
      <c r="N619" s="1967">
        <f>'Notes- SK Template'!N618</f>
        <v>84043.889999999985</v>
      </c>
      <c r="O619" s="1967">
        <f>'Notes- SK Template'!O618</f>
        <v>0</v>
      </c>
      <c r="P619" s="1967">
        <f>'Notes- SK Template'!P618</f>
        <v>0</v>
      </c>
      <c r="Q619" s="1967">
        <f>'Notes- SK Template'!Q618</f>
        <v>0</v>
      </c>
      <c r="R619" s="1967">
        <f>'Notes- SK Template'!R618</f>
        <v>0</v>
      </c>
      <c r="S619" s="1967">
        <f>'Notes- SK Template'!S618</f>
        <v>0</v>
      </c>
      <c r="T619" s="1967">
        <f>'Notes- SK Template'!T618</f>
        <v>0</v>
      </c>
      <c r="U619" s="1967">
        <f>'Notes- SK Template'!U618</f>
        <v>0</v>
      </c>
      <c r="V619" s="1967">
        <f>'Notes- SK Template'!V618</f>
        <v>0</v>
      </c>
      <c r="W619" s="1967">
        <f>'Notes- SK Template'!W618</f>
        <v>0</v>
      </c>
      <c r="X619" s="1967">
        <f>'Notes- SK Template'!X618</f>
        <v>71840</v>
      </c>
      <c r="Y619" s="1967">
        <f>'Notes- SK Template'!Y618</f>
        <v>0</v>
      </c>
      <c r="Z619" s="1967">
        <f>'Notes- SK Template'!Z618</f>
        <v>0</v>
      </c>
      <c r="AA619" s="1967">
        <f>'Notes- SK Template'!AA618</f>
        <v>0</v>
      </c>
      <c r="AB619" s="1967">
        <f>'Notes- SK Template'!AB618</f>
        <v>0</v>
      </c>
      <c r="AC619" s="1967">
        <f>'Notes- SK Template'!AC618</f>
        <v>0</v>
      </c>
      <c r="AD619" s="1967">
        <f>'Notes- SK Template'!AD618</f>
        <v>0</v>
      </c>
      <c r="AE619" s="1967">
        <f>'Notes- SK Template'!AE618</f>
        <v>0</v>
      </c>
      <c r="AF619" s="1967">
        <f>'Notes- SK Template'!AF618</f>
        <v>0</v>
      </c>
      <c r="AG619" s="1967">
        <f>'Notes- SK Template'!AG618</f>
        <v>0</v>
      </c>
    </row>
    <row r="620" spans="4:33" ht="14.25" customHeight="1">
      <c r="D620" s="1822" t="s">
        <v>1899</v>
      </c>
      <c r="E620" s="1822"/>
      <c r="F620" s="1822"/>
      <c r="G620" s="1822"/>
      <c r="H620" s="1822"/>
      <c r="I620" s="1822"/>
      <c r="J620" s="1822"/>
      <c r="K620" s="1822"/>
      <c r="L620" s="1822"/>
      <c r="M620" s="1822"/>
      <c r="N620" s="1967">
        <f>'Notes- SK Template'!N619</f>
        <v>0</v>
      </c>
      <c r="O620" s="1967">
        <f>'Notes- SK Template'!O619</f>
        <v>0</v>
      </c>
      <c r="P620" s="1967">
        <f>'Notes- SK Template'!P619</f>
        <v>0</v>
      </c>
      <c r="Q620" s="1967">
        <f>'Notes- SK Template'!Q619</f>
        <v>0</v>
      </c>
      <c r="R620" s="1967">
        <f>'Notes- SK Template'!R619</f>
        <v>0</v>
      </c>
      <c r="S620" s="1967">
        <f>'Notes- SK Template'!S619</f>
        <v>0</v>
      </c>
      <c r="T620" s="1967">
        <f>'Notes- SK Template'!T619</f>
        <v>0</v>
      </c>
      <c r="U620" s="1967">
        <f>'Notes- SK Template'!U619</f>
        <v>0</v>
      </c>
      <c r="V620" s="1967">
        <f>'Notes- SK Template'!V619</f>
        <v>0</v>
      </c>
      <c r="W620" s="1967">
        <f>'Notes- SK Template'!W619</f>
        <v>0</v>
      </c>
      <c r="X620" s="1967">
        <f>'Notes- SK Template'!X619</f>
        <v>0</v>
      </c>
      <c r="Y620" s="1967">
        <f>'Notes- SK Template'!Y619</f>
        <v>0</v>
      </c>
      <c r="Z620" s="1967">
        <f>'Notes- SK Template'!Z619</f>
        <v>0</v>
      </c>
      <c r="AA620" s="1967">
        <f>'Notes- SK Template'!AA619</f>
        <v>0</v>
      </c>
      <c r="AB620" s="1967">
        <f>'Notes- SK Template'!AB619</f>
        <v>0</v>
      </c>
      <c r="AC620" s="1967">
        <f>'Notes- SK Template'!AC619</f>
        <v>0</v>
      </c>
      <c r="AD620" s="1967">
        <f>'Notes- SK Template'!AD619</f>
        <v>0</v>
      </c>
      <c r="AE620" s="1967">
        <f>'Notes- SK Template'!AE619</f>
        <v>0</v>
      </c>
      <c r="AF620" s="1967">
        <f>'Notes- SK Template'!AF619</f>
        <v>0</v>
      </c>
      <c r="AG620" s="1967">
        <f>'Notes- SK Template'!AG619</f>
        <v>0</v>
      </c>
    </row>
    <row r="621" spans="4:33" ht="14.25" customHeight="1" thickBot="1">
      <c r="D621" s="2057" t="s">
        <v>1877</v>
      </c>
      <c r="E621" s="1996"/>
      <c r="F621" s="1996"/>
      <c r="G621" s="1996"/>
      <c r="H621" s="1996"/>
      <c r="I621" s="1996"/>
      <c r="J621" s="1996"/>
      <c r="K621" s="1996"/>
      <c r="L621" s="1996"/>
      <c r="M621" s="1996"/>
      <c r="N621" s="1859">
        <f>'Notes- SK Template'!N620</f>
        <v>0</v>
      </c>
      <c r="O621" s="1859">
        <f>'Notes- SK Template'!O620</f>
        <v>0</v>
      </c>
      <c r="P621" s="1859">
        <f>'Notes- SK Template'!P620</f>
        <v>0</v>
      </c>
      <c r="Q621" s="1859">
        <f>'Notes- SK Template'!Q620</f>
        <v>0</v>
      </c>
      <c r="R621" s="1859">
        <f>'Notes- SK Template'!R620</f>
        <v>0</v>
      </c>
      <c r="S621" s="1859">
        <f>'Notes- SK Template'!S620</f>
        <v>0</v>
      </c>
      <c r="T621" s="1859">
        <f>'Notes- SK Template'!T620</f>
        <v>0</v>
      </c>
      <c r="U621" s="1859">
        <f>'Notes- SK Template'!U620</f>
        <v>0</v>
      </c>
      <c r="V621" s="1859">
        <f>'Notes- SK Template'!V620</f>
        <v>0</v>
      </c>
      <c r="W621" s="1859">
        <f>'Notes- SK Template'!W620</f>
        <v>0</v>
      </c>
      <c r="X621" s="1859">
        <f>'Notes- SK Template'!X620</f>
        <v>0</v>
      </c>
      <c r="Y621" s="1859">
        <f>'Notes- SK Template'!Y620</f>
        <v>0</v>
      </c>
      <c r="Z621" s="1859">
        <f>'Notes- SK Template'!Z620</f>
        <v>0</v>
      </c>
      <c r="AA621" s="1859">
        <f>'Notes- SK Template'!AA620</f>
        <v>0</v>
      </c>
      <c r="AB621" s="1859">
        <f>'Notes- SK Template'!AB620</f>
        <v>0</v>
      </c>
      <c r="AC621" s="1859">
        <f>'Notes- SK Template'!AC620</f>
        <v>0</v>
      </c>
      <c r="AD621" s="1859">
        <f>'Notes- SK Template'!AD620</f>
        <v>0</v>
      </c>
      <c r="AE621" s="1859">
        <f>'Notes- SK Template'!AE620</f>
        <v>0</v>
      </c>
      <c r="AF621" s="1859">
        <f>'Notes- SK Template'!AF620</f>
        <v>0</v>
      </c>
      <c r="AG621" s="1859">
        <f>'Notes- SK Template'!AG620</f>
        <v>0</v>
      </c>
    </row>
    <row r="623" spans="4:33" ht="14.25" customHeight="1">
      <c r="D623" s="582" t="s">
        <v>2979</v>
      </c>
    </row>
    <row r="624" spans="4:33" ht="14.25" customHeight="1">
      <c r="D624" s="2006"/>
      <c r="E624" s="2006"/>
      <c r="F624" s="2006"/>
      <c r="G624" s="2006"/>
      <c r="H624" s="2006"/>
      <c r="I624" s="2006"/>
      <c r="J624" s="2006"/>
      <c r="K624" s="2006"/>
      <c r="L624" s="2006"/>
      <c r="M624" s="2006"/>
      <c r="N624" s="2006"/>
      <c r="O624" s="2006"/>
      <c r="P624" s="2006"/>
      <c r="Q624" s="2006"/>
      <c r="R624" s="2006"/>
      <c r="S624" s="2006"/>
      <c r="T624" s="2006"/>
      <c r="U624" s="2006"/>
      <c r="V624" s="2006"/>
      <c r="W624" s="2006"/>
      <c r="X624" s="2006"/>
      <c r="Y624" s="2006"/>
      <c r="Z624" s="2006"/>
      <c r="AA624" s="2006"/>
      <c r="AB624" s="2006"/>
      <c r="AC624" s="2006"/>
      <c r="AD624" s="2006"/>
      <c r="AE624" s="2006"/>
      <c r="AF624" s="2006"/>
      <c r="AG624" s="2006"/>
    </row>
    <row r="625" spans="1:33" ht="14.25" customHeight="1">
      <c r="D625" s="2005" t="s">
        <v>2001</v>
      </c>
      <c r="E625" s="2006"/>
      <c r="F625" s="2006"/>
      <c r="G625" s="2006"/>
      <c r="H625" s="2006"/>
      <c r="I625" s="2006"/>
      <c r="J625" s="2006"/>
      <c r="K625" s="2006"/>
      <c r="L625" s="2006"/>
      <c r="M625" s="2006"/>
      <c r="N625" s="2006"/>
      <c r="O625" s="2006"/>
      <c r="P625" s="2006"/>
      <c r="Q625" s="2006"/>
      <c r="R625" s="2006"/>
      <c r="S625" s="2006"/>
      <c r="T625" s="2006"/>
      <c r="U625" s="2006"/>
      <c r="V625" s="2006"/>
      <c r="W625" s="2006"/>
      <c r="X625" s="2006"/>
      <c r="Y625" s="2006"/>
      <c r="Z625" s="2006"/>
      <c r="AA625" s="2006"/>
      <c r="AB625" s="2006"/>
      <c r="AC625" s="2006"/>
      <c r="AD625" s="2006"/>
      <c r="AE625" s="2006"/>
      <c r="AF625" s="2006"/>
      <c r="AG625" s="2006"/>
    </row>
    <row r="626" spans="1:33" ht="14.25" customHeight="1" thickBot="1"/>
    <row r="627" spans="1:33" ht="28.5" customHeight="1" thickBot="1">
      <c r="A627" s="597">
        <v>27</v>
      </c>
      <c r="D627" s="2042" t="s">
        <v>1739</v>
      </c>
      <c r="E627" s="2043"/>
      <c r="F627" s="2043"/>
      <c r="G627" s="2043"/>
      <c r="H627" s="2043"/>
      <c r="I627" s="2043"/>
      <c r="J627" s="2043"/>
      <c r="K627" s="2043"/>
      <c r="L627" s="2043"/>
      <c r="M627" s="2044"/>
      <c r="N627" s="2042" t="s">
        <v>1740</v>
      </c>
      <c r="O627" s="2043"/>
      <c r="P627" s="2043"/>
      <c r="Q627" s="2043"/>
      <c r="R627" s="2043"/>
      <c r="S627" s="2043"/>
      <c r="T627" s="2043"/>
      <c r="U627" s="2043"/>
      <c r="V627" s="2043"/>
      <c r="W627" s="2044"/>
      <c r="X627" s="2042" t="s">
        <v>1858</v>
      </c>
      <c r="Y627" s="2043"/>
      <c r="Z627" s="2043"/>
      <c r="AA627" s="2043"/>
      <c r="AB627" s="2043"/>
      <c r="AC627" s="2043"/>
      <c r="AD627" s="2043"/>
      <c r="AE627" s="2043"/>
      <c r="AF627" s="2043"/>
      <c r="AG627" s="2044"/>
    </row>
    <row r="628" spans="1:33" ht="18.75" customHeight="1">
      <c r="D628" s="2048" t="s">
        <v>1903</v>
      </c>
      <c r="E628" s="2049"/>
      <c r="F628" s="2049"/>
      <c r="G628" s="2049"/>
      <c r="H628" s="2049"/>
      <c r="I628" s="2049"/>
      <c r="J628" s="2049"/>
      <c r="K628" s="2049"/>
      <c r="L628" s="2049"/>
      <c r="M628" s="2050"/>
      <c r="N628" s="2051">
        <f>'Notes- SK Template'!N627</f>
        <v>12927</v>
      </c>
      <c r="O628" s="2052">
        <f>'Notes- SK Template'!O627</f>
        <v>0</v>
      </c>
      <c r="P628" s="2052">
        <f>'Notes- SK Template'!P627</f>
        <v>0</v>
      </c>
      <c r="Q628" s="2052">
        <f>'Notes- SK Template'!Q627</f>
        <v>0</v>
      </c>
      <c r="R628" s="2052">
        <f>'Notes- SK Template'!R627</f>
        <v>0</v>
      </c>
      <c r="S628" s="2052">
        <f>'Notes- SK Template'!S627</f>
        <v>0</v>
      </c>
      <c r="T628" s="2052">
        <f>'Notes- SK Template'!T627</f>
        <v>0</v>
      </c>
      <c r="U628" s="2052">
        <f>'Notes- SK Template'!U627</f>
        <v>0</v>
      </c>
      <c r="V628" s="2052">
        <f>'Notes- SK Template'!V627</f>
        <v>0</v>
      </c>
      <c r="W628" s="2052">
        <f>'Notes- SK Template'!W627</f>
        <v>0</v>
      </c>
      <c r="X628" s="2052">
        <f>'Notes- SK Template'!X627</f>
        <v>18257</v>
      </c>
      <c r="Y628" s="2052">
        <f>'Notes- SK Template'!Y627</f>
        <v>0</v>
      </c>
      <c r="Z628" s="2052">
        <f>'Notes- SK Template'!Z627</f>
        <v>0</v>
      </c>
      <c r="AA628" s="2052">
        <f>'Notes- SK Template'!AA627</f>
        <v>0</v>
      </c>
      <c r="AB628" s="2052">
        <f>'Notes- SK Template'!AB627</f>
        <v>0</v>
      </c>
      <c r="AC628" s="2052">
        <f>'Notes- SK Template'!AC627</f>
        <v>0</v>
      </c>
      <c r="AD628" s="2052">
        <f>'Notes- SK Template'!AD627</f>
        <v>0</v>
      </c>
      <c r="AE628" s="2052">
        <f>'Notes- SK Template'!AE627</f>
        <v>0</v>
      </c>
      <c r="AF628" s="2052">
        <f>'Notes- SK Template'!AF627</f>
        <v>0</v>
      </c>
      <c r="AG628" s="2052">
        <f>'Notes- SK Template'!AG627</f>
        <v>0</v>
      </c>
    </row>
    <row r="629" spans="1:33" ht="18.75" customHeight="1">
      <c r="D629" s="1971" t="s">
        <v>1904</v>
      </c>
      <c r="E629" s="1972"/>
      <c r="F629" s="1972"/>
      <c r="G629" s="1972"/>
      <c r="H629" s="1972"/>
      <c r="I629" s="1972"/>
      <c r="J629" s="1972"/>
      <c r="K629" s="1972"/>
      <c r="L629" s="1972"/>
      <c r="M629" s="1973"/>
      <c r="N629" s="1970">
        <f>'Notes- SK Template'!N628</f>
        <v>7697</v>
      </c>
      <c r="O629" s="1967">
        <f>'Notes- SK Template'!O628</f>
        <v>0</v>
      </c>
      <c r="P629" s="1967">
        <f>'Notes- SK Template'!P628</f>
        <v>0</v>
      </c>
      <c r="Q629" s="1967">
        <f>'Notes- SK Template'!Q628</f>
        <v>0</v>
      </c>
      <c r="R629" s="1967">
        <f>'Notes- SK Template'!R628</f>
        <v>0</v>
      </c>
      <c r="S629" s="1967">
        <f>'Notes- SK Template'!S628</f>
        <v>0</v>
      </c>
      <c r="T629" s="1967">
        <f>'Notes- SK Template'!T628</f>
        <v>0</v>
      </c>
      <c r="U629" s="1967">
        <f>'Notes- SK Template'!U628</f>
        <v>0</v>
      </c>
      <c r="V629" s="1967">
        <f>'Notes- SK Template'!V628</f>
        <v>0</v>
      </c>
      <c r="W629" s="1967">
        <f>'Notes- SK Template'!W628</f>
        <v>0</v>
      </c>
      <c r="X629" s="1968">
        <f>'Notes- SK Template'!X628</f>
        <v>7019</v>
      </c>
      <c r="Y629" s="1969">
        <f>'Notes- SK Template'!Y628</f>
        <v>0</v>
      </c>
      <c r="Z629" s="1969">
        <f>'Notes- SK Template'!Z628</f>
        <v>0</v>
      </c>
      <c r="AA629" s="1969">
        <f>'Notes- SK Template'!AA628</f>
        <v>0</v>
      </c>
      <c r="AB629" s="1969">
        <f>'Notes- SK Template'!AB628</f>
        <v>0</v>
      </c>
      <c r="AC629" s="1969">
        <f>'Notes- SK Template'!AC628</f>
        <v>0</v>
      </c>
      <c r="AD629" s="1969">
        <f>'Notes- SK Template'!AD628</f>
        <v>0</v>
      </c>
      <c r="AE629" s="1969">
        <f>'Notes- SK Template'!AE628</f>
        <v>0</v>
      </c>
      <c r="AF629" s="1969">
        <f>'Notes- SK Template'!AF628</f>
        <v>0</v>
      </c>
      <c r="AG629" s="1970">
        <f>'Notes- SK Template'!AG628</f>
        <v>0</v>
      </c>
    </row>
    <row r="630" spans="1:33" ht="18.75" customHeight="1">
      <c r="D630" s="1971" t="s">
        <v>1905</v>
      </c>
      <c r="E630" s="1972"/>
      <c r="F630" s="1972"/>
      <c r="G630" s="1972"/>
      <c r="H630" s="1972"/>
      <c r="I630" s="1972"/>
      <c r="J630" s="1972"/>
      <c r="K630" s="1972"/>
      <c r="L630" s="1972"/>
      <c r="M630" s="1973"/>
      <c r="N630" s="1970"/>
      <c r="O630" s="1967"/>
      <c r="P630" s="1967"/>
      <c r="Q630" s="1967"/>
      <c r="R630" s="1967"/>
      <c r="S630" s="1967"/>
      <c r="T630" s="1967"/>
      <c r="U630" s="1967"/>
      <c r="V630" s="1967"/>
      <c r="W630" s="1967"/>
      <c r="X630" s="1968"/>
      <c r="Y630" s="1969"/>
      <c r="Z630" s="1969"/>
      <c r="AA630" s="1969"/>
      <c r="AB630" s="1969"/>
      <c r="AC630" s="1969"/>
      <c r="AD630" s="1969"/>
      <c r="AE630" s="1969"/>
      <c r="AF630" s="1969"/>
      <c r="AG630" s="1970"/>
    </row>
    <row r="631" spans="1:33" ht="18.75" customHeight="1">
      <c r="D631" s="1971" t="s">
        <v>1906</v>
      </c>
      <c r="E631" s="1972"/>
      <c r="F631" s="1972"/>
      <c r="G631" s="1972"/>
      <c r="H631" s="1972"/>
      <c r="I631" s="1972"/>
      <c r="J631" s="1972"/>
      <c r="K631" s="1972"/>
      <c r="L631" s="1972"/>
      <c r="M631" s="1973"/>
      <c r="N631" s="1970"/>
      <c r="O631" s="1967"/>
      <c r="P631" s="1967"/>
      <c r="Q631" s="1967"/>
      <c r="R631" s="1967"/>
      <c r="S631" s="1967"/>
      <c r="T631" s="1967"/>
      <c r="U631" s="1967"/>
      <c r="V631" s="1967"/>
      <c r="W631" s="1967"/>
      <c r="X631" s="1968"/>
      <c r="Y631" s="1969"/>
      <c r="Z631" s="1969"/>
      <c r="AA631" s="1969"/>
      <c r="AB631" s="1969"/>
      <c r="AC631" s="1969"/>
      <c r="AD631" s="1969"/>
      <c r="AE631" s="1969"/>
      <c r="AF631" s="1969"/>
      <c r="AG631" s="1970"/>
    </row>
    <row r="632" spans="1:33" ht="18.75" customHeight="1">
      <c r="D632" s="2007" t="s">
        <v>1907</v>
      </c>
      <c r="E632" s="2008"/>
      <c r="F632" s="2008"/>
      <c r="G632" s="2008"/>
      <c r="H632" s="2008"/>
      <c r="I632" s="2008"/>
      <c r="J632" s="2008"/>
      <c r="K632" s="2008"/>
      <c r="L632" s="2008"/>
      <c r="M632" s="2009"/>
      <c r="N632" s="1976">
        <f>'Notes- SK Template'!N631</f>
        <v>7697</v>
      </c>
      <c r="O632" s="1794">
        <f>'Notes- SK Template'!O631</f>
        <v>0</v>
      </c>
      <c r="P632" s="1794">
        <f>'Notes- SK Template'!P631</f>
        <v>0</v>
      </c>
      <c r="Q632" s="1794">
        <f>'Notes- SK Template'!Q631</f>
        <v>0</v>
      </c>
      <c r="R632" s="1794">
        <f>'Notes- SK Template'!R631</f>
        <v>0</v>
      </c>
      <c r="S632" s="1794">
        <f>'Notes- SK Template'!S631</f>
        <v>0</v>
      </c>
      <c r="T632" s="1794">
        <f>'Notes- SK Template'!T631</f>
        <v>0</v>
      </c>
      <c r="U632" s="1794">
        <f>'Notes- SK Template'!U631</f>
        <v>0</v>
      </c>
      <c r="V632" s="1794">
        <f>'Notes- SK Template'!V631</f>
        <v>0</v>
      </c>
      <c r="W632" s="1794">
        <f>'Notes- SK Template'!W631</f>
        <v>0</v>
      </c>
      <c r="X632" s="1976">
        <f>'Notes- SK Template'!X631</f>
        <v>7019</v>
      </c>
      <c r="Y632" s="1794">
        <f>'Notes- SK Template'!Y631</f>
        <v>0</v>
      </c>
      <c r="Z632" s="1794">
        <f>'Notes- SK Template'!Z631</f>
        <v>0</v>
      </c>
      <c r="AA632" s="1794">
        <f>'Notes- SK Template'!AA631</f>
        <v>0</v>
      </c>
      <c r="AB632" s="1794">
        <f>'Notes- SK Template'!AB631</f>
        <v>0</v>
      </c>
      <c r="AC632" s="1794">
        <f>'Notes- SK Template'!AC631</f>
        <v>0</v>
      </c>
      <c r="AD632" s="1794">
        <f>'Notes- SK Template'!AD631</f>
        <v>0</v>
      </c>
      <c r="AE632" s="1794">
        <f>'Notes- SK Template'!AE631</f>
        <v>0</v>
      </c>
      <c r="AF632" s="1794">
        <f>'Notes- SK Template'!AF631</f>
        <v>0</v>
      </c>
      <c r="AG632" s="1794">
        <f>'Notes- SK Template'!AG631</f>
        <v>0</v>
      </c>
    </row>
    <row r="633" spans="1:33" ht="18.75" customHeight="1">
      <c r="D633" s="2007" t="s">
        <v>1908</v>
      </c>
      <c r="E633" s="2008"/>
      <c r="F633" s="2008"/>
      <c r="G633" s="2008"/>
      <c r="H633" s="2008"/>
      <c r="I633" s="2008"/>
      <c r="J633" s="2008"/>
      <c r="K633" s="2008"/>
      <c r="L633" s="2008"/>
      <c r="M633" s="2009"/>
      <c r="N633" s="1970">
        <f>'Notes- SK Template'!N632</f>
        <v>-11655</v>
      </c>
      <c r="O633" s="1967">
        <f>'Notes- SK Template'!O632</f>
        <v>0</v>
      </c>
      <c r="P633" s="1967">
        <f>'Notes- SK Template'!P632</f>
        <v>0</v>
      </c>
      <c r="Q633" s="1967">
        <f>'Notes- SK Template'!Q632</f>
        <v>0</v>
      </c>
      <c r="R633" s="1967">
        <f>'Notes- SK Template'!R632</f>
        <v>0</v>
      </c>
      <c r="S633" s="1967">
        <f>'Notes- SK Template'!S632</f>
        <v>0</v>
      </c>
      <c r="T633" s="1967">
        <f>'Notes- SK Template'!T632</f>
        <v>0</v>
      </c>
      <c r="U633" s="1967">
        <f>'Notes- SK Template'!U632</f>
        <v>0</v>
      </c>
      <c r="V633" s="1967">
        <f>'Notes- SK Template'!V632</f>
        <v>0</v>
      </c>
      <c r="W633" s="1967">
        <f>'Notes- SK Template'!W632</f>
        <v>0</v>
      </c>
      <c r="X633" s="1968">
        <f>'Notes- SK Template'!X632</f>
        <v>-12349</v>
      </c>
      <c r="Y633" s="1969">
        <f>'Notes- SK Template'!Y632</f>
        <v>0</v>
      </c>
      <c r="Z633" s="1969">
        <f>'Notes- SK Template'!Z632</f>
        <v>0</v>
      </c>
      <c r="AA633" s="1969">
        <f>'Notes- SK Template'!AA632</f>
        <v>0</v>
      </c>
      <c r="AB633" s="1969">
        <f>'Notes- SK Template'!AB632</f>
        <v>0</v>
      </c>
      <c r="AC633" s="1969">
        <f>'Notes- SK Template'!AC632</f>
        <v>0</v>
      </c>
      <c r="AD633" s="1969">
        <f>'Notes- SK Template'!AD632</f>
        <v>0</v>
      </c>
      <c r="AE633" s="1969">
        <f>'Notes- SK Template'!AE632</f>
        <v>0</v>
      </c>
      <c r="AF633" s="1969">
        <f>'Notes- SK Template'!AF632</f>
        <v>0</v>
      </c>
      <c r="AG633" s="1970">
        <f>'Notes- SK Template'!AG632</f>
        <v>0</v>
      </c>
    </row>
    <row r="634" spans="1:33" ht="18.75" customHeight="1" thickBot="1">
      <c r="D634" s="2010" t="s">
        <v>1909</v>
      </c>
      <c r="E634" s="2011"/>
      <c r="F634" s="2011"/>
      <c r="G634" s="2011"/>
      <c r="H634" s="2011"/>
      <c r="I634" s="2011"/>
      <c r="J634" s="2011"/>
      <c r="K634" s="2011"/>
      <c r="L634" s="2011"/>
      <c r="M634" s="2012"/>
      <c r="N634" s="2013">
        <f>'Notes- SK Template'!N633</f>
        <v>8969</v>
      </c>
      <c r="O634" s="2014">
        <f>'Notes- SK Template'!O633</f>
        <v>0</v>
      </c>
      <c r="P634" s="2014">
        <f>'Notes- SK Template'!P633</f>
        <v>0</v>
      </c>
      <c r="Q634" s="2014">
        <f>'Notes- SK Template'!Q633</f>
        <v>0</v>
      </c>
      <c r="R634" s="2014">
        <f>'Notes- SK Template'!R633</f>
        <v>0</v>
      </c>
      <c r="S634" s="2014">
        <f>'Notes- SK Template'!S633</f>
        <v>0</v>
      </c>
      <c r="T634" s="2014">
        <f>'Notes- SK Template'!T633</f>
        <v>0</v>
      </c>
      <c r="U634" s="2014">
        <f>'Notes- SK Template'!U633</f>
        <v>0</v>
      </c>
      <c r="V634" s="2014">
        <f>'Notes- SK Template'!V633</f>
        <v>0</v>
      </c>
      <c r="W634" s="2014">
        <f>'Notes- SK Template'!W633</f>
        <v>0</v>
      </c>
      <c r="X634" s="2013">
        <f>'Notes- SK Template'!X633</f>
        <v>12927</v>
      </c>
      <c r="Y634" s="2014">
        <f>'Notes- SK Template'!Y633</f>
        <v>0</v>
      </c>
      <c r="Z634" s="2014">
        <f>'Notes- SK Template'!Z633</f>
        <v>0</v>
      </c>
      <c r="AA634" s="2014">
        <f>'Notes- SK Template'!AA633</f>
        <v>0</v>
      </c>
      <c r="AB634" s="2014">
        <f>'Notes- SK Template'!AB633</f>
        <v>0</v>
      </c>
      <c r="AC634" s="2014">
        <f>'Notes- SK Template'!AC633</f>
        <v>0</v>
      </c>
      <c r="AD634" s="2014">
        <f>'Notes- SK Template'!AD633</f>
        <v>0</v>
      </c>
      <c r="AE634" s="2014">
        <f>'Notes- SK Template'!AE633</f>
        <v>0</v>
      </c>
      <c r="AF634" s="2014">
        <f>'Notes- SK Template'!AF633</f>
        <v>0</v>
      </c>
      <c r="AG634" s="2014">
        <f>'Notes- SK Template'!AG633</f>
        <v>0</v>
      </c>
    </row>
    <row r="637" spans="1:33" ht="14.25" customHeight="1">
      <c r="D637" s="582" t="s">
        <v>2980</v>
      </c>
    </row>
    <row r="639" spans="1:33" ht="14.25" customHeight="1">
      <c r="D639" s="2005" t="s">
        <v>1910</v>
      </c>
      <c r="E639" s="2006"/>
      <c r="F639" s="2006"/>
      <c r="G639" s="2006"/>
      <c r="H639" s="2006"/>
      <c r="I639" s="2006"/>
      <c r="J639" s="2006"/>
      <c r="K639" s="2006"/>
      <c r="L639" s="2006"/>
      <c r="M639" s="2006"/>
      <c r="N639" s="2006"/>
      <c r="O639" s="2006"/>
      <c r="P639" s="2006"/>
      <c r="Q639" s="2006"/>
      <c r="R639" s="2006"/>
      <c r="S639" s="2006"/>
      <c r="T639" s="2006"/>
      <c r="U639" s="2006"/>
      <c r="V639" s="2006"/>
      <c r="W639" s="2006"/>
      <c r="X639" s="2006"/>
      <c r="Y639" s="2006"/>
      <c r="Z639" s="2006"/>
      <c r="AA639" s="2006"/>
      <c r="AB639" s="2006"/>
      <c r="AC639" s="2006"/>
      <c r="AD639" s="2006"/>
      <c r="AE639" s="2006"/>
      <c r="AF639" s="2006"/>
      <c r="AG639" s="2006"/>
    </row>
    <row r="640" spans="1:33" ht="14.25" customHeight="1" thickBot="1"/>
    <row r="641" spans="1:33" ht="72" customHeight="1" thickBot="1">
      <c r="A641" s="597" t="s">
        <v>1376</v>
      </c>
      <c r="C641" s="919"/>
      <c r="D641" s="1851" t="s">
        <v>1739</v>
      </c>
      <c r="E641" s="1851"/>
      <c r="F641" s="1851"/>
      <c r="G641" s="1851"/>
      <c r="H641" s="1851"/>
      <c r="I641" s="1851"/>
      <c r="J641" s="1851"/>
      <c r="K641" s="1851" t="s">
        <v>1911</v>
      </c>
      <c r="L641" s="1851"/>
      <c r="M641" s="1851"/>
      <c r="N641" s="1851" t="s">
        <v>1912</v>
      </c>
      <c r="O641" s="1851"/>
      <c r="P641" s="1851"/>
      <c r="Q641" s="1851"/>
      <c r="R641" s="1851" t="s">
        <v>1913</v>
      </c>
      <c r="S641" s="1851"/>
      <c r="T641" s="1851"/>
      <c r="U641" s="1851"/>
      <c r="V641" s="2042" t="s">
        <v>1914</v>
      </c>
      <c r="W641" s="2043"/>
      <c r="X641" s="2043" t="s">
        <v>1914</v>
      </c>
      <c r="Y641" s="2043"/>
      <c r="Z641" s="2042" t="s">
        <v>1916</v>
      </c>
      <c r="AA641" s="2043" t="s">
        <v>1916</v>
      </c>
      <c r="AB641" s="2043"/>
      <c r="AC641" s="2044"/>
      <c r="AD641" s="1851" t="s">
        <v>1915</v>
      </c>
      <c r="AE641" s="1851"/>
      <c r="AF641" s="1851"/>
      <c r="AG641" s="1851"/>
    </row>
    <row r="642" spans="1:33" ht="14.25" customHeight="1" thickBot="1">
      <c r="C642" s="919"/>
      <c r="D642" s="2015" t="s">
        <v>1917</v>
      </c>
      <c r="E642" s="2015"/>
      <c r="F642" s="2015"/>
      <c r="G642" s="2015"/>
      <c r="H642" s="2015"/>
      <c r="I642" s="2015"/>
      <c r="J642" s="2015"/>
      <c r="K642" s="2015"/>
      <c r="L642" s="2015"/>
      <c r="M642" s="2015"/>
      <c r="N642" s="2015"/>
      <c r="O642" s="2015"/>
      <c r="P642" s="2015"/>
      <c r="Q642" s="2015"/>
      <c r="R642" s="2015"/>
      <c r="S642" s="2015"/>
      <c r="T642" s="2015"/>
      <c r="U642" s="2015"/>
      <c r="V642" s="2015"/>
      <c r="W642" s="2015"/>
      <c r="X642" s="2015"/>
      <c r="Y642" s="2015"/>
      <c r="Z642" s="2015"/>
      <c r="AA642" s="2015"/>
      <c r="AB642" s="2015"/>
      <c r="AC642" s="2015"/>
      <c r="AD642" s="2015"/>
      <c r="AE642" s="2015"/>
      <c r="AF642" s="2015"/>
      <c r="AG642" s="2015"/>
    </row>
    <row r="643" spans="1:33" ht="14.25" customHeight="1" thickBot="1">
      <c r="C643" s="919"/>
      <c r="D643" s="2196"/>
      <c r="E643" s="2196"/>
      <c r="F643" s="2196"/>
      <c r="G643" s="2196"/>
      <c r="H643" s="2196"/>
      <c r="I643" s="2196"/>
      <c r="J643" s="2196"/>
      <c r="K643" s="2196"/>
      <c r="L643" s="2196"/>
      <c r="M643" s="2196"/>
      <c r="N643" s="2045"/>
      <c r="O643" s="2046"/>
      <c r="P643" s="2046"/>
      <c r="Q643" s="2046"/>
      <c r="R643" s="2047"/>
      <c r="S643" s="2047"/>
      <c r="T643" s="2047"/>
      <c r="U643" s="2047"/>
      <c r="V643" s="2331"/>
      <c r="W643" s="2332"/>
      <c r="X643" s="2332"/>
      <c r="Y643" s="2333"/>
      <c r="Z643" s="2331"/>
      <c r="AA643" s="2332"/>
      <c r="AB643" s="2332"/>
      <c r="AC643" s="2333"/>
      <c r="AD643" s="2332"/>
      <c r="AE643" s="2332"/>
      <c r="AF643" s="2332"/>
      <c r="AG643" s="2679"/>
    </row>
    <row r="644" spans="1:33" ht="14.25" customHeight="1" thickBot="1">
      <c r="C644" s="919"/>
      <c r="D644" s="2015" t="s">
        <v>1994</v>
      </c>
      <c r="E644" s="2015"/>
      <c r="F644" s="2015"/>
      <c r="G644" s="2015"/>
      <c r="H644" s="2015"/>
      <c r="I644" s="2015"/>
      <c r="J644" s="2015"/>
      <c r="K644" s="2015"/>
      <c r="L644" s="2015"/>
      <c r="M644" s="2015"/>
      <c r="N644" s="2015"/>
      <c r="O644" s="2015"/>
      <c r="P644" s="2015"/>
      <c r="Q644" s="2015"/>
      <c r="R644" s="2015"/>
      <c r="S644" s="2015"/>
      <c r="T644" s="2015"/>
      <c r="U644" s="2015"/>
      <c r="V644" s="2015"/>
      <c r="W644" s="2015"/>
      <c r="X644" s="2015"/>
      <c r="Y644" s="2015"/>
      <c r="Z644" s="2015"/>
      <c r="AA644" s="2015"/>
      <c r="AB644" s="2015"/>
      <c r="AC644" s="2015"/>
      <c r="AD644" s="2015"/>
      <c r="AE644" s="2015"/>
      <c r="AF644" s="2015"/>
      <c r="AG644" s="2015"/>
    </row>
    <row r="645" spans="1:33" ht="14.25" customHeight="1">
      <c r="C645" s="919"/>
      <c r="D645" s="2606" t="s">
        <v>2837</v>
      </c>
      <c r="E645" s="2607">
        <v>0</v>
      </c>
      <c r="F645" s="2607">
        <v>0</v>
      </c>
      <c r="G645" s="2607">
        <v>0</v>
      </c>
      <c r="H645" s="2607">
        <v>0</v>
      </c>
      <c r="I645" s="2607">
        <v>0</v>
      </c>
      <c r="J645" s="2608">
        <v>0</v>
      </c>
      <c r="K645" s="2609" t="str">
        <f>'Notes- SK Template'!K644</f>
        <v>EUR</v>
      </c>
      <c r="L645" s="2607">
        <f>'Notes- SK Template'!L644</f>
        <v>0</v>
      </c>
      <c r="M645" s="2608">
        <f>'Notes- SK Template'!M644</f>
        <v>0</v>
      </c>
      <c r="N645" s="2610" t="str">
        <f>'Notes- SK Template'!N644</f>
        <v xml:space="preserve"> -</v>
      </c>
      <c r="O645" s="2611">
        <f>'Notes- SK Template'!O644</f>
        <v>0</v>
      </c>
      <c r="P645" s="2611">
        <f>'Notes- SK Template'!P644</f>
        <v>0</v>
      </c>
      <c r="Q645" s="2612">
        <f>'Notes- SK Template'!Q644</f>
        <v>0</v>
      </c>
      <c r="R645" s="2613" t="str">
        <f>'Notes- SK Template'!R644</f>
        <v xml:space="preserve"> -</v>
      </c>
      <c r="S645" s="2046">
        <f>'Notes- SK Template'!S644</f>
        <v>0</v>
      </c>
      <c r="T645" s="2046">
        <f>'Notes- SK Template'!T644</f>
        <v>0</v>
      </c>
      <c r="U645" s="2614">
        <f>'Notes- SK Template'!U644</f>
        <v>0</v>
      </c>
      <c r="V645" s="2331">
        <f>'Notes- SK Template'!V644</f>
        <v>1278</v>
      </c>
      <c r="W645" s="2332">
        <f>'Notes- SK Template'!W644</f>
        <v>0</v>
      </c>
      <c r="X645" s="2332">
        <f>'Notes- SK Template'!X644</f>
        <v>0</v>
      </c>
      <c r="Y645" s="2333">
        <f>'Notes- SK Template'!Y644</f>
        <v>0</v>
      </c>
      <c r="Z645" s="2331">
        <f>'Notes- SK Template'!Z644</f>
        <v>1278</v>
      </c>
      <c r="AA645" s="2332">
        <f>'Notes- SK Template'!AA644</f>
        <v>0</v>
      </c>
      <c r="AB645" s="2332">
        <f>'Notes- SK Template'!AB644</f>
        <v>0</v>
      </c>
      <c r="AC645" s="2333">
        <f>'Notes- SK Template'!AC644</f>
        <v>0</v>
      </c>
      <c r="AD645" s="2331">
        <f>'Notes- SK Template'!AD644</f>
        <v>4286</v>
      </c>
      <c r="AE645" s="2332">
        <f>'Notes- SK Template'!AE644</f>
        <v>0</v>
      </c>
      <c r="AF645" s="2332">
        <f>'Notes- SK Template'!AF644</f>
        <v>0</v>
      </c>
      <c r="AG645" s="2679">
        <f>'Notes- SK Template'!AG644</f>
        <v>0</v>
      </c>
    </row>
    <row r="647" spans="1:33" ht="14.25" customHeight="1">
      <c r="D647" s="582" t="s">
        <v>2981</v>
      </c>
    </row>
    <row r="649" spans="1:33" ht="14.25" customHeight="1">
      <c r="D649" s="2005" t="s">
        <v>1918</v>
      </c>
      <c r="E649" s="2006"/>
      <c r="F649" s="2006"/>
      <c r="G649" s="2006"/>
      <c r="H649" s="2006"/>
      <c r="I649" s="2006"/>
      <c r="J649" s="2006"/>
      <c r="K649" s="2006"/>
      <c r="L649" s="2006"/>
      <c r="M649" s="2006"/>
      <c r="N649" s="2006"/>
      <c r="O649" s="2006"/>
      <c r="P649" s="2006"/>
      <c r="Q649" s="2006"/>
      <c r="R649" s="2006"/>
      <c r="S649" s="2006"/>
      <c r="T649" s="2006"/>
      <c r="U649" s="2006"/>
      <c r="V649" s="2006"/>
      <c r="W649" s="2006"/>
      <c r="X649" s="2006"/>
      <c r="Y649" s="2006"/>
      <c r="Z649" s="2006"/>
      <c r="AA649" s="2006"/>
      <c r="AB649" s="2006"/>
      <c r="AC649" s="2006"/>
      <c r="AD649" s="2006"/>
      <c r="AE649" s="2006"/>
      <c r="AF649" s="2006"/>
      <c r="AG649" s="2006"/>
    </row>
    <row r="650" spans="1:33" ht="14.25" customHeight="1" thickBot="1"/>
    <row r="651" spans="1:33" ht="27.25" customHeight="1" thickBot="1">
      <c r="A651" s="597">
        <v>31</v>
      </c>
      <c r="D651" s="2193" t="s">
        <v>1739</v>
      </c>
      <c r="E651" s="2193"/>
      <c r="F651" s="2193"/>
      <c r="G651" s="2193"/>
      <c r="H651" s="2193"/>
      <c r="I651" s="2193"/>
      <c r="J651" s="2193"/>
      <c r="K651" s="2193"/>
      <c r="L651" s="2193"/>
      <c r="M651" s="2193"/>
      <c r="N651" s="2193" t="s">
        <v>1740</v>
      </c>
      <c r="O651" s="2193"/>
      <c r="P651" s="2193"/>
      <c r="Q651" s="2193"/>
      <c r="R651" s="2193"/>
      <c r="S651" s="2193"/>
      <c r="T651" s="2193"/>
      <c r="U651" s="2193"/>
      <c r="V651" s="2193"/>
      <c r="W651" s="2193"/>
      <c r="X651" s="2193" t="s">
        <v>1858</v>
      </c>
      <c r="Y651" s="2193"/>
      <c r="Z651" s="2193"/>
      <c r="AA651" s="2193"/>
      <c r="AB651" s="2193"/>
      <c r="AC651" s="2193"/>
      <c r="AD651" s="2193"/>
      <c r="AE651" s="2193"/>
      <c r="AF651" s="2193"/>
      <c r="AG651" s="2193"/>
    </row>
    <row r="652" spans="1:33" ht="27.25" customHeight="1" thickBot="1">
      <c r="D652" s="1995" t="s">
        <v>1919</v>
      </c>
      <c r="E652" s="1995"/>
      <c r="F652" s="1995"/>
      <c r="G652" s="1995"/>
      <c r="H652" s="1995"/>
      <c r="I652" s="1995"/>
      <c r="J652" s="1995"/>
      <c r="K652" s="1995"/>
      <c r="L652" s="1995"/>
      <c r="M652" s="1995"/>
      <c r="N652" s="1895">
        <f>'Notes- SK Template'!N652</f>
        <v>0</v>
      </c>
      <c r="O652" s="1895">
        <f>'Notes- SK Template'!O652</f>
        <v>0</v>
      </c>
      <c r="P652" s="1895">
        <f>'Notes- SK Template'!P652</f>
        <v>0</v>
      </c>
      <c r="Q652" s="1895">
        <f>'Notes- SK Template'!Q652</f>
        <v>0</v>
      </c>
      <c r="R652" s="1895">
        <f>'Notes- SK Template'!R652</f>
        <v>0</v>
      </c>
      <c r="S652" s="1895">
        <f>'Notes- SK Template'!S652</f>
        <v>0</v>
      </c>
      <c r="T652" s="1895">
        <f>'Notes- SK Template'!T652</f>
        <v>0</v>
      </c>
      <c r="U652" s="1895">
        <f>'Notes- SK Template'!U652</f>
        <v>0</v>
      </c>
      <c r="V652" s="1895">
        <f>'Notes- SK Template'!V652</f>
        <v>0</v>
      </c>
      <c r="W652" s="1895">
        <f>'Notes- SK Template'!W652</f>
        <v>0</v>
      </c>
      <c r="X652" s="1895">
        <f>'Notes- SK Template'!X652</f>
        <v>0</v>
      </c>
      <c r="Y652" s="1895">
        <f>'Notes- SK Template'!Y652</f>
        <v>0</v>
      </c>
      <c r="Z652" s="1895">
        <f>'Notes- SK Template'!Z652</f>
        <v>0</v>
      </c>
      <c r="AA652" s="1895">
        <f>'Notes- SK Template'!AA652</f>
        <v>0</v>
      </c>
      <c r="AB652" s="1895">
        <f>'Notes- SK Template'!AB652</f>
        <v>0</v>
      </c>
      <c r="AC652" s="1895">
        <f>'Notes- SK Template'!AC652</f>
        <v>0</v>
      </c>
      <c r="AD652" s="1895">
        <f>'Notes- SK Template'!AD652</f>
        <v>0</v>
      </c>
      <c r="AE652" s="1895">
        <f>'Notes- SK Template'!AE652</f>
        <v>0</v>
      </c>
      <c r="AF652" s="1895">
        <f>'Notes- SK Template'!AF652</f>
        <v>0</v>
      </c>
      <c r="AG652" s="1895">
        <f>'Notes- SK Template'!AG652</f>
        <v>0</v>
      </c>
    </row>
    <row r="653" spans="1:33" ht="25.5" customHeight="1" thickBot="1">
      <c r="D653" s="2605"/>
      <c r="E653" s="2605"/>
      <c r="F653" s="2605"/>
      <c r="G653" s="2605"/>
      <c r="H653" s="2605"/>
      <c r="I653" s="2605"/>
      <c r="J653" s="2605"/>
      <c r="K653" s="2605"/>
      <c r="L653" s="2605"/>
      <c r="M653" s="2605"/>
      <c r="N653" s="2052"/>
      <c r="O653" s="2052"/>
      <c r="P653" s="2052"/>
      <c r="Q653" s="2052"/>
      <c r="R653" s="2052"/>
      <c r="S653" s="2052"/>
      <c r="T653" s="2052"/>
      <c r="U653" s="2052"/>
      <c r="V653" s="2052"/>
      <c r="W653" s="2052"/>
      <c r="X653" s="2052"/>
      <c r="Y653" s="2052"/>
      <c r="Z653" s="2052"/>
      <c r="AA653" s="2052"/>
      <c r="AB653" s="2052"/>
      <c r="AC653" s="2052"/>
      <c r="AD653" s="2052"/>
      <c r="AE653" s="2052"/>
      <c r="AF653" s="2052"/>
      <c r="AG653" s="2052"/>
    </row>
    <row r="654" spans="1:33" ht="27.25" customHeight="1" thickBot="1">
      <c r="D654" s="1995" t="s">
        <v>1920</v>
      </c>
      <c r="E654" s="1995"/>
      <c r="F654" s="1995"/>
      <c r="G654" s="1995"/>
      <c r="H654" s="1995"/>
      <c r="I654" s="1995"/>
      <c r="J654" s="1995"/>
      <c r="K654" s="1995"/>
      <c r="L654" s="1995"/>
      <c r="M654" s="1995"/>
      <c r="N654" s="1895">
        <f>'Notes- SK Template'!N654</f>
        <v>0</v>
      </c>
      <c r="O654" s="1895">
        <f>'Notes- SK Template'!O654</f>
        <v>0</v>
      </c>
      <c r="P654" s="1895">
        <f>'Notes- SK Template'!P654</f>
        <v>0</v>
      </c>
      <c r="Q654" s="1895">
        <f>'Notes- SK Template'!Q654</f>
        <v>0</v>
      </c>
      <c r="R654" s="1895">
        <f>'Notes- SK Template'!R654</f>
        <v>0</v>
      </c>
      <c r="S654" s="1895">
        <f>'Notes- SK Template'!S654</f>
        <v>0</v>
      </c>
      <c r="T654" s="1895">
        <f>'Notes- SK Template'!T654</f>
        <v>0</v>
      </c>
      <c r="U654" s="1895">
        <f>'Notes- SK Template'!U654</f>
        <v>0</v>
      </c>
      <c r="V654" s="1895">
        <f>'Notes- SK Template'!V654</f>
        <v>0</v>
      </c>
      <c r="W654" s="1895">
        <f>'Notes- SK Template'!W654</f>
        <v>0</v>
      </c>
      <c r="X654" s="1895">
        <f>'Notes- SK Template'!X654</f>
        <v>0</v>
      </c>
      <c r="Y654" s="1895">
        <f>'Notes- SK Template'!Y654</f>
        <v>0</v>
      </c>
      <c r="Z654" s="1895">
        <f>'Notes- SK Template'!Z654</f>
        <v>0</v>
      </c>
      <c r="AA654" s="1895">
        <f>'Notes- SK Template'!AA654</f>
        <v>0</v>
      </c>
      <c r="AB654" s="1895">
        <f>'Notes- SK Template'!AB654</f>
        <v>0</v>
      </c>
      <c r="AC654" s="1895">
        <f>'Notes- SK Template'!AC654</f>
        <v>0</v>
      </c>
      <c r="AD654" s="1895">
        <f>'Notes- SK Template'!AD654</f>
        <v>0</v>
      </c>
      <c r="AE654" s="1895">
        <f>'Notes- SK Template'!AE654</f>
        <v>0</v>
      </c>
      <c r="AF654" s="1895">
        <f>'Notes- SK Template'!AF654</f>
        <v>0</v>
      </c>
      <c r="AG654" s="1895">
        <f>'Notes- SK Template'!AG654</f>
        <v>0</v>
      </c>
    </row>
    <row r="655" spans="1:33" ht="25.5" customHeight="1" thickBot="1">
      <c r="D655" s="2605"/>
      <c r="E655" s="2605"/>
      <c r="F655" s="2605"/>
      <c r="G655" s="2605"/>
      <c r="H655" s="2605"/>
      <c r="I655" s="2605"/>
      <c r="J655" s="2605"/>
      <c r="K655" s="2605"/>
      <c r="L655" s="2605"/>
      <c r="M655" s="2605"/>
      <c r="N655" s="2052"/>
      <c r="O655" s="2052"/>
      <c r="P655" s="2052"/>
      <c r="Q655" s="2052"/>
      <c r="R655" s="2052"/>
      <c r="S655" s="2052"/>
      <c r="T655" s="2052"/>
      <c r="U655" s="2052"/>
      <c r="V655" s="2052"/>
      <c r="W655" s="2052"/>
      <c r="X655" s="2052"/>
      <c r="Y655" s="2052"/>
      <c r="Z655" s="2052"/>
      <c r="AA655" s="2052"/>
      <c r="AB655" s="2052"/>
      <c r="AC655" s="2052"/>
      <c r="AD655" s="2052"/>
      <c r="AE655" s="2052"/>
      <c r="AF655" s="2052"/>
      <c r="AG655" s="2052"/>
    </row>
    <row r="656" spans="1:33" ht="27.25" customHeight="1" thickBot="1">
      <c r="D656" s="1995" t="s">
        <v>1921</v>
      </c>
      <c r="E656" s="1995"/>
      <c r="F656" s="1995"/>
      <c r="G656" s="1995"/>
      <c r="H656" s="1995"/>
      <c r="I656" s="1995"/>
      <c r="J656" s="1995"/>
      <c r="K656" s="1995"/>
      <c r="L656" s="1995"/>
      <c r="M656" s="1995"/>
      <c r="N656" s="1895">
        <f>'Notes- SK Template'!N656</f>
        <v>0</v>
      </c>
      <c r="O656" s="1895">
        <f>'Notes- SK Template'!O656</f>
        <v>0</v>
      </c>
      <c r="P656" s="1895">
        <f>'Notes- SK Template'!P656</f>
        <v>0</v>
      </c>
      <c r="Q656" s="1895">
        <f>'Notes- SK Template'!Q656</f>
        <v>0</v>
      </c>
      <c r="R656" s="1895">
        <f>'Notes- SK Template'!R656</f>
        <v>0</v>
      </c>
      <c r="S656" s="1895">
        <f>'Notes- SK Template'!S656</f>
        <v>0</v>
      </c>
      <c r="T656" s="1895">
        <f>'Notes- SK Template'!T656</f>
        <v>0</v>
      </c>
      <c r="U656" s="1895">
        <f>'Notes- SK Template'!U656</f>
        <v>0</v>
      </c>
      <c r="V656" s="1895">
        <f>'Notes- SK Template'!V656</f>
        <v>0</v>
      </c>
      <c r="W656" s="1895">
        <f>'Notes- SK Template'!W656</f>
        <v>0</v>
      </c>
      <c r="X656" s="1895">
        <f>'Notes- SK Template'!X656</f>
        <v>0</v>
      </c>
      <c r="Y656" s="1895">
        <f>'Notes- SK Template'!Y656</f>
        <v>0</v>
      </c>
      <c r="Z656" s="1895">
        <f>'Notes- SK Template'!Z656</f>
        <v>0</v>
      </c>
      <c r="AA656" s="1895">
        <f>'Notes- SK Template'!AA656</f>
        <v>0</v>
      </c>
      <c r="AB656" s="1895">
        <f>'Notes- SK Template'!AB656</f>
        <v>0</v>
      </c>
      <c r="AC656" s="1895">
        <f>'Notes- SK Template'!AC656</f>
        <v>0</v>
      </c>
      <c r="AD656" s="1895">
        <f>'Notes- SK Template'!AD656</f>
        <v>0</v>
      </c>
      <c r="AE656" s="1895">
        <f>'Notes- SK Template'!AE656</f>
        <v>0</v>
      </c>
      <c r="AF656" s="1895">
        <f>'Notes- SK Template'!AF656</f>
        <v>0</v>
      </c>
      <c r="AG656" s="1895">
        <f>'Notes- SK Template'!AG656</f>
        <v>0</v>
      </c>
    </row>
    <row r="657" spans="4:33" ht="25.5" customHeight="1" thickBot="1">
      <c r="D657" s="2605"/>
      <c r="E657" s="2605"/>
      <c r="F657" s="2605"/>
      <c r="G657" s="2605"/>
      <c r="H657" s="2605"/>
      <c r="I657" s="2605"/>
      <c r="J657" s="2605"/>
      <c r="K657" s="2605"/>
      <c r="L657" s="2605"/>
      <c r="M657" s="2605"/>
      <c r="N657" s="2052"/>
      <c r="O657" s="2052"/>
      <c r="P657" s="2052"/>
      <c r="Q657" s="2052"/>
      <c r="R657" s="2052"/>
      <c r="S657" s="2052"/>
      <c r="T657" s="2052"/>
      <c r="U657" s="2052"/>
      <c r="V657" s="2052"/>
      <c r="W657" s="2052"/>
      <c r="X657" s="2052"/>
      <c r="Y657" s="2052"/>
      <c r="Z657" s="2052"/>
      <c r="AA657" s="2052"/>
      <c r="AB657" s="2052"/>
      <c r="AC657" s="2052"/>
      <c r="AD657" s="2052"/>
      <c r="AE657" s="2052"/>
      <c r="AF657" s="2052"/>
      <c r="AG657" s="2052"/>
    </row>
    <row r="658" spans="4:33" ht="27.25" customHeight="1" thickBot="1">
      <c r="D658" s="1995" t="s">
        <v>1922</v>
      </c>
      <c r="E658" s="1995"/>
      <c r="F658" s="1995"/>
      <c r="G658" s="1995"/>
      <c r="H658" s="1995"/>
      <c r="I658" s="1995"/>
      <c r="J658" s="1995"/>
      <c r="K658" s="1995"/>
      <c r="L658" s="1995"/>
      <c r="M658" s="1995"/>
      <c r="N658" s="1895">
        <f>'Notes- SK Template'!N658</f>
        <v>0</v>
      </c>
      <c r="O658" s="1895">
        <f>'Notes- SK Template'!O658</f>
        <v>0</v>
      </c>
      <c r="P658" s="1895">
        <f>'Notes- SK Template'!P658</f>
        <v>0</v>
      </c>
      <c r="Q658" s="1895">
        <f>'Notes- SK Template'!Q658</f>
        <v>0</v>
      </c>
      <c r="R658" s="1895">
        <f>'Notes- SK Template'!R658</f>
        <v>0</v>
      </c>
      <c r="S658" s="1895">
        <f>'Notes- SK Template'!S658</f>
        <v>0</v>
      </c>
      <c r="T658" s="1895">
        <f>'Notes- SK Template'!T658</f>
        <v>0</v>
      </c>
      <c r="U658" s="1895">
        <f>'Notes- SK Template'!U658</f>
        <v>0</v>
      </c>
      <c r="V658" s="1895">
        <f>'Notes- SK Template'!V658</f>
        <v>0</v>
      </c>
      <c r="W658" s="1895">
        <f>'Notes- SK Template'!W658</f>
        <v>0</v>
      </c>
      <c r="X658" s="1895">
        <f>'Notes- SK Template'!X658</f>
        <v>0</v>
      </c>
      <c r="Y658" s="1895">
        <f>'Notes- SK Template'!Y658</f>
        <v>0</v>
      </c>
      <c r="Z658" s="1895">
        <f>'Notes- SK Template'!Z658</f>
        <v>0</v>
      </c>
      <c r="AA658" s="1895">
        <f>'Notes- SK Template'!AA658</f>
        <v>0</v>
      </c>
      <c r="AB658" s="1895">
        <f>'Notes- SK Template'!AB658</f>
        <v>0</v>
      </c>
      <c r="AC658" s="1895">
        <f>'Notes- SK Template'!AC658</f>
        <v>0</v>
      </c>
      <c r="AD658" s="1895">
        <f>'Notes- SK Template'!AD658</f>
        <v>0</v>
      </c>
      <c r="AE658" s="1895">
        <f>'Notes- SK Template'!AE658</f>
        <v>0</v>
      </c>
      <c r="AF658" s="1895">
        <f>'Notes- SK Template'!AF658</f>
        <v>0</v>
      </c>
      <c r="AG658" s="1895">
        <f>'Notes- SK Template'!AG658</f>
        <v>0</v>
      </c>
    </row>
    <row r="659" spans="4:33" ht="25.5" customHeight="1">
      <c r="D659" s="2605"/>
      <c r="E659" s="2605"/>
      <c r="F659" s="2605"/>
      <c r="G659" s="2605"/>
      <c r="H659" s="2605"/>
      <c r="I659" s="2605"/>
      <c r="J659" s="2605"/>
      <c r="K659" s="2605"/>
      <c r="L659" s="2605"/>
      <c r="M659" s="2605"/>
      <c r="N659" s="2052"/>
      <c r="O659" s="2052"/>
      <c r="P659" s="2052"/>
      <c r="Q659" s="2052"/>
      <c r="R659" s="2052"/>
      <c r="S659" s="2052"/>
      <c r="T659" s="2052"/>
      <c r="U659" s="2052"/>
      <c r="V659" s="2052"/>
      <c r="W659" s="2052"/>
      <c r="X659" s="2052">
        <f>'Notes- SK Template'!X659</f>
        <v>0</v>
      </c>
      <c r="Y659" s="2052">
        <f>'Notes- SK Template'!Y659</f>
        <v>0</v>
      </c>
      <c r="Z659" s="2052">
        <f>'Notes- SK Template'!Z659</f>
        <v>0</v>
      </c>
      <c r="AA659" s="2052">
        <f>'Notes- SK Template'!AA659</f>
        <v>0</v>
      </c>
      <c r="AB659" s="2052">
        <f>'Notes- SK Template'!AB659</f>
        <v>0</v>
      </c>
      <c r="AC659" s="2052">
        <f>'Notes- SK Template'!AC659</f>
        <v>0</v>
      </c>
      <c r="AD659" s="2052">
        <f>'Notes- SK Template'!AD659</f>
        <v>0</v>
      </c>
      <c r="AE659" s="2052">
        <f>'Notes- SK Template'!AE659</f>
        <v>0</v>
      </c>
      <c r="AF659" s="2052">
        <f>'Notes- SK Template'!AF659</f>
        <v>0</v>
      </c>
      <c r="AG659" s="2052">
        <f>'Notes- SK Template'!AG659</f>
        <v>0</v>
      </c>
    </row>
    <row r="661" spans="4:33" ht="14.25" customHeight="1">
      <c r="D661" s="582" t="s">
        <v>2982</v>
      </c>
    </row>
    <row r="663" spans="4:33" ht="14.25" customHeight="1">
      <c r="D663" s="2100" t="s">
        <v>2813</v>
      </c>
      <c r="E663" s="2101"/>
      <c r="F663" s="2101"/>
      <c r="G663" s="2101"/>
      <c r="H663" s="2101"/>
      <c r="I663" s="2101"/>
      <c r="J663" s="2101"/>
      <c r="K663" s="2101"/>
      <c r="L663" s="2101"/>
      <c r="M663" s="2101"/>
      <c r="N663" s="2101"/>
      <c r="O663" s="2101"/>
      <c r="P663" s="2101"/>
      <c r="Q663" s="2101"/>
      <c r="R663" s="2101"/>
      <c r="S663" s="2101"/>
      <c r="T663" s="2101"/>
      <c r="U663" s="2101"/>
      <c r="V663" s="2101"/>
      <c r="W663" s="2101"/>
      <c r="X663" s="2101"/>
      <c r="Y663" s="2101"/>
      <c r="Z663" s="2101"/>
      <c r="AA663" s="2101"/>
      <c r="AB663" s="2101"/>
      <c r="AC663" s="2101"/>
      <c r="AD663" s="2101"/>
      <c r="AE663" s="2101"/>
      <c r="AF663" s="2101"/>
      <c r="AG663" s="2101"/>
    </row>
    <row r="665" spans="4:33" ht="14.25" customHeight="1">
      <c r="D665" s="582" t="s">
        <v>2983</v>
      </c>
    </row>
    <row r="667" spans="4:33" ht="14.25" customHeight="1">
      <c r="D667" s="2005" t="s">
        <v>2859</v>
      </c>
      <c r="E667" s="2006"/>
      <c r="F667" s="2006"/>
      <c r="G667" s="2006"/>
      <c r="H667" s="2006"/>
      <c r="I667" s="2006"/>
      <c r="J667" s="2006"/>
      <c r="K667" s="2006"/>
      <c r="L667" s="2006"/>
      <c r="M667" s="2006"/>
      <c r="N667" s="2006"/>
      <c r="O667" s="2006"/>
      <c r="P667" s="2006"/>
      <c r="Q667" s="2006"/>
      <c r="R667" s="2006"/>
      <c r="S667" s="2006"/>
      <c r="T667" s="2006"/>
      <c r="U667" s="2006"/>
      <c r="V667" s="2006"/>
      <c r="W667" s="2006"/>
      <c r="X667" s="2006"/>
      <c r="Y667" s="2006"/>
      <c r="Z667" s="2006"/>
      <c r="AA667" s="2006"/>
      <c r="AB667" s="2006"/>
      <c r="AC667" s="2006"/>
      <c r="AD667" s="2006"/>
      <c r="AE667" s="2006"/>
      <c r="AF667" s="2006"/>
      <c r="AG667" s="2006"/>
    </row>
    <row r="669" spans="4:33" ht="14.25" customHeight="1">
      <c r="D669" s="582" t="s">
        <v>2984</v>
      </c>
    </row>
    <row r="671" spans="4:33" ht="26.25" customHeight="1">
      <c r="D671" s="2126" t="s">
        <v>2951</v>
      </c>
      <c r="E671" s="2197"/>
      <c r="F671" s="2197"/>
      <c r="G671" s="2197"/>
      <c r="H671" s="2197"/>
      <c r="I671" s="2197"/>
      <c r="J671" s="2197"/>
      <c r="K671" s="2197"/>
      <c r="L671" s="2197"/>
      <c r="M671" s="2197"/>
      <c r="N671" s="2197"/>
      <c r="O671" s="2197"/>
      <c r="P671" s="2197"/>
      <c r="Q671" s="2197"/>
      <c r="R671" s="2197"/>
      <c r="S671" s="2197"/>
      <c r="T671" s="2197"/>
      <c r="U671" s="2197"/>
      <c r="V671" s="2197"/>
      <c r="W671" s="2197"/>
      <c r="X671" s="2197"/>
      <c r="Y671" s="2197"/>
      <c r="Z671" s="2197"/>
      <c r="AA671" s="2197"/>
      <c r="AB671" s="2197"/>
      <c r="AC671" s="2197"/>
      <c r="AD671" s="2197"/>
      <c r="AE671" s="2197"/>
      <c r="AF671" s="2197"/>
      <c r="AG671" s="2197"/>
    </row>
    <row r="672" spans="4:33" ht="14.25" customHeight="1">
      <c r="D672" s="908"/>
    </row>
    <row r="673" spans="4:33" ht="14.25" customHeight="1">
      <c r="D673" s="908" t="s">
        <v>2952</v>
      </c>
    </row>
    <row r="674" spans="4:33" ht="46.5" customHeight="1">
      <c r="D674" s="2604" t="s">
        <v>2953</v>
      </c>
      <c r="E674" s="2197"/>
      <c r="F674" s="2197"/>
      <c r="G674" s="2197"/>
      <c r="H674" s="2197"/>
      <c r="I674" s="2197"/>
      <c r="J674" s="2197"/>
      <c r="K674" s="2197"/>
      <c r="L674" s="2197"/>
      <c r="M674" s="2197"/>
      <c r="N674" s="2197"/>
      <c r="O674" s="2197"/>
      <c r="P674" s="2197"/>
      <c r="Q674" s="2197"/>
      <c r="R674" s="2197"/>
      <c r="S674" s="2197"/>
      <c r="T674" s="2197"/>
      <c r="U674" s="2197"/>
      <c r="V674" s="2197"/>
      <c r="W674" s="2197"/>
      <c r="X674" s="2197"/>
      <c r="Y674" s="2197"/>
      <c r="Z674" s="2197"/>
      <c r="AA674" s="2197"/>
      <c r="AB674" s="2197"/>
      <c r="AC674" s="2197"/>
      <c r="AD674" s="2197"/>
      <c r="AE674" s="2197"/>
      <c r="AF674" s="2197"/>
      <c r="AG674" s="2197"/>
    </row>
    <row r="675" spans="4:33" ht="14.25" customHeight="1">
      <c r="D675" s="2126" t="s">
        <v>2972</v>
      </c>
      <c r="E675" s="2126"/>
      <c r="F675" s="2126"/>
      <c r="G675" s="2126"/>
      <c r="H675" s="2126"/>
      <c r="I675" s="2126"/>
      <c r="J675" s="2126"/>
      <c r="K675" s="2126"/>
      <c r="L675" s="2126"/>
      <c r="M675" s="2126"/>
      <c r="N675" s="2126"/>
      <c r="O675" s="2126"/>
      <c r="P675" s="2126"/>
      <c r="Q675" s="2126"/>
      <c r="R675" s="2126"/>
      <c r="S675" s="2126"/>
      <c r="T675" s="2126"/>
      <c r="U675" s="2126"/>
      <c r="V675" s="2126"/>
      <c r="W675" s="2126"/>
      <c r="X675" s="2126"/>
      <c r="Y675" s="2126"/>
      <c r="Z675" s="2126"/>
      <c r="AA675" s="2126"/>
      <c r="AB675" s="2126"/>
      <c r="AC675" s="2126"/>
      <c r="AD675" s="2126"/>
      <c r="AE675" s="2126"/>
      <c r="AF675" s="2126"/>
      <c r="AG675" s="2126"/>
    </row>
    <row r="676" spans="4:33" ht="14.25" customHeight="1">
      <c r="D676" s="2126"/>
      <c r="E676" s="2126"/>
      <c r="F676" s="2126"/>
      <c r="G676" s="2126"/>
      <c r="H676" s="2126"/>
      <c r="I676" s="2126"/>
      <c r="J676" s="2126"/>
      <c r="K676" s="2126"/>
      <c r="L676" s="2126"/>
      <c r="M676" s="2126"/>
      <c r="N676" s="2126"/>
      <c r="O676" s="2126"/>
      <c r="P676" s="2126"/>
      <c r="Q676" s="2126"/>
      <c r="R676" s="2126"/>
      <c r="S676" s="2126"/>
      <c r="T676" s="2126"/>
      <c r="U676" s="2126"/>
      <c r="V676" s="2126"/>
      <c r="W676" s="2126"/>
      <c r="X676" s="2126"/>
      <c r="Y676" s="2126"/>
      <c r="Z676" s="2126"/>
      <c r="AA676" s="2126"/>
      <c r="AB676" s="2126"/>
      <c r="AC676" s="2126"/>
      <c r="AD676" s="2126"/>
      <c r="AE676" s="2126"/>
      <c r="AF676" s="2126"/>
      <c r="AG676" s="2126"/>
    </row>
    <row r="677" spans="4:33" ht="14.25" customHeight="1">
      <c r="D677" s="2126"/>
      <c r="E677" s="2126"/>
      <c r="F677" s="2126"/>
      <c r="G677" s="2126"/>
      <c r="H677" s="2126"/>
      <c r="I677" s="2126"/>
      <c r="J677" s="2126"/>
      <c r="K677" s="2126"/>
      <c r="L677" s="2126"/>
      <c r="M677" s="2126"/>
      <c r="N677" s="2126"/>
      <c r="O677" s="2126"/>
      <c r="P677" s="2126"/>
      <c r="Q677" s="2126"/>
      <c r="R677" s="2126"/>
      <c r="S677" s="2126"/>
      <c r="T677" s="2126"/>
      <c r="U677" s="2126"/>
      <c r="V677" s="2126"/>
      <c r="W677" s="2126"/>
      <c r="X677" s="2126"/>
      <c r="Y677" s="2126"/>
      <c r="Z677" s="2126"/>
      <c r="AA677" s="2126"/>
      <c r="AB677" s="2126"/>
      <c r="AC677" s="2126"/>
      <c r="AD677" s="2126"/>
      <c r="AE677" s="2126"/>
      <c r="AF677" s="2126"/>
      <c r="AG677" s="2126"/>
    </row>
    <row r="678" spans="4:33" ht="14.15" customHeight="1">
      <c r="D678" s="2126"/>
      <c r="E678" s="2126"/>
      <c r="F678" s="2126"/>
      <c r="G678" s="2126"/>
      <c r="H678" s="2126"/>
      <c r="I678" s="2126"/>
      <c r="J678" s="2126"/>
      <c r="K678" s="2126"/>
      <c r="L678" s="2126"/>
      <c r="M678" s="2126"/>
      <c r="N678" s="2126"/>
      <c r="O678" s="2126"/>
      <c r="P678" s="2126"/>
      <c r="Q678" s="2126"/>
      <c r="R678" s="2126"/>
      <c r="S678" s="2126"/>
      <c r="T678" s="2126"/>
      <c r="U678" s="2126"/>
      <c r="V678" s="2126"/>
      <c r="W678" s="2126"/>
      <c r="X678" s="2126"/>
      <c r="Y678" s="2126"/>
      <c r="Z678" s="2126"/>
      <c r="AA678" s="2126"/>
      <c r="AB678" s="2126"/>
      <c r="AC678" s="2126"/>
      <c r="AD678" s="2126"/>
      <c r="AE678" s="2126"/>
      <c r="AF678" s="2126"/>
      <c r="AG678" s="2126"/>
    </row>
    <row r="679" spans="4:33" ht="14.15" customHeight="1">
      <c r="D679" s="1558"/>
      <c r="E679" s="1558"/>
      <c r="F679" s="1558"/>
      <c r="G679" s="1558"/>
      <c r="H679" s="1558"/>
      <c r="I679" s="1558"/>
      <c r="J679" s="1558"/>
      <c r="K679" s="1558"/>
      <c r="L679" s="1558"/>
      <c r="M679" s="1558"/>
      <c r="N679" s="1558"/>
      <c r="O679" s="1558"/>
      <c r="P679" s="1558"/>
      <c r="Q679" s="1558"/>
      <c r="R679" s="1558"/>
      <c r="S679" s="1558"/>
      <c r="T679" s="1558"/>
      <c r="U679" s="1558"/>
      <c r="V679" s="1558"/>
      <c r="W679" s="1558"/>
      <c r="X679" s="1558"/>
      <c r="Y679" s="1558"/>
      <c r="Z679" s="1558"/>
      <c r="AA679" s="1558"/>
      <c r="AB679" s="1558"/>
      <c r="AC679" s="1558"/>
      <c r="AD679" s="1558"/>
      <c r="AE679" s="1558"/>
      <c r="AF679" s="1558"/>
      <c r="AG679" s="1558"/>
    </row>
    <row r="680" spans="4:33" ht="14.15" customHeight="1">
      <c r="D680" s="1565" t="s">
        <v>3086</v>
      </c>
      <c r="E680" s="1558"/>
      <c r="F680" s="1558"/>
      <c r="G680" s="1558"/>
      <c r="H680" s="1558"/>
      <c r="I680" s="1558"/>
      <c r="J680" s="1558"/>
      <c r="K680" s="1558"/>
      <c r="L680" s="1558"/>
      <c r="M680" s="1558"/>
      <c r="N680" s="1558"/>
      <c r="O680" s="1558"/>
      <c r="P680" s="1558"/>
      <c r="Q680" s="1558"/>
      <c r="R680" s="1558"/>
      <c r="S680" s="1558"/>
      <c r="T680" s="1558"/>
      <c r="U680" s="1558"/>
      <c r="V680" s="1558"/>
      <c r="W680" s="1558"/>
      <c r="X680" s="1558"/>
      <c r="Y680" s="1558"/>
      <c r="Z680" s="1558"/>
      <c r="AA680" s="1558"/>
      <c r="AB680" s="1558"/>
      <c r="AC680" s="1558"/>
      <c r="AD680" s="1558"/>
      <c r="AE680" s="1558"/>
      <c r="AF680" s="1558"/>
      <c r="AG680" s="1558"/>
    </row>
    <row r="681" spans="4:33" ht="14.15" customHeight="1" thickBot="1">
      <c r="D681" s="1558"/>
      <c r="E681" s="1558"/>
      <c r="F681" s="1558"/>
      <c r="G681" s="1558"/>
      <c r="H681" s="1558"/>
      <c r="I681" s="1558"/>
      <c r="J681" s="1558"/>
      <c r="K681" s="1558"/>
      <c r="L681" s="1558"/>
      <c r="M681" s="1558"/>
      <c r="N681" s="1558"/>
      <c r="O681" s="1558"/>
      <c r="P681" s="1558"/>
      <c r="Q681" s="1558"/>
      <c r="R681" s="1558"/>
      <c r="S681" s="1558"/>
      <c r="T681" s="1558"/>
      <c r="U681" s="1558"/>
      <c r="V681" s="1558"/>
      <c r="W681" s="1558"/>
      <c r="X681" s="1558"/>
      <c r="Y681" s="1558"/>
      <c r="Z681" s="1558"/>
      <c r="AA681" s="1558"/>
      <c r="AB681" s="1558"/>
      <c r="AC681" s="1558"/>
      <c r="AD681" s="1558"/>
      <c r="AE681" s="1558"/>
      <c r="AF681" s="1558"/>
      <c r="AG681" s="1558"/>
    </row>
    <row r="682" spans="4:33" ht="25.9" customHeight="1" thickBot="1">
      <c r="D682" s="2042" t="s">
        <v>1739</v>
      </c>
      <c r="E682" s="2043"/>
      <c r="F682" s="2043"/>
      <c r="G682" s="2043"/>
      <c r="H682" s="2043"/>
      <c r="I682" s="2043"/>
      <c r="J682" s="2043"/>
      <c r="K682" s="2043"/>
      <c r="L682" s="2043"/>
      <c r="M682" s="2044"/>
      <c r="N682" s="2042" t="s">
        <v>1740</v>
      </c>
      <c r="O682" s="2043"/>
      <c r="P682" s="2043"/>
      <c r="Q682" s="2043"/>
      <c r="R682" s="2043"/>
      <c r="S682" s="2043"/>
      <c r="T682" s="2043"/>
      <c r="U682" s="2043"/>
      <c r="V682" s="2043"/>
      <c r="W682" s="2044"/>
      <c r="X682" s="2042" t="s">
        <v>1858</v>
      </c>
      <c r="Y682" s="2043"/>
      <c r="Z682" s="2043"/>
      <c r="AA682" s="2043"/>
      <c r="AB682" s="2043"/>
      <c r="AC682" s="2043"/>
      <c r="AD682" s="2043"/>
      <c r="AE682" s="2043"/>
      <c r="AF682" s="2043"/>
      <c r="AG682" s="2044"/>
    </row>
    <row r="683" spans="4:33" ht="14.15" customHeight="1">
      <c r="D683" s="2301" t="s">
        <v>3087</v>
      </c>
      <c r="E683" s="2302"/>
      <c r="F683" s="2302"/>
      <c r="G683" s="2302"/>
      <c r="H683" s="2302"/>
      <c r="I683" s="2302"/>
      <c r="J683" s="2302"/>
      <c r="K683" s="2302"/>
      <c r="L683" s="2302"/>
      <c r="M683" s="2303"/>
      <c r="N683" s="2051">
        <f>'Notes- SK Template'!N692:W692</f>
        <v>127228</v>
      </c>
      <c r="O683" s="2052">
        <f>'Notes- SK Template'!O682</f>
        <v>0</v>
      </c>
      <c r="P683" s="2052">
        <f>'Notes- SK Template'!P682</f>
        <v>0</v>
      </c>
      <c r="Q683" s="2052">
        <f>'Notes- SK Template'!Q682</f>
        <v>0</v>
      </c>
      <c r="R683" s="2052">
        <f>'Notes- SK Template'!R682</f>
        <v>0</v>
      </c>
      <c r="S683" s="2052">
        <f>'Notes- SK Template'!S682</f>
        <v>0</v>
      </c>
      <c r="T683" s="2052">
        <f>'Notes- SK Template'!T682</f>
        <v>0</v>
      </c>
      <c r="U683" s="2052">
        <f>'Notes- SK Template'!U682</f>
        <v>0</v>
      </c>
      <c r="V683" s="2052">
        <f>'Notes- SK Template'!V682</f>
        <v>0</v>
      </c>
      <c r="W683" s="2052">
        <f>'Notes- SK Template'!W682</f>
        <v>0</v>
      </c>
      <c r="X683" s="2052">
        <f>'Notes- SK Template'!X692:AG692</f>
        <v>236108</v>
      </c>
      <c r="Y683" s="2052">
        <f>'Notes- SK Template'!Y682</f>
        <v>0</v>
      </c>
      <c r="Z683" s="2052">
        <f>'Notes- SK Template'!Z682</f>
        <v>0</v>
      </c>
      <c r="AA683" s="2052">
        <f>'Notes- SK Template'!AA682</f>
        <v>0</v>
      </c>
      <c r="AB683" s="2052">
        <f>'Notes- SK Template'!AB682</f>
        <v>0</v>
      </c>
      <c r="AC683" s="2052">
        <f>'Notes- SK Template'!AC682</f>
        <v>0</v>
      </c>
      <c r="AD683" s="2052">
        <f>'Notes- SK Template'!AD682</f>
        <v>0</v>
      </c>
      <c r="AE683" s="2052">
        <f>'Notes- SK Template'!AE682</f>
        <v>0</v>
      </c>
      <c r="AF683" s="2052">
        <f>'Notes- SK Template'!AF682</f>
        <v>0</v>
      </c>
      <c r="AG683" s="2052">
        <f>'Notes- SK Template'!AG682</f>
        <v>0</v>
      </c>
    </row>
    <row r="684" spans="4:33" ht="14.15" customHeight="1">
      <c r="D684" s="1573"/>
      <c r="E684" s="1573"/>
      <c r="F684" s="1573"/>
      <c r="G684" s="1573"/>
      <c r="H684" s="1573"/>
      <c r="I684" s="1573"/>
      <c r="J684" s="1573"/>
      <c r="K684" s="1573"/>
      <c r="L684" s="1573"/>
      <c r="M684" s="1573"/>
      <c r="N684" s="1574"/>
      <c r="O684" s="1574"/>
      <c r="P684" s="1574"/>
      <c r="Q684" s="1574"/>
      <c r="R684" s="1574"/>
      <c r="S684" s="1574"/>
      <c r="T684" s="1574"/>
      <c r="U684" s="1574"/>
      <c r="V684" s="1574"/>
      <c r="W684" s="1574"/>
      <c r="X684" s="1574"/>
      <c r="Y684" s="1574"/>
      <c r="Z684" s="1574"/>
      <c r="AA684" s="1574"/>
      <c r="AB684" s="1574"/>
      <c r="AC684" s="1574"/>
      <c r="AD684" s="1574"/>
      <c r="AE684" s="1574"/>
      <c r="AF684" s="1574"/>
      <c r="AG684" s="1574"/>
    </row>
    <row r="685" spans="4:33" ht="14.15" customHeight="1">
      <c r="D685" s="1575" t="s">
        <v>3089</v>
      </c>
      <c r="E685" s="1576"/>
      <c r="F685" s="1576"/>
      <c r="G685" s="1576"/>
      <c r="H685" s="1576"/>
      <c r="I685" s="1576"/>
      <c r="J685" s="1576"/>
      <c r="K685" s="1576"/>
      <c r="L685" s="1576"/>
      <c r="M685" s="1576"/>
      <c r="N685" s="1576"/>
      <c r="O685" s="1576"/>
      <c r="P685" s="1576"/>
      <c r="Q685" s="1576"/>
      <c r="R685" s="1576"/>
      <c r="S685" s="1576"/>
      <c r="T685" s="1576"/>
      <c r="U685" s="1576"/>
      <c r="V685" s="1576"/>
      <c r="W685" s="1576"/>
      <c r="X685" s="1576"/>
      <c r="Y685" s="1576"/>
      <c r="Z685" s="1576"/>
      <c r="AA685" s="1576"/>
      <c r="AB685" s="1576"/>
      <c r="AC685" s="1576"/>
      <c r="AD685" s="1576"/>
      <c r="AE685" s="1576"/>
      <c r="AF685" s="1576"/>
      <c r="AG685" s="1576"/>
    </row>
    <row r="686" spans="4:33" ht="14.25" customHeight="1">
      <c r="D686" s="1543"/>
      <c r="E686" s="1543"/>
      <c r="F686" s="1543"/>
      <c r="G686" s="1543"/>
      <c r="H686" s="1543"/>
      <c r="I686" s="1543"/>
      <c r="J686" s="1543"/>
      <c r="K686" s="1543"/>
      <c r="L686" s="1543"/>
      <c r="M686" s="1543"/>
      <c r="N686" s="1543"/>
      <c r="O686" s="1543"/>
      <c r="P686" s="1543"/>
      <c r="Q686" s="1543"/>
      <c r="R686" s="1543"/>
      <c r="S686" s="1543"/>
      <c r="T686" s="1543"/>
      <c r="U686" s="1543"/>
      <c r="V686" s="1543"/>
      <c r="W686" s="1543"/>
      <c r="X686" s="1543"/>
      <c r="Y686" s="1543"/>
      <c r="Z686" s="1543"/>
      <c r="AA686" s="1543"/>
      <c r="AB686" s="1543"/>
      <c r="AC686" s="1543"/>
      <c r="AD686" s="1543"/>
      <c r="AE686" s="1543"/>
      <c r="AF686" s="1543"/>
      <c r="AG686" s="1543"/>
    </row>
    <row r="687" spans="4:33" ht="14.25" customHeight="1">
      <c r="D687" s="582" t="s">
        <v>2985</v>
      </c>
    </row>
    <row r="689" spans="1:33" ht="14.25" customHeight="1">
      <c r="D689" s="1978" t="s">
        <v>1923</v>
      </c>
      <c r="E689" s="1978"/>
      <c r="F689" s="1978"/>
      <c r="G689" s="1978"/>
      <c r="H689" s="1978"/>
      <c r="I689" s="1978"/>
      <c r="J689" s="1978"/>
      <c r="K689" s="1978"/>
      <c r="L689" s="1978"/>
      <c r="M689" s="1978"/>
      <c r="N689" s="1978"/>
      <c r="O689" s="1978"/>
      <c r="P689" s="1978"/>
      <c r="Q689" s="1978"/>
      <c r="R689" s="1978"/>
      <c r="S689" s="1978"/>
      <c r="T689" s="1978"/>
      <c r="U689" s="1978"/>
      <c r="V689" s="1978"/>
      <c r="W689" s="1978"/>
      <c r="X689" s="1978"/>
      <c r="Y689" s="1978"/>
      <c r="Z689" s="1978"/>
      <c r="AA689" s="1978"/>
      <c r="AB689" s="1978"/>
      <c r="AC689" s="1978"/>
      <c r="AD689" s="1978"/>
      <c r="AE689" s="1978"/>
      <c r="AF689" s="1978"/>
      <c r="AG689" s="1978"/>
    </row>
    <row r="691" spans="1:33" ht="14.25" customHeight="1">
      <c r="D691" s="2005" t="s">
        <v>1924</v>
      </c>
      <c r="E691" s="1886"/>
      <c r="F691" s="1886"/>
      <c r="G691" s="1886"/>
      <c r="H691" s="1886"/>
      <c r="I691" s="1886"/>
      <c r="J691" s="1886"/>
      <c r="K691" s="1886"/>
      <c r="L691" s="1886"/>
      <c r="M691" s="1886"/>
      <c r="N691" s="1886"/>
      <c r="O691" s="1886"/>
      <c r="P691" s="1886"/>
      <c r="Q691" s="1886"/>
      <c r="R691" s="1886"/>
      <c r="S691" s="1886"/>
      <c r="T691" s="1886"/>
      <c r="U691" s="1886"/>
      <c r="V691" s="1886"/>
      <c r="W691" s="1886"/>
      <c r="X691" s="1886"/>
      <c r="Y691" s="1886"/>
      <c r="Z691" s="1886"/>
      <c r="AA691" s="1886"/>
      <c r="AB691" s="1886"/>
      <c r="AC691" s="1886"/>
      <c r="AD691" s="1886"/>
      <c r="AE691" s="1886"/>
      <c r="AF691" s="1886"/>
      <c r="AG691" s="1886"/>
    </row>
    <row r="692" spans="1:33" ht="14.25" customHeight="1" thickBot="1"/>
    <row r="693" spans="1:33" ht="35.25" customHeight="1" thickBot="1">
      <c r="A693" s="597">
        <v>35</v>
      </c>
      <c r="D693" s="1921" t="s">
        <v>1925</v>
      </c>
      <c r="E693" s="1921"/>
      <c r="F693" s="1921"/>
      <c r="G693" s="1921"/>
      <c r="H693" s="1921"/>
      <c r="I693" s="1921"/>
      <c r="J693" s="1851" t="s">
        <v>1926</v>
      </c>
      <c r="K693" s="1851"/>
      <c r="L693" s="1851"/>
      <c r="M693" s="1851"/>
      <c r="N693" s="1851"/>
      <c r="O693" s="1851"/>
      <c r="P693" s="1851"/>
      <c r="Q693" s="1851"/>
      <c r="R693" s="1851" t="s">
        <v>1927</v>
      </c>
      <c r="S693" s="1851"/>
      <c r="T693" s="1851"/>
      <c r="U693" s="1851"/>
      <c r="V693" s="1851"/>
      <c r="W693" s="1851"/>
      <c r="X693" s="1851"/>
      <c r="Y693" s="1851"/>
      <c r="Z693" s="1851" t="s">
        <v>1928</v>
      </c>
      <c r="AA693" s="1851"/>
      <c r="AB693" s="1851"/>
      <c r="AC693" s="1851"/>
      <c r="AD693" s="1851"/>
      <c r="AE693" s="1851"/>
      <c r="AF693" s="1851"/>
      <c r="AG693" s="1851"/>
    </row>
    <row r="694" spans="1:33" ht="49.5" customHeight="1" thickBot="1">
      <c r="D694" s="1921"/>
      <c r="E694" s="1921"/>
      <c r="F694" s="1921"/>
      <c r="G694" s="1921"/>
      <c r="H694" s="1921"/>
      <c r="I694" s="1921"/>
      <c r="J694" s="1851" t="s">
        <v>1740</v>
      </c>
      <c r="K694" s="1851"/>
      <c r="L694" s="1851"/>
      <c r="M694" s="1851"/>
      <c r="N694" s="1851" t="s">
        <v>1798</v>
      </c>
      <c r="O694" s="1851"/>
      <c r="P694" s="1851"/>
      <c r="Q694" s="1851"/>
      <c r="R694" s="1851" t="s">
        <v>1740</v>
      </c>
      <c r="S694" s="1851"/>
      <c r="T694" s="1851"/>
      <c r="U694" s="1851"/>
      <c r="V694" s="1851" t="s">
        <v>1798</v>
      </c>
      <c r="W694" s="1851"/>
      <c r="X694" s="1851"/>
      <c r="Y694" s="1851"/>
      <c r="Z694" s="1851" t="s">
        <v>1740</v>
      </c>
      <c r="AA694" s="1851"/>
      <c r="AB694" s="1851"/>
      <c r="AC694" s="1851"/>
      <c r="AD694" s="1851" t="s">
        <v>1798</v>
      </c>
      <c r="AE694" s="1851"/>
      <c r="AF694" s="1851"/>
      <c r="AG694" s="1851"/>
    </row>
    <row r="695" spans="1:33" ht="14.25" customHeight="1">
      <c r="D695" s="2602" t="s">
        <v>2814</v>
      </c>
      <c r="E695" s="2603">
        <f>'Notes- SK Template'!E705</f>
        <v>0</v>
      </c>
      <c r="F695" s="2603">
        <f>'Notes- SK Template'!F705</f>
        <v>0</v>
      </c>
      <c r="G695" s="2603">
        <f>'Notes- SK Template'!G705</f>
        <v>0</v>
      </c>
      <c r="H695" s="2603">
        <f>'Notes- SK Template'!H705</f>
        <v>0</v>
      </c>
      <c r="I695" s="2603">
        <f>'Notes- SK Template'!I705</f>
        <v>0</v>
      </c>
      <c r="J695" s="1818">
        <f>'Notes- SK Template'!J705</f>
        <v>981303</v>
      </c>
      <c r="K695" s="1818">
        <f>'Notes- SK Template'!K705</f>
        <v>0</v>
      </c>
      <c r="L695" s="1818">
        <f>'Notes- SK Template'!L705</f>
        <v>0</v>
      </c>
      <c r="M695" s="1818">
        <f>'Notes- SK Template'!M705</f>
        <v>0</v>
      </c>
      <c r="N695" s="1818">
        <f>'Notes- SK Template'!N705</f>
        <v>897252</v>
      </c>
      <c r="O695" s="1818">
        <f>'Notes- SK Template'!O705</f>
        <v>0</v>
      </c>
      <c r="P695" s="1818">
        <f>'Notes- SK Template'!P705</f>
        <v>0</v>
      </c>
      <c r="Q695" s="1818">
        <f>'Notes- SK Template'!Q705</f>
        <v>0</v>
      </c>
      <c r="R695" s="1818">
        <f>'Notes- SK Template'!R705</f>
        <v>1107867</v>
      </c>
      <c r="S695" s="1818">
        <f>'Notes- SK Template'!S705</f>
        <v>0</v>
      </c>
      <c r="T695" s="1818">
        <f>'Notes- SK Template'!T705</f>
        <v>0</v>
      </c>
      <c r="U695" s="1818">
        <f>'Notes- SK Template'!U705</f>
        <v>0</v>
      </c>
      <c r="V695" s="1818">
        <f>'Notes- SK Template'!V705</f>
        <v>1162252</v>
      </c>
      <c r="W695" s="1818">
        <f>'Notes- SK Template'!W705</f>
        <v>0</v>
      </c>
      <c r="X695" s="1818">
        <f>'Notes- SK Template'!X705</f>
        <v>0</v>
      </c>
      <c r="Y695" s="1818">
        <f>'Notes- SK Template'!Y705</f>
        <v>0</v>
      </c>
      <c r="Z695" s="1818">
        <f>'Notes- SK Template'!Z705</f>
        <v>83663</v>
      </c>
      <c r="AA695" s="1818">
        <f>'Notes- SK Template'!AA705</f>
        <v>0</v>
      </c>
      <c r="AB695" s="1818">
        <f>'Notes- SK Template'!AB705</f>
        <v>0</v>
      </c>
      <c r="AC695" s="1818">
        <f>'Notes- SK Template'!AC705</f>
        <v>0</v>
      </c>
      <c r="AD695" s="1818">
        <f>'Notes- SK Template'!AD705</f>
        <v>95400</v>
      </c>
      <c r="AE695" s="1818">
        <f>'Notes- SK Template'!AE705</f>
        <v>0</v>
      </c>
      <c r="AF695" s="1818">
        <f>'Notes- SK Template'!AF705</f>
        <v>0</v>
      </c>
      <c r="AG695" s="1818">
        <f>'Notes- SK Template'!AG705</f>
        <v>0</v>
      </c>
    </row>
    <row r="696" spans="1:33" ht="14.25" customHeight="1">
      <c r="D696" s="2707" t="s">
        <v>2815</v>
      </c>
      <c r="E696" s="2708">
        <f>'Notes- SK Template'!E706</f>
        <v>0</v>
      </c>
      <c r="F696" s="2708">
        <f>'Notes- SK Template'!F706</f>
        <v>0</v>
      </c>
      <c r="G696" s="2708">
        <f>'Notes- SK Template'!G706</f>
        <v>0</v>
      </c>
      <c r="H696" s="2708">
        <f>'Notes- SK Template'!H706</f>
        <v>0</v>
      </c>
      <c r="I696" s="2708">
        <f>'Notes- SK Template'!I706</f>
        <v>0</v>
      </c>
      <c r="J696" s="1967">
        <f>'Notes- SK Template'!J706</f>
        <v>1895858</v>
      </c>
      <c r="K696" s="1967">
        <f>'Notes- SK Template'!K706</f>
        <v>0</v>
      </c>
      <c r="L696" s="1967">
        <f>'Notes- SK Template'!L706</f>
        <v>0</v>
      </c>
      <c r="M696" s="1967">
        <f>'Notes- SK Template'!M706</f>
        <v>0</v>
      </c>
      <c r="N696" s="1967">
        <f>'Notes- SK Template'!N706</f>
        <v>1748411</v>
      </c>
      <c r="O696" s="1967">
        <f>'Notes- SK Template'!O706</f>
        <v>0</v>
      </c>
      <c r="P696" s="1967">
        <f>'Notes- SK Template'!P706</f>
        <v>0</v>
      </c>
      <c r="Q696" s="1967">
        <f>'Notes- SK Template'!Q706</f>
        <v>0</v>
      </c>
      <c r="R696" s="1967">
        <f>'Notes- SK Template'!R706</f>
        <v>1314808</v>
      </c>
      <c r="S696" s="1967">
        <f>'Notes- SK Template'!S706</f>
        <v>0</v>
      </c>
      <c r="T696" s="1967">
        <f>'Notes- SK Template'!T706</f>
        <v>0</v>
      </c>
      <c r="U696" s="1967">
        <f>'Notes- SK Template'!U706</f>
        <v>0</v>
      </c>
      <c r="V696" s="1967">
        <f>'Notes- SK Template'!V706</f>
        <v>1331724</v>
      </c>
      <c r="W696" s="1967">
        <f>'Notes- SK Template'!W706</f>
        <v>0</v>
      </c>
      <c r="X696" s="1967">
        <f>'Notes- SK Template'!X706</f>
        <v>0</v>
      </c>
      <c r="Y696" s="1967">
        <f>'Notes- SK Template'!Y706</f>
        <v>0</v>
      </c>
      <c r="Z696" s="1967">
        <f>'Notes- SK Template'!Z706</f>
        <v>95059</v>
      </c>
      <c r="AA696" s="1967">
        <f>'Notes- SK Template'!AA706</f>
        <v>0</v>
      </c>
      <c r="AB696" s="1967">
        <f>'Notes- SK Template'!AB706</f>
        <v>0</v>
      </c>
      <c r="AC696" s="1967">
        <f>'Notes- SK Template'!AC706</f>
        <v>0</v>
      </c>
      <c r="AD696" s="1967">
        <f>'Notes- SK Template'!AD706</f>
        <v>72341</v>
      </c>
      <c r="AE696" s="1967">
        <f>'Notes- SK Template'!AE706</f>
        <v>0</v>
      </c>
      <c r="AF696" s="1967">
        <f>'Notes- SK Template'!AF706</f>
        <v>0</v>
      </c>
      <c r="AG696" s="1967">
        <f>'Notes- SK Template'!AG706</f>
        <v>0</v>
      </c>
    </row>
    <row r="697" spans="1:33" ht="14.25" customHeight="1" thickBot="1">
      <c r="D697" s="2198" t="s">
        <v>1750</v>
      </c>
      <c r="E697" s="2198"/>
      <c r="F697" s="2198"/>
      <c r="G697" s="2198"/>
      <c r="H697" s="2198"/>
      <c r="I697" s="2198"/>
      <c r="J697" s="1831">
        <f>'Notes- SK Template'!J707</f>
        <v>2877161</v>
      </c>
      <c r="K697" s="1831">
        <f>'Notes- SK Template'!K707</f>
        <v>0</v>
      </c>
      <c r="L697" s="1831">
        <f>'Notes- SK Template'!L707</f>
        <v>0</v>
      </c>
      <c r="M697" s="1831">
        <f>'Notes- SK Template'!M707</f>
        <v>0</v>
      </c>
      <c r="N697" s="1831">
        <f>'Notes- SK Template'!N707</f>
        <v>2645663</v>
      </c>
      <c r="O697" s="1831">
        <f>'Notes- SK Template'!O707</f>
        <v>0</v>
      </c>
      <c r="P697" s="1831">
        <f>'Notes- SK Template'!P707</f>
        <v>0</v>
      </c>
      <c r="Q697" s="1831">
        <f>'Notes- SK Template'!Q707</f>
        <v>0</v>
      </c>
      <c r="R697" s="1831">
        <f>'Notes- SK Template'!R707</f>
        <v>2422675</v>
      </c>
      <c r="S697" s="1831">
        <f>'Notes- SK Template'!S707</f>
        <v>0</v>
      </c>
      <c r="T697" s="1831">
        <f>'Notes- SK Template'!T707</f>
        <v>0</v>
      </c>
      <c r="U697" s="1831">
        <f>'Notes- SK Template'!U707</f>
        <v>0</v>
      </c>
      <c r="V697" s="1831">
        <f>'Notes- SK Template'!V707</f>
        <v>2493976</v>
      </c>
      <c r="W697" s="1831">
        <f>'Notes- SK Template'!W707</f>
        <v>0</v>
      </c>
      <c r="X697" s="1831">
        <f>'Notes- SK Template'!X707</f>
        <v>0</v>
      </c>
      <c r="Y697" s="1831">
        <f>'Notes- SK Template'!Y707</f>
        <v>0</v>
      </c>
      <c r="Z697" s="1831">
        <f>'Notes- SK Template'!Z707</f>
        <v>178722</v>
      </c>
      <c r="AA697" s="1831">
        <f>'Notes- SK Template'!AA707</f>
        <v>0</v>
      </c>
      <c r="AB697" s="1831">
        <f>'Notes- SK Template'!AB707</f>
        <v>0</v>
      </c>
      <c r="AC697" s="1831">
        <f>'Notes- SK Template'!AC707</f>
        <v>0</v>
      </c>
      <c r="AD697" s="1831">
        <f>'Notes- SK Template'!AD707</f>
        <v>167741</v>
      </c>
      <c r="AE697" s="1831">
        <f>'Notes- SK Template'!AE707</f>
        <v>0</v>
      </c>
      <c r="AF697" s="1831">
        <f>'Notes- SK Template'!AF707</f>
        <v>0</v>
      </c>
      <c r="AG697" s="1831">
        <f>'Notes- SK Template'!AG707</f>
        <v>0</v>
      </c>
    </row>
    <row r="699" spans="1:33" ht="14.25" customHeight="1">
      <c r="D699" s="1978" t="s">
        <v>1929</v>
      </c>
      <c r="E699" s="1978"/>
      <c r="F699" s="1978"/>
      <c r="G699" s="1978"/>
      <c r="H699" s="1978"/>
      <c r="I699" s="1978"/>
      <c r="J699" s="1978"/>
      <c r="K699" s="1978"/>
      <c r="L699" s="1978"/>
      <c r="M699" s="1978"/>
      <c r="N699" s="1978"/>
      <c r="O699" s="1978"/>
      <c r="P699" s="1978"/>
      <c r="Q699" s="1978"/>
      <c r="R699" s="1978"/>
      <c r="S699" s="1978"/>
      <c r="T699" s="1978"/>
      <c r="U699" s="1978"/>
      <c r="V699" s="1978"/>
      <c r="W699" s="1978"/>
      <c r="X699" s="1978"/>
      <c r="Y699" s="1978"/>
      <c r="Z699" s="1978"/>
      <c r="AA699" s="1978"/>
      <c r="AB699" s="1978"/>
      <c r="AC699" s="1978"/>
      <c r="AD699" s="1978"/>
      <c r="AE699" s="1978"/>
      <c r="AF699" s="1978"/>
      <c r="AG699" s="1978"/>
    </row>
    <row r="701" spans="1:33" ht="14.25" customHeight="1">
      <c r="D701" s="916" t="s">
        <v>1930</v>
      </c>
      <c r="E701" s="915"/>
      <c r="F701" s="915"/>
      <c r="G701" s="915"/>
      <c r="H701" s="911"/>
      <c r="I701" s="915"/>
      <c r="J701" s="915"/>
      <c r="K701" s="915"/>
      <c r="L701" s="915"/>
      <c r="M701" s="915"/>
      <c r="N701" s="915"/>
      <c r="O701" s="915"/>
      <c r="P701" s="915"/>
      <c r="Q701" s="915"/>
      <c r="R701" s="915"/>
      <c r="S701" s="915"/>
      <c r="T701" s="915"/>
      <c r="U701" s="915"/>
      <c r="V701" s="915"/>
      <c r="W701" s="915"/>
      <c r="X701" s="915"/>
      <c r="Y701" s="915"/>
      <c r="Z701" s="915"/>
      <c r="AA701" s="915"/>
      <c r="AB701" s="915"/>
      <c r="AC701" s="915"/>
      <c r="AD701" s="915"/>
      <c r="AE701" s="915"/>
      <c r="AF701" s="915"/>
      <c r="AG701" s="915"/>
    </row>
    <row r="702" spans="1:33" ht="14.25" customHeight="1" thickBot="1"/>
    <row r="703" spans="1:33" ht="32.25" customHeight="1" thickBot="1">
      <c r="A703" s="597">
        <v>36</v>
      </c>
      <c r="D703" s="1921" t="s">
        <v>1739</v>
      </c>
      <c r="E703" s="1921"/>
      <c r="F703" s="1921"/>
      <c r="G703" s="1921"/>
      <c r="H703" s="1921"/>
      <c r="I703" s="1921"/>
      <c r="J703" s="1921"/>
      <c r="K703" s="1921"/>
      <c r="L703" s="1921"/>
      <c r="M703" s="1921"/>
      <c r="N703" s="1851" t="s">
        <v>1740</v>
      </c>
      <c r="O703" s="1851"/>
      <c r="P703" s="1851"/>
      <c r="Q703" s="1851"/>
      <c r="R703" s="1851" t="s">
        <v>1798</v>
      </c>
      <c r="S703" s="1851"/>
      <c r="T703" s="1851"/>
      <c r="U703" s="1851"/>
      <c r="V703" s="1851"/>
      <c r="W703" s="1851"/>
      <c r="X703" s="1851"/>
      <c r="Y703" s="1851"/>
      <c r="Z703" s="1851" t="s">
        <v>1931</v>
      </c>
      <c r="AA703" s="1851"/>
      <c r="AB703" s="1851"/>
      <c r="AC703" s="1851"/>
      <c r="AD703" s="1851"/>
      <c r="AE703" s="1851"/>
      <c r="AF703" s="1851"/>
      <c r="AG703" s="1851"/>
    </row>
    <row r="704" spans="1:33" ht="49" customHeight="1" thickBot="1">
      <c r="D704" s="1921"/>
      <c r="E704" s="1921"/>
      <c r="F704" s="1921"/>
      <c r="G704" s="1921"/>
      <c r="H704" s="1921"/>
      <c r="I704" s="1921"/>
      <c r="J704" s="1921"/>
      <c r="K704" s="1921"/>
      <c r="L704" s="1921"/>
      <c r="M704" s="1921"/>
      <c r="N704" s="1851" t="s">
        <v>1932</v>
      </c>
      <c r="O704" s="1851"/>
      <c r="P704" s="1851"/>
      <c r="Q704" s="1851"/>
      <c r="R704" s="1851" t="s">
        <v>1932</v>
      </c>
      <c r="S704" s="1851"/>
      <c r="T704" s="1851"/>
      <c r="U704" s="1851"/>
      <c r="V704" s="1851" t="s">
        <v>1790</v>
      </c>
      <c r="W704" s="1851"/>
      <c r="X704" s="1851"/>
      <c r="Y704" s="1851"/>
      <c r="Z704" s="1851" t="s">
        <v>1740</v>
      </c>
      <c r="AA704" s="1851"/>
      <c r="AB704" s="1851"/>
      <c r="AC704" s="1851"/>
      <c r="AD704" s="1851" t="s">
        <v>1798</v>
      </c>
      <c r="AE704" s="1851"/>
      <c r="AF704" s="1851"/>
      <c r="AG704" s="1851"/>
    </row>
    <row r="705" spans="4:33" ht="24.75" customHeight="1">
      <c r="D705" s="1870" t="s">
        <v>1820</v>
      </c>
      <c r="E705" s="1870"/>
      <c r="F705" s="1870"/>
      <c r="G705" s="1870"/>
      <c r="H705" s="1870"/>
      <c r="I705" s="1870"/>
      <c r="J705" s="1870"/>
      <c r="K705" s="1870"/>
      <c r="L705" s="1870"/>
      <c r="M705" s="1870"/>
      <c r="N705" s="1818">
        <f>'Notes- SK Template'!N716</f>
        <v>0</v>
      </c>
      <c r="O705" s="1818">
        <f>'Notes- SK Template'!O716</f>
        <v>0</v>
      </c>
      <c r="P705" s="1818">
        <f>'Notes- SK Template'!P716</f>
        <v>0</v>
      </c>
      <c r="Q705" s="1860">
        <f>'Notes- SK Template'!Q716</f>
        <v>0</v>
      </c>
      <c r="R705" s="1817">
        <f>'Notes- SK Template'!R716</f>
        <v>3950</v>
      </c>
      <c r="S705" s="1818">
        <f>'Notes- SK Template'!S716</f>
        <v>0</v>
      </c>
      <c r="T705" s="1818">
        <f>'Notes- SK Template'!T716</f>
        <v>0</v>
      </c>
      <c r="U705" s="1819">
        <f>'Notes- SK Template'!U716</f>
        <v>0</v>
      </c>
      <c r="V705" s="1990">
        <f>'Notes- SK Template'!V716</f>
        <v>3887</v>
      </c>
      <c r="W705" s="1818">
        <f>'Notes- SK Template'!W716</f>
        <v>0</v>
      </c>
      <c r="X705" s="1818">
        <f>'Notes- SK Template'!X716</f>
        <v>0</v>
      </c>
      <c r="Y705" s="1818">
        <f>'Notes- SK Template'!Y716</f>
        <v>0</v>
      </c>
      <c r="Z705" s="1818">
        <f>'Notes- SK Template'!Z716</f>
        <v>-3950</v>
      </c>
      <c r="AA705" s="1818">
        <f>'Notes- SK Template'!AA716</f>
        <v>0</v>
      </c>
      <c r="AB705" s="1818">
        <f>'Notes- SK Template'!AB716</f>
        <v>0</v>
      </c>
      <c r="AC705" s="1818">
        <f>'Notes- SK Template'!AC716</f>
        <v>0</v>
      </c>
      <c r="AD705" s="1818">
        <f>'Notes- SK Template'!AD716</f>
        <v>63</v>
      </c>
      <c r="AE705" s="1818">
        <f>'Notes- SK Template'!AE716</f>
        <v>0</v>
      </c>
      <c r="AF705" s="1818">
        <f>'Notes- SK Template'!AF716</f>
        <v>0</v>
      </c>
      <c r="AG705" s="1818">
        <f>'Notes- SK Template'!AG716</f>
        <v>0</v>
      </c>
    </row>
    <row r="706" spans="4:33" ht="24.75" customHeight="1">
      <c r="D706" s="1997" t="s">
        <v>1821</v>
      </c>
      <c r="E706" s="1998"/>
      <c r="F706" s="1998"/>
      <c r="G706" s="1998"/>
      <c r="H706" s="1998"/>
      <c r="I706" s="1998"/>
      <c r="J706" s="1998"/>
      <c r="K706" s="1998"/>
      <c r="L706" s="1998"/>
      <c r="M706" s="1999"/>
      <c r="N706" s="1820">
        <f>'Notes- SK Template'!N717</f>
        <v>5542</v>
      </c>
      <c r="O706" s="1805">
        <f>'Notes- SK Template'!O717</f>
        <v>0</v>
      </c>
      <c r="P706" s="1805">
        <f>'Notes- SK Template'!P717</f>
        <v>0</v>
      </c>
      <c r="Q706" s="1805">
        <f>'Notes- SK Template'!Q717</f>
        <v>0</v>
      </c>
      <c r="R706" s="1805">
        <f>'Notes- SK Template'!R717</f>
        <v>2326</v>
      </c>
      <c r="S706" s="1805">
        <f>'Notes- SK Template'!S717</f>
        <v>0</v>
      </c>
      <c r="T706" s="1805">
        <f>'Notes- SK Template'!T717</f>
        <v>0</v>
      </c>
      <c r="U706" s="1805">
        <f>'Notes- SK Template'!U717</f>
        <v>0</v>
      </c>
      <c r="V706" s="1805">
        <f>'Notes- SK Template'!V717</f>
        <v>2797</v>
      </c>
      <c r="W706" s="1805">
        <f>'Notes- SK Template'!W717</f>
        <v>0</v>
      </c>
      <c r="X706" s="1805">
        <f>'Notes- SK Template'!X717</f>
        <v>0</v>
      </c>
      <c r="Y706" s="1991">
        <f>'Notes- SK Template'!Y717</f>
        <v>0</v>
      </c>
      <c r="Z706" s="1804">
        <f>'Notes- SK Template'!Z717</f>
        <v>3216</v>
      </c>
      <c r="AA706" s="1805">
        <f>'Notes- SK Template'!AA717</f>
        <v>0</v>
      </c>
      <c r="AB706" s="1805">
        <f>'Notes- SK Template'!AB717</f>
        <v>0</v>
      </c>
      <c r="AC706" s="1821">
        <f>'Notes- SK Template'!AC717</f>
        <v>0</v>
      </c>
      <c r="AD706" s="1820">
        <f>'Notes- SK Template'!AD717</f>
        <v>-471</v>
      </c>
      <c r="AE706" s="1805">
        <f>'Notes- SK Template'!AE717</f>
        <v>0</v>
      </c>
      <c r="AF706" s="1805">
        <f>'Notes- SK Template'!AF717</f>
        <v>0</v>
      </c>
      <c r="AG706" s="1821">
        <f>'Notes- SK Template'!AG717</f>
        <v>0</v>
      </c>
    </row>
    <row r="707" spans="4:33" ht="24.75" customHeight="1">
      <c r="D707" s="1997" t="s">
        <v>1822</v>
      </c>
      <c r="E707" s="1998"/>
      <c r="F707" s="1998"/>
      <c r="G707" s="1998"/>
      <c r="H707" s="1998"/>
      <c r="I707" s="1998"/>
      <c r="J707" s="1998"/>
      <c r="K707" s="1998"/>
      <c r="L707" s="1998"/>
      <c r="M707" s="1999"/>
      <c r="N707" s="1820">
        <f>'Notes- SK Template'!N718</f>
        <v>0</v>
      </c>
      <c r="O707" s="1805">
        <f>'Notes- SK Template'!O718</f>
        <v>0</v>
      </c>
      <c r="P707" s="1805">
        <f>'Notes- SK Template'!P718</f>
        <v>0</v>
      </c>
      <c r="Q707" s="1805">
        <f>'Notes- SK Template'!Q718</f>
        <v>0</v>
      </c>
      <c r="R707" s="1805">
        <f>'Notes- SK Template'!R718</f>
        <v>0</v>
      </c>
      <c r="S707" s="1805">
        <f>'Notes- SK Template'!S718</f>
        <v>0</v>
      </c>
      <c r="T707" s="1805">
        <f>'Notes- SK Template'!T718</f>
        <v>0</v>
      </c>
      <c r="U707" s="1805">
        <f>'Notes- SK Template'!U718</f>
        <v>0</v>
      </c>
      <c r="V707" s="1805">
        <f>'Notes- SK Template'!V718</f>
        <v>0</v>
      </c>
      <c r="W707" s="1805">
        <f>'Notes- SK Template'!W718</f>
        <v>0</v>
      </c>
      <c r="X707" s="1805">
        <f>'Notes- SK Template'!X718</f>
        <v>0</v>
      </c>
      <c r="Y707" s="1991">
        <f>'Notes- SK Template'!Y718</f>
        <v>0</v>
      </c>
      <c r="Z707" s="1804">
        <f>'Notes- SK Template'!Z718</f>
        <v>0</v>
      </c>
      <c r="AA707" s="1805">
        <f>'Notes- SK Template'!AA718</f>
        <v>0</v>
      </c>
      <c r="AB707" s="1805">
        <f>'Notes- SK Template'!AB718</f>
        <v>0</v>
      </c>
      <c r="AC707" s="1821">
        <f>'Notes- SK Template'!AC718</f>
        <v>0</v>
      </c>
      <c r="AD707" s="1820">
        <f>'Notes- SK Template'!AD718</f>
        <v>0</v>
      </c>
      <c r="AE707" s="1805">
        <f>'Notes- SK Template'!AE718</f>
        <v>0</v>
      </c>
      <c r="AF707" s="1805">
        <f>'Notes- SK Template'!AF718</f>
        <v>0</v>
      </c>
      <c r="AG707" s="1821">
        <f>'Notes- SK Template'!AG718</f>
        <v>0</v>
      </c>
    </row>
    <row r="708" spans="4:33" ht="24.75" customHeight="1">
      <c r="D708" s="2000" t="s">
        <v>1750</v>
      </c>
      <c r="E708" s="2001"/>
      <c r="F708" s="2001"/>
      <c r="G708" s="2001"/>
      <c r="H708" s="2001"/>
      <c r="I708" s="2001"/>
      <c r="J708" s="2001"/>
      <c r="K708" s="2001"/>
      <c r="L708" s="2001"/>
      <c r="M708" s="2002"/>
      <c r="N708" s="1871">
        <f>'Notes- SK Template'!N719</f>
        <v>5542</v>
      </c>
      <c r="O708" s="1828">
        <f>'Notes- SK Template'!O719</f>
        <v>0</v>
      </c>
      <c r="P708" s="1828">
        <f>'Notes- SK Template'!P719</f>
        <v>0</v>
      </c>
      <c r="Q708" s="1828">
        <f>'Notes- SK Template'!Q719</f>
        <v>0</v>
      </c>
      <c r="R708" s="1828">
        <f>'Notes- SK Template'!R719</f>
        <v>6276</v>
      </c>
      <c r="S708" s="1828">
        <f>'Notes- SK Template'!S719</f>
        <v>0</v>
      </c>
      <c r="T708" s="1828">
        <f>'Notes- SK Template'!T719</f>
        <v>0</v>
      </c>
      <c r="U708" s="1828">
        <f>'Notes- SK Template'!U719</f>
        <v>0</v>
      </c>
      <c r="V708" s="1828">
        <f>'Notes- SK Template'!V719</f>
        <v>6684</v>
      </c>
      <c r="W708" s="1828">
        <f>'Notes- SK Template'!W719</f>
        <v>0</v>
      </c>
      <c r="X708" s="1828">
        <f>'Notes- SK Template'!X719</f>
        <v>0</v>
      </c>
      <c r="Y708" s="1992">
        <f>'Notes- SK Template'!Y719</f>
        <v>0</v>
      </c>
      <c r="Z708" s="1984">
        <f>'Notes- SK Template'!Z719</f>
        <v>-734</v>
      </c>
      <c r="AA708" s="1828">
        <f>'Notes- SK Template'!AA719</f>
        <v>0</v>
      </c>
      <c r="AB708" s="1828">
        <f>'Notes- SK Template'!AB719</f>
        <v>0</v>
      </c>
      <c r="AC708" s="1985">
        <f>'Notes- SK Template'!AC719</f>
        <v>0</v>
      </c>
      <c r="AD708" s="1871">
        <f>'Notes- SK Template'!AD719</f>
        <v>-408</v>
      </c>
      <c r="AE708" s="1828">
        <f>'Notes- SK Template'!AE719</f>
        <v>0</v>
      </c>
      <c r="AF708" s="1828">
        <f>'Notes- SK Template'!AF719</f>
        <v>0</v>
      </c>
      <c r="AG708" s="1985">
        <f>'Notes- SK Template'!AG719</f>
        <v>0</v>
      </c>
    </row>
    <row r="709" spans="4:33" ht="24.75" customHeight="1">
      <c r="D709" s="1997" t="s">
        <v>1933</v>
      </c>
      <c r="E709" s="1998"/>
      <c r="F709" s="1998"/>
      <c r="G709" s="1998"/>
      <c r="H709" s="1998"/>
      <c r="I709" s="1998"/>
      <c r="J709" s="1998"/>
      <c r="K709" s="1998"/>
      <c r="L709" s="1998"/>
      <c r="M709" s="1999"/>
      <c r="N709" s="1872" t="str">
        <f>'Notes- SK Template'!N720</f>
        <v>x</v>
      </c>
      <c r="O709" s="1873">
        <f>'Notes- SK Template'!O720</f>
        <v>0</v>
      </c>
      <c r="P709" s="1873">
        <f>'Notes- SK Template'!P720</f>
        <v>0</v>
      </c>
      <c r="Q709" s="1873">
        <f>'Notes- SK Template'!Q720</f>
        <v>0</v>
      </c>
      <c r="R709" s="1873" t="str">
        <f>'Notes- SK Template'!R720</f>
        <v>x</v>
      </c>
      <c r="S709" s="1873">
        <f>'Notes- SK Template'!S720</f>
        <v>0</v>
      </c>
      <c r="T709" s="1873">
        <f>'Notes- SK Template'!T720</f>
        <v>0</v>
      </c>
      <c r="U709" s="1873">
        <f>'Notes- SK Template'!U720</f>
        <v>0</v>
      </c>
      <c r="V709" s="1873" t="str">
        <f>'Notes- SK Template'!V720</f>
        <v>x</v>
      </c>
      <c r="W709" s="1873">
        <f>'Notes- SK Template'!W720</f>
        <v>0</v>
      </c>
      <c r="X709" s="1873">
        <f>'Notes- SK Template'!X720</f>
        <v>0</v>
      </c>
      <c r="Y709" s="1993">
        <f>'Notes- SK Template'!Y720</f>
        <v>0</v>
      </c>
      <c r="Z709" s="1804">
        <f>'Notes- SK Template'!Z720</f>
        <v>0</v>
      </c>
      <c r="AA709" s="1805">
        <f>'Notes- SK Template'!AA720</f>
        <v>0</v>
      </c>
      <c r="AB709" s="1805">
        <f>'Notes- SK Template'!AB720</f>
        <v>0</v>
      </c>
      <c r="AC709" s="1821">
        <f>'Notes- SK Template'!AC720</f>
        <v>0</v>
      </c>
      <c r="AD709" s="1820">
        <f>'Notes- SK Template'!AD720</f>
        <v>0</v>
      </c>
      <c r="AE709" s="1805">
        <f>'Notes- SK Template'!AE720</f>
        <v>0</v>
      </c>
      <c r="AF709" s="1805">
        <f>'Notes- SK Template'!AF720</f>
        <v>0</v>
      </c>
      <c r="AG709" s="1821">
        <f>'Notes- SK Template'!AG720</f>
        <v>0</v>
      </c>
    </row>
    <row r="710" spans="4:33" ht="24.75" customHeight="1">
      <c r="D710" s="1997" t="s">
        <v>1934</v>
      </c>
      <c r="E710" s="1998"/>
      <c r="F710" s="1998"/>
      <c r="G710" s="1998"/>
      <c r="H710" s="1998"/>
      <c r="I710" s="1998"/>
      <c r="J710" s="1998"/>
      <c r="K710" s="1998"/>
      <c r="L710" s="1998"/>
      <c r="M710" s="1999"/>
      <c r="N710" s="1872" t="str">
        <f>'Notes- SK Template'!N721</f>
        <v>x</v>
      </c>
      <c r="O710" s="1873">
        <f>'Notes- SK Template'!O721</f>
        <v>0</v>
      </c>
      <c r="P710" s="1873">
        <f>'Notes- SK Template'!P721</f>
        <v>0</v>
      </c>
      <c r="Q710" s="1873">
        <f>'Notes- SK Template'!Q721</f>
        <v>0</v>
      </c>
      <c r="R710" s="1873" t="str">
        <f>'Notes- SK Template'!R721</f>
        <v>x</v>
      </c>
      <c r="S710" s="1873">
        <f>'Notes- SK Template'!S721</f>
        <v>0</v>
      </c>
      <c r="T710" s="1873">
        <f>'Notes- SK Template'!T721</f>
        <v>0</v>
      </c>
      <c r="U710" s="1873">
        <f>'Notes- SK Template'!U721</f>
        <v>0</v>
      </c>
      <c r="V710" s="1873" t="str">
        <f>'Notes- SK Template'!V721</f>
        <v>x</v>
      </c>
      <c r="W710" s="1873">
        <f>'Notes- SK Template'!W721</f>
        <v>0</v>
      </c>
      <c r="X710" s="1873">
        <f>'Notes- SK Template'!X721</f>
        <v>0</v>
      </c>
      <c r="Y710" s="1993">
        <f>'Notes- SK Template'!Y721</f>
        <v>0</v>
      </c>
      <c r="Z710" s="1804">
        <f>'Notes- SK Template'!Z721</f>
        <v>0</v>
      </c>
      <c r="AA710" s="1805">
        <f>'Notes- SK Template'!AA721</f>
        <v>0</v>
      </c>
      <c r="AB710" s="1805">
        <f>'Notes- SK Template'!AB721</f>
        <v>0</v>
      </c>
      <c r="AC710" s="1821">
        <f>'Notes- SK Template'!AC721</f>
        <v>0</v>
      </c>
      <c r="AD710" s="1820">
        <f>'Notes- SK Template'!AD721</f>
        <v>0</v>
      </c>
      <c r="AE710" s="1805">
        <f>'Notes- SK Template'!AE721</f>
        <v>0</v>
      </c>
      <c r="AF710" s="1805">
        <f>'Notes- SK Template'!AF721</f>
        <v>0</v>
      </c>
      <c r="AG710" s="1821">
        <f>'Notes- SK Template'!AG721</f>
        <v>0</v>
      </c>
    </row>
    <row r="711" spans="4:33" ht="24.75" customHeight="1">
      <c r="D711" s="1997" t="s">
        <v>1935</v>
      </c>
      <c r="E711" s="1998"/>
      <c r="F711" s="1998"/>
      <c r="G711" s="1998"/>
      <c r="H711" s="1998"/>
      <c r="I711" s="1998"/>
      <c r="J711" s="1998"/>
      <c r="K711" s="1998"/>
      <c r="L711" s="1998"/>
      <c r="M711" s="1999"/>
      <c r="N711" s="1872" t="str">
        <f>'Notes- SK Template'!N722</f>
        <v>x</v>
      </c>
      <c r="O711" s="1873">
        <f>'Notes- SK Template'!O722</f>
        <v>0</v>
      </c>
      <c r="P711" s="1873">
        <f>'Notes- SK Template'!P722</f>
        <v>0</v>
      </c>
      <c r="Q711" s="1873">
        <f>'Notes- SK Template'!Q722</f>
        <v>0</v>
      </c>
      <c r="R711" s="1873" t="str">
        <f>'Notes- SK Template'!R722</f>
        <v>x</v>
      </c>
      <c r="S711" s="1873">
        <f>'Notes- SK Template'!S722</f>
        <v>0</v>
      </c>
      <c r="T711" s="1873">
        <f>'Notes- SK Template'!T722</f>
        <v>0</v>
      </c>
      <c r="U711" s="1873">
        <f>'Notes- SK Template'!U722</f>
        <v>0</v>
      </c>
      <c r="V711" s="1873" t="str">
        <f>'Notes- SK Template'!V722</f>
        <v>x</v>
      </c>
      <c r="W711" s="1873">
        <f>'Notes- SK Template'!W722</f>
        <v>0</v>
      </c>
      <c r="X711" s="1873">
        <f>'Notes- SK Template'!X722</f>
        <v>0</v>
      </c>
      <c r="Y711" s="1993">
        <f>'Notes- SK Template'!Y722</f>
        <v>0</v>
      </c>
      <c r="Z711" s="1804">
        <f>'Notes- SK Template'!Z722</f>
        <v>0</v>
      </c>
      <c r="AA711" s="1805">
        <f>'Notes- SK Template'!AA722</f>
        <v>0</v>
      </c>
      <c r="AB711" s="1805">
        <f>'Notes- SK Template'!AB722</f>
        <v>0</v>
      </c>
      <c r="AC711" s="1821">
        <f>'Notes- SK Template'!AC722</f>
        <v>0</v>
      </c>
      <c r="AD711" s="1820">
        <f>'Notes- SK Template'!AD722</f>
        <v>0</v>
      </c>
      <c r="AE711" s="1805">
        <f>'Notes- SK Template'!AE722</f>
        <v>0</v>
      </c>
      <c r="AF711" s="1805">
        <f>'Notes- SK Template'!AF722</f>
        <v>0</v>
      </c>
      <c r="AG711" s="1821">
        <f>'Notes- SK Template'!AG722</f>
        <v>0</v>
      </c>
    </row>
    <row r="712" spans="4:33" ht="24.75" customHeight="1" thickBot="1">
      <c r="D712" s="1996" t="s">
        <v>1877</v>
      </c>
      <c r="E712" s="1996"/>
      <c r="F712" s="1996"/>
      <c r="G712" s="1996"/>
      <c r="H712" s="1996"/>
      <c r="I712" s="1996"/>
      <c r="J712" s="1996"/>
      <c r="K712" s="1996"/>
      <c r="L712" s="1996"/>
      <c r="M712" s="1996"/>
      <c r="N712" s="1874" t="str">
        <f>'Notes- SK Template'!N723</f>
        <v>x</v>
      </c>
      <c r="O712" s="1875">
        <f>'Notes- SK Template'!O723</f>
        <v>0</v>
      </c>
      <c r="P712" s="1875">
        <f>'Notes- SK Template'!P723</f>
        <v>0</v>
      </c>
      <c r="Q712" s="1876">
        <f>'Notes- SK Template'!Q723</f>
        <v>0</v>
      </c>
      <c r="R712" s="1986" t="str">
        <f>'Notes- SK Template'!R723</f>
        <v>x</v>
      </c>
      <c r="S712" s="1875">
        <f>'Notes- SK Template'!S723</f>
        <v>0</v>
      </c>
      <c r="T712" s="1875">
        <f>'Notes- SK Template'!T723</f>
        <v>0</v>
      </c>
      <c r="U712" s="1987">
        <f>'Notes- SK Template'!U723</f>
        <v>0</v>
      </c>
      <c r="V712" s="1874" t="str">
        <f>'Notes- SK Template'!V723</f>
        <v>x</v>
      </c>
      <c r="W712" s="1875">
        <f>'Notes- SK Template'!W723</f>
        <v>0</v>
      </c>
      <c r="X712" s="1875">
        <f>'Notes- SK Template'!X723</f>
        <v>0</v>
      </c>
      <c r="Y712" s="1876">
        <f>'Notes- SK Template'!Y723</f>
        <v>0</v>
      </c>
      <c r="Z712" s="1859">
        <f>'Notes- SK Template'!Z723</f>
        <v>0</v>
      </c>
      <c r="AA712" s="1859">
        <f>'Notes- SK Template'!AA723</f>
        <v>0</v>
      </c>
      <c r="AB712" s="1859">
        <f>'Notes- SK Template'!AB723</f>
        <v>0</v>
      </c>
      <c r="AC712" s="1859">
        <f>'Notes- SK Template'!AC723</f>
        <v>0</v>
      </c>
      <c r="AD712" s="1858">
        <f>'Notes- SK Template'!AD723</f>
        <v>0</v>
      </c>
      <c r="AE712" s="1859">
        <f>'Notes- SK Template'!AE723</f>
        <v>0</v>
      </c>
      <c r="AF712" s="1859">
        <f>'Notes- SK Template'!AF723</f>
        <v>0</v>
      </c>
      <c r="AG712" s="1859">
        <f>'Notes- SK Template'!AG723</f>
        <v>0</v>
      </c>
    </row>
    <row r="713" spans="4:33" ht="28.5" customHeight="1" thickBot="1">
      <c r="D713" s="1995" t="s">
        <v>1936</v>
      </c>
      <c r="E713" s="1995"/>
      <c r="F713" s="1995"/>
      <c r="G713" s="1995"/>
      <c r="H713" s="1995"/>
      <c r="I713" s="1995"/>
      <c r="J713" s="1995"/>
      <c r="K713" s="1995"/>
      <c r="L713" s="1995"/>
      <c r="M713" s="1995"/>
      <c r="N713" s="1905" t="str">
        <f>'Notes- SK Template'!N724</f>
        <v>x</v>
      </c>
      <c r="O713" s="1905">
        <f>'Notes- SK Template'!O724</f>
        <v>0</v>
      </c>
      <c r="P713" s="1905">
        <f>'Notes- SK Template'!P724</f>
        <v>0</v>
      </c>
      <c r="Q713" s="1906">
        <f>'Notes- SK Template'!Q724</f>
        <v>0</v>
      </c>
      <c r="R713" s="1988" t="str">
        <f>'Notes- SK Template'!R724</f>
        <v>x</v>
      </c>
      <c r="S713" s="1905">
        <f>'Notes- SK Template'!S724</f>
        <v>0</v>
      </c>
      <c r="T713" s="1905">
        <f>'Notes- SK Template'!T724</f>
        <v>0</v>
      </c>
      <c r="U713" s="1989">
        <f>'Notes- SK Template'!U724</f>
        <v>0</v>
      </c>
      <c r="V713" s="1994" t="str">
        <f>'Notes- SK Template'!V724</f>
        <v>x</v>
      </c>
      <c r="W713" s="1905">
        <f>'Notes- SK Template'!W724</f>
        <v>0</v>
      </c>
      <c r="X713" s="1905">
        <f>'Notes- SK Template'!X724</f>
        <v>0</v>
      </c>
      <c r="Y713" s="1905">
        <f>'Notes- SK Template'!Y724</f>
        <v>0</v>
      </c>
      <c r="Z713" s="1849">
        <f>'Notes- SK Template'!Z724</f>
        <v>-734</v>
      </c>
      <c r="AA713" s="1849">
        <f>'Notes- SK Template'!AA724</f>
        <v>0</v>
      </c>
      <c r="AB713" s="1849">
        <f>'Notes- SK Template'!AB724</f>
        <v>0</v>
      </c>
      <c r="AC713" s="1849">
        <f>'Notes- SK Template'!AC724</f>
        <v>0</v>
      </c>
      <c r="AD713" s="1849">
        <f>'Notes- SK Template'!AD724</f>
        <v>-408</v>
      </c>
      <c r="AE713" s="1849">
        <f>'Notes- SK Template'!AE724</f>
        <v>0</v>
      </c>
      <c r="AF713" s="1849">
        <f>'Notes- SK Template'!AF724</f>
        <v>0</v>
      </c>
      <c r="AG713" s="1849">
        <f>'Notes- SK Template'!AG724</f>
        <v>0</v>
      </c>
    </row>
    <row r="716" spans="4:33" ht="14.25" customHeight="1">
      <c r="D716" s="1978" t="s">
        <v>3090</v>
      </c>
      <c r="E716" s="1978"/>
      <c r="F716" s="1978"/>
      <c r="G716" s="1978"/>
      <c r="H716" s="1978"/>
      <c r="I716" s="1978"/>
      <c r="J716" s="1978"/>
      <c r="K716" s="1978"/>
      <c r="L716" s="1978"/>
      <c r="M716" s="1978"/>
      <c r="N716" s="1978"/>
      <c r="O716" s="1978"/>
      <c r="P716" s="1978"/>
      <c r="Q716" s="1978"/>
      <c r="R716" s="1978"/>
      <c r="S716" s="1978"/>
      <c r="T716" s="1978"/>
      <c r="U716" s="1978"/>
      <c r="V716" s="1978"/>
      <c r="W716" s="1978"/>
      <c r="X716" s="1978"/>
      <c r="Y716" s="1978"/>
      <c r="Z716" s="1978"/>
      <c r="AA716" s="1978"/>
      <c r="AB716" s="1978"/>
      <c r="AC716" s="1978"/>
      <c r="AD716" s="1978"/>
      <c r="AE716" s="1978"/>
      <c r="AF716" s="1978"/>
      <c r="AG716" s="1978"/>
    </row>
    <row r="718" spans="4:33" ht="14.25" customHeight="1">
      <c r="D718" s="2126" t="s">
        <v>3091</v>
      </c>
      <c r="E718" s="2197"/>
      <c r="F718" s="2197"/>
      <c r="G718" s="2197"/>
      <c r="H718" s="2197"/>
      <c r="I718" s="2197"/>
      <c r="J718" s="2197"/>
      <c r="K718" s="2197"/>
      <c r="L718" s="2197"/>
      <c r="M718" s="2197"/>
      <c r="N718" s="2197"/>
      <c r="O718" s="2197"/>
      <c r="P718" s="2197"/>
      <c r="Q718" s="2197"/>
      <c r="R718" s="2197"/>
      <c r="S718" s="2197"/>
      <c r="T718" s="2197"/>
      <c r="U718" s="2197"/>
      <c r="V718" s="2197"/>
      <c r="W718" s="2197"/>
      <c r="X718" s="2197"/>
      <c r="Y718" s="2197"/>
      <c r="Z718" s="2197"/>
      <c r="AA718" s="2197"/>
      <c r="AB718" s="2197"/>
      <c r="AC718" s="2197"/>
      <c r="AD718" s="2197"/>
      <c r="AE718" s="2197"/>
      <c r="AF718" s="2197"/>
      <c r="AG718" s="2197"/>
    </row>
    <row r="719" spans="4:33" ht="6.75" customHeight="1">
      <c r="D719" s="2197"/>
      <c r="E719" s="2197"/>
      <c r="F719" s="2197"/>
      <c r="G719" s="2197"/>
      <c r="H719" s="2197"/>
      <c r="I719" s="2197"/>
      <c r="J719" s="2197"/>
      <c r="K719" s="2197"/>
      <c r="L719" s="2197"/>
      <c r="M719" s="2197"/>
      <c r="N719" s="2197"/>
      <c r="O719" s="2197"/>
      <c r="P719" s="2197"/>
      <c r="Q719" s="2197"/>
      <c r="R719" s="2197"/>
      <c r="S719" s="2197"/>
      <c r="T719" s="2197"/>
      <c r="U719" s="2197"/>
      <c r="V719" s="2197"/>
      <c r="W719" s="2197"/>
      <c r="X719" s="2197"/>
      <c r="Y719" s="2197"/>
      <c r="Z719" s="2197"/>
      <c r="AA719" s="2197"/>
      <c r="AB719" s="2197"/>
      <c r="AC719" s="2197"/>
      <c r="AD719" s="2197"/>
      <c r="AE719" s="2197"/>
      <c r="AF719" s="2197"/>
      <c r="AG719" s="2197"/>
    </row>
    <row r="720" spans="4:33" ht="14.25" customHeight="1" thickBot="1"/>
    <row r="721" spans="1:33" ht="14.25" customHeight="1" thickBot="1">
      <c r="A721" s="597">
        <v>37</v>
      </c>
      <c r="D721" s="1887" t="s">
        <v>1739</v>
      </c>
      <c r="E721" s="1888"/>
      <c r="F721" s="1888"/>
      <c r="G721" s="1888"/>
      <c r="H721" s="1888"/>
      <c r="I721" s="1888"/>
      <c r="J721" s="1888"/>
      <c r="K721" s="1888"/>
      <c r="L721" s="1888"/>
      <c r="M721" s="1889"/>
      <c r="N721" s="1877" t="s">
        <v>1740</v>
      </c>
      <c r="O721" s="1878"/>
      <c r="P721" s="1878"/>
      <c r="Q721" s="1878"/>
      <c r="R721" s="1878"/>
      <c r="S721" s="1878"/>
      <c r="T721" s="1878"/>
      <c r="U721" s="1878"/>
      <c r="V721" s="1878"/>
      <c r="W721" s="1878"/>
      <c r="X721" s="1877" t="s">
        <v>1858</v>
      </c>
      <c r="Y721" s="1878"/>
      <c r="Z721" s="1878"/>
      <c r="AA721" s="1878"/>
      <c r="AB721" s="1878"/>
      <c r="AC721" s="1878"/>
      <c r="AD721" s="1878"/>
      <c r="AE721" s="1878"/>
      <c r="AF721" s="1878"/>
      <c r="AG721" s="1881"/>
    </row>
    <row r="722" spans="1:33" ht="14.25" customHeight="1" thickBot="1">
      <c r="D722" s="1887"/>
      <c r="E722" s="1888"/>
      <c r="F722" s="1888"/>
      <c r="G722" s="1888"/>
      <c r="H722" s="1888"/>
      <c r="I722" s="1888"/>
      <c r="J722" s="1888"/>
      <c r="K722" s="1888"/>
      <c r="L722" s="1888"/>
      <c r="M722" s="1889"/>
      <c r="N722" s="1879"/>
      <c r="O722" s="1880"/>
      <c r="P722" s="1880"/>
      <c r="Q722" s="1880"/>
      <c r="R722" s="1880"/>
      <c r="S722" s="1880"/>
      <c r="T722" s="1880"/>
      <c r="U722" s="1880"/>
      <c r="V722" s="1880"/>
      <c r="W722" s="1880"/>
      <c r="X722" s="1879"/>
      <c r="Y722" s="1880"/>
      <c r="Z722" s="1880"/>
      <c r="AA722" s="1880"/>
      <c r="AB722" s="1880"/>
      <c r="AC722" s="1880"/>
      <c r="AD722" s="1880"/>
      <c r="AE722" s="1880"/>
      <c r="AF722" s="1880"/>
      <c r="AG722" s="1882"/>
    </row>
    <row r="723" spans="1:33" s="588" customFormat="1" ht="27.25" customHeight="1">
      <c r="A723" s="631"/>
      <c r="D723" s="1980" t="s">
        <v>1937</v>
      </c>
      <c r="E723" s="1981"/>
      <c r="F723" s="1981"/>
      <c r="G723" s="1981"/>
      <c r="H723" s="1981"/>
      <c r="I723" s="1981"/>
      <c r="J723" s="1981"/>
      <c r="K723" s="1981"/>
      <c r="L723" s="1981"/>
      <c r="M723" s="1982"/>
      <c r="N723" s="1983">
        <f>'Notes- SK Template'!N733</f>
        <v>0</v>
      </c>
      <c r="O723" s="1983">
        <f>'Notes- SK Template'!O733</f>
        <v>0</v>
      </c>
      <c r="P723" s="1983">
        <f>'Notes- SK Template'!P733</f>
        <v>0</v>
      </c>
      <c r="Q723" s="1983">
        <f>'Notes- SK Template'!Q733</f>
        <v>0</v>
      </c>
      <c r="R723" s="1983">
        <f>'Notes- SK Template'!R733</f>
        <v>0</v>
      </c>
      <c r="S723" s="1983">
        <f>'Notes- SK Template'!S733</f>
        <v>0</v>
      </c>
      <c r="T723" s="1983">
        <f>'Notes- SK Template'!T733</f>
        <v>0</v>
      </c>
      <c r="U723" s="1983">
        <f>'Notes- SK Template'!U733</f>
        <v>0</v>
      </c>
      <c r="V723" s="1983">
        <f>'Notes- SK Template'!V733</f>
        <v>0</v>
      </c>
      <c r="W723" s="1983">
        <f>'Notes- SK Template'!W733</f>
        <v>0</v>
      </c>
      <c r="X723" s="1983">
        <f>'Notes- SK Template'!X733</f>
        <v>0</v>
      </c>
      <c r="Y723" s="1983">
        <f>'Notes- SK Template'!Y733</f>
        <v>0</v>
      </c>
      <c r="Z723" s="1983">
        <f>'Notes- SK Template'!Z733</f>
        <v>0</v>
      </c>
      <c r="AA723" s="1983">
        <f>'Notes- SK Template'!AA733</f>
        <v>0</v>
      </c>
      <c r="AB723" s="1983">
        <f>'Notes- SK Template'!AB733</f>
        <v>0</v>
      </c>
      <c r="AC723" s="1983">
        <f>'Notes- SK Template'!AC733</f>
        <v>0</v>
      </c>
      <c r="AD723" s="1983">
        <f>'Notes- SK Template'!AD733</f>
        <v>0</v>
      </c>
      <c r="AE723" s="1983">
        <f>'Notes- SK Template'!AE733</f>
        <v>0</v>
      </c>
      <c r="AF723" s="1983">
        <f>'Notes- SK Template'!AF733</f>
        <v>0</v>
      </c>
      <c r="AG723" s="1983">
        <f>'Notes- SK Template'!AG733</f>
        <v>0</v>
      </c>
    </row>
    <row r="724" spans="1:33" s="588" customFormat="1" ht="27.25" customHeight="1">
      <c r="A724" s="631"/>
      <c r="D724" s="1867" t="s">
        <v>2817</v>
      </c>
      <c r="E724" s="1822">
        <f>'Notes- SK Template'!E734</f>
        <v>0</v>
      </c>
      <c r="F724" s="1822">
        <f>'Notes- SK Template'!F734</f>
        <v>0</v>
      </c>
      <c r="G724" s="1822">
        <f>'Notes- SK Template'!G734</f>
        <v>0</v>
      </c>
      <c r="H724" s="1822">
        <f>'Notes- SK Template'!H734</f>
        <v>0</v>
      </c>
      <c r="I724" s="1822">
        <f>'Notes- SK Template'!I734</f>
        <v>0</v>
      </c>
      <c r="J724" s="1822">
        <f>'Notes- SK Template'!J734</f>
        <v>0</v>
      </c>
      <c r="K724" s="1822">
        <f>'Notes- SK Template'!K734</f>
        <v>0</v>
      </c>
      <c r="L724" s="1822">
        <f>'Notes- SK Template'!L734</f>
        <v>0</v>
      </c>
      <c r="M724" s="1822">
        <f>'Notes- SK Template'!M734</f>
        <v>0</v>
      </c>
      <c r="N724" s="1792">
        <f>'Notes- SK Template'!N734</f>
        <v>0</v>
      </c>
      <c r="O724" s="1792">
        <f>'Notes- SK Template'!O734</f>
        <v>0</v>
      </c>
      <c r="P724" s="1792">
        <f>'Notes- SK Template'!P734</f>
        <v>0</v>
      </c>
      <c r="Q724" s="1792">
        <f>'Notes- SK Template'!Q734</f>
        <v>0</v>
      </c>
      <c r="R724" s="1792">
        <f>'Notes- SK Template'!R734</f>
        <v>0</v>
      </c>
      <c r="S724" s="1792">
        <f>'Notes- SK Template'!S734</f>
        <v>0</v>
      </c>
      <c r="T724" s="1792">
        <f>'Notes- SK Template'!T734</f>
        <v>0</v>
      </c>
      <c r="U724" s="1792">
        <f>'Notes- SK Template'!U734</f>
        <v>0</v>
      </c>
      <c r="V724" s="1792">
        <f>'Notes- SK Template'!V734</f>
        <v>0</v>
      </c>
      <c r="W724" s="1792">
        <f>'Notes- SK Template'!W734</f>
        <v>0</v>
      </c>
      <c r="X724" s="1792">
        <f>'Notes- SK Template'!X734</f>
        <v>0</v>
      </c>
      <c r="Y724" s="1792">
        <f>'Notes- SK Template'!Y734</f>
        <v>0</v>
      </c>
      <c r="Z724" s="1792">
        <f>'Notes- SK Template'!Z734</f>
        <v>0</v>
      </c>
      <c r="AA724" s="1792">
        <f>'Notes- SK Template'!AA734</f>
        <v>0</v>
      </c>
      <c r="AB724" s="1792">
        <f>'Notes- SK Template'!AB734</f>
        <v>0</v>
      </c>
      <c r="AC724" s="1792">
        <f>'Notes- SK Template'!AC734</f>
        <v>0</v>
      </c>
      <c r="AD724" s="1792">
        <f>'Notes- SK Template'!AD734</f>
        <v>0</v>
      </c>
      <c r="AE724" s="1792">
        <f>'Notes- SK Template'!AE734</f>
        <v>0</v>
      </c>
      <c r="AF724" s="1792">
        <f>'Notes- SK Template'!AF734</f>
        <v>0</v>
      </c>
      <c r="AG724" s="1792">
        <f>'Notes- SK Template'!AG734</f>
        <v>0</v>
      </c>
    </row>
    <row r="725" spans="1:33" s="588" customFormat="1" ht="27.25" customHeight="1">
      <c r="A725" s="631"/>
      <c r="D725" s="1822"/>
      <c r="E725" s="1822"/>
      <c r="F725" s="1822"/>
      <c r="G725" s="1822"/>
      <c r="H725" s="1822"/>
      <c r="I725" s="1822"/>
      <c r="J725" s="1822"/>
      <c r="K725" s="1822"/>
      <c r="L725" s="1822"/>
      <c r="M725" s="1822"/>
      <c r="N725" s="1792"/>
      <c r="O725" s="1792"/>
      <c r="P725" s="1792"/>
      <c r="Q725" s="1792"/>
      <c r="R725" s="1792"/>
      <c r="S725" s="1792"/>
      <c r="T725" s="1792"/>
      <c r="U725" s="1792"/>
      <c r="V725" s="1792"/>
      <c r="W725" s="1792"/>
      <c r="X725" s="1792"/>
      <c r="Y725" s="1792"/>
      <c r="Z725" s="1792"/>
      <c r="AA725" s="1792"/>
      <c r="AB725" s="1792"/>
      <c r="AC725" s="1792"/>
      <c r="AD725" s="1792"/>
      <c r="AE725" s="1792"/>
      <c r="AF725" s="1792"/>
      <c r="AG725" s="1792"/>
    </row>
    <row r="726" spans="1:33" s="588" customFormat="1" ht="27.25" customHeight="1">
      <c r="A726" s="631"/>
      <c r="D726" s="1890" t="s">
        <v>1938</v>
      </c>
      <c r="E726" s="1890"/>
      <c r="F726" s="1890"/>
      <c r="G726" s="1890"/>
      <c r="H726" s="1890"/>
      <c r="I726" s="1890"/>
      <c r="J726" s="1890"/>
      <c r="K726" s="1890"/>
      <c r="L726" s="1890"/>
      <c r="M726" s="1890"/>
      <c r="N726" s="1891">
        <f>'Notes- SK Template'!N736</f>
        <v>894077</v>
      </c>
      <c r="O726" s="1891">
        <f>'Notes- SK Template'!O736</f>
        <v>0</v>
      </c>
      <c r="P726" s="1891">
        <f>'Notes- SK Template'!P736</f>
        <v>0</v>
      </c>
      <c r="Q726" s="1891">
        <f>'Notes- SK Template'!Q736</f>
        <v>0</v>
      </c>
      <c r="R726" s="1891">
        <f>'Notes- SK Template'!R736</f>
        <v>0</v>
      </c>
      <c r="S726" s="1891">
        <f>'Notes- SK Template'!S736</f>
        <v>0</v>
      </c>
      <c r="T726" s="1891">
        <f>'Notes- SK Template'!T736</f>
        <v>0</v>
      </c>
      <c r="U726" s="1891">
        <f>'Notes- SK Template'!U736</f>
        <v>0</v>
      </c>
      <c r="V726" s="1891">
        <f>'Notes- SK Template'!V736</f>
        <v>0</v>
      </c>
      <c r="W726" s="1891">
        <f>'Notes- SK Template'!W736</f>
        <v>0</v>
      </c>
      <c r="X726" s="1891">
        <f>'Notes- SK Template'!X736</f>
        <v>77462</v>
      </c>
      <c r="Y726" s="1891">
        <f>'Notes- SK Template'!Y736</f>
        <v>0</v>
      </c>
      <c r="Z726" s="1891">
        <f>'Notes- SK Template'!Z736</f>
        <v>0</v>
      </c>
      <c r="AA726" s="1891">
        <f>'Notes- SK Template'!AA736</f>
        <v>0</v>
      </c>
      <c r="AB726" s="1891">
        <f>'Notes- SK Template'!AB736</f>
        <v>0</v>
      </c>
      <c r="AC726" s="1891">
        <f>'Notes- SK Template'!AC736</f>
        <v>0</v>
      </c>
      <c r="AD726" s="1891">
        <f>'Notes- SK Template'!AD736</f>
        <v>0</v>
      </c>
      <c r="AE726" s="1891">
        <f>'Notes- SK Template'!AE736</f>
        <v>0</v>
      </c>
      <c r="AF726" s="1891">
        <f>'Notes- SK Template'!AF736</f>
        <v>0</v>
      </c>
      <c r="AG726" s="1891">
        <f>'Notes- SK Template'!AG736</f>
        <v>0</v>
      </c>
    </row>
    <row r="727" spans="1:33" s="588" customFormat="1" ht="27.25" customHeight="1">
      <c r="A727" s="631"/>
      <c r="D727" s="1867" t="s">
        <v>2816</v>
      </c>
      <c r="E727" s="1822">
        <f>'Notes- SK Template'!E737</f>
        <v>0</v>
      </c>
      <c r="F727" s="1822">
        <f>'Notes- SK Template'!F737</f>
        <v>0</v>
      </c>
      <c r="G727" s="1822">
        <f>'Notes- SK Template'!G737</f>
        <v>0</v>
      </c>
      <c r="H727" s="1822">
        <f>'Notes- SK Template'!H737</f>
        <v>0</v>
      </c>
      <c r="I727" s="1822">
        <f>'Notes- SK Template'!I737</f>
        <v>0</v>
      </c>
      <c r="J727" s="1822">
        <f>'Notes- SK Template'!J737</f>
        <v>0</v>
      </c>
      <c r="K727" s="1822">
        <f>'Notes- SK Template'!K737</f>
        <v>0</v>
      </c>
      <c r="L727" s="1822">
        <f>'Notes- SK Template'!L737</f>
        <v>0</v>
      </c>
      <c r="M727" s="1822">
        <f>'Notes- SK Template'!M737</f>
        <v>0</v>
      </c>
      <c r="N727" s="1792">
        <f>'Notes- SK Template'!N737</f>
        <v>0</v>
      </c>
      <c r="O727" s="1792">
        <f>'Notes- SK Template'!O737</f>
        <v>0</v>
      </c>
      <c r="P727" s="1792">
        <f>'Notes- SK Template'!P737</f>
        <v>0</v>
      </c>
      <c r="Q727" s="1792">
        <f>'Notes- SK Template'!Q737</f>
        <v>0</v>
      </c>
      <c r="R727" s="1792">
        <f>'Notes- SK Template'!R737</f>
        <v>0</v>
      </c>
      <c r="S727" s="1792">
        <f>'Notes- SK Template'!S737</f>
        <v>0</v>
      </c>
      <c r="T727" s="1792">
        <f>'Notes- SK Template'!T737</f>
        <v>0</v>
      </c>
      <c r="U727" s="1792">
        <f>'Notes- SK Template'!U737</f>
        <v>0</v>
      </c>
      <c r="V727" s="1792">
        <f>'Notes- SK Template'!V737</f>
        <v>0</v>
      </c>
      <c r="W727" s="1792">
        <f>'Notes- SK Template'!W737</f>
        <v>0</v>
      </c>
      <c r="X727" s="1792">
        <f>'Notes- SK Template'!X737</f>
        <v>9584</v>
      </c>
      <c r="Y727" s="1792">
        <f>'Notes- SK Template'!Y737</f>
        <v>0</v>
      </c>
      <c r="Z727" s="1792">
        <f>'Notes- SK Template'!Z737</f>
        <v>0</v>
      </c>
      <c r="AA727" s="1792">
        <f>'Notes- SK Template'!AA737</f>
        <v>0</v>
      </c>
      <c r="AB727" s="1792">
        <f>'Notes- SK Template'!AB737</f>
        <v>0</v>
      </c>
      <c r="AC727" s="1792">
        <f>'Notes- SK Template'!AC737</f>
        <v>0</v>
      </c>
      <c r="AD727" s="1792">
        <f>'Notes- SK Template'!AD737</f>
        <v>0</v>
      </c>
      <c r="AE727" s="1792">
        <f>'Notes- SK Template'!AE737</f>
        <v>0</v>
      </c>
      <c r="AF727" s="1792">
        <f>'Notes- SK Template'!AF737</f>
        <v>0</v>
      </c>
      <c r="AG727" s="1792">
        <f>'Notes- SK Template'!AG737</f>
        <v>0</v>
      </c>
    </row>
    <row r="728" spans="1:33" s="588" customFormat="1" ht="27.25" customHeight="1">
      <c r="A728" s="631"/>
      <c r="D728" s="1867" t="s">
        <v>3093</v>
      </c>
      <c r="E728" s="1822">
        <f>'Notes- SK Template'!E738</f>
        <v>0</v>
      </c>
      <c r="F728" s="1822">
        <f>'Notes- SK Template'!F738</f>
        <v>0</v>
      </c>
      <c r="G728" s="1822">
        <f>'Notes- SK Template'!G738</f>
        <v>0</v>
      </c>
      <c r="H728" s="1822">
        <f>'Notes- SK Template'!H738</f>
        <v>0</v>
      </c>
      <c r="I728" s="1822">
        <f>'Notes- SK Template'!I738</f>
        <v>0</v>
      </c>
      <c r="J728" s="1822">
        <f>'Notes- SK Template'!J738</f>
        <v>0</v>
      </c>
      <c r="K728" s="1822">
        <f>'Notes- SK Template'!K738</f>
        <v>0</v>
      </c>
      <c r="L728" s="1822">
        <f>'Notes- SK Template'!L738</f>
        <v>0</v>
      </c>
      <c r="M728" s="1822">
        <f>'Notes- SK Template'!M738</f>
        <v>0</v>
      </c>
      <c r="N728" s="1792">
        <f>'Notes- SK Template'!N738</f>
        <v>894077</v>
      </c>
      <c r="O728" s="1792">
        <f>'Notes- SK Template'!O738</f>
        <v>0</v>
      </c>
      <c r="P728" s="1792">
        <f>'Notes- SK Template'!P738</f>
        <v>0</v>
      </c>
      <c r="Q728" s="1792">
        <f>'Notes- SK Template'!Q738</f>
        <v>0</v>
      </c>
      <c r="R728" s="1792">
        <f>'Notes- SK Template'!R738</f>
        <v>0</v>
      </c>
      <c r="S728" s="1792">
        <f>'Notes- SK Template'!S738</f>
        <v>0</v>
      </c>
      <c r="T728" s="1792">
        <f>'Notes- SK Template'!T738</f>
        <v>0</v>
      </c>
      <c r="U728" s="1792">
        <f>'Notes- SK Template'!U738</f>
        <v>0</v>
      </c>
      <c r="V728" s="1792">
        <f>'Notes- SK Template'!V738</f>
        <v>0</v>
      </c>
      <c r="W728" s="1792">
        <f>'Notes- SK Template'!W738</f>
        <v>0</v>
      </c>
      <c r="X728" s="1792">
        <f>'Notes- SK Template'!X738</f>
        <v>67878</v>
      </c>
      <c r="Y728" s="1792">
        <f>'Notes- SK Template'!Y738</f>
        <v>0</v>
      </c>
      <c r="Z728" s="1792">
        <f>'Notes- SK Template'!Z738</f>
        <v>0</v>
      </c>
      <c r="AA728" s="1792">
        <f>'Notes- SK Template'!AA738</f>
        <v>0</v>
      </c>
      <c r="AB728" s="1792">
        <f>'Notes- SK Template'!AB738</f>
        <v>0</v>
      </c>
      <c r="AC728" s="1792">
        <f>'Notes- SK Template'!AC738</f>
        <v>0</v>
      </c>
      <c r="AD728" s="1792">
        <f>'Notes- SK Template'!AD738</f>
        <v>0</v>
      </c>
      <c r="AE728" s="1792">
        <f>'Notes- SK Template'!AE738</f>
        <v>0</v>
      </c>
      <c r="AF728" s="1792">
        <f>'Notes- SK Template'!AF738</f>
        <v>0</v>
      </c>
      <c r="AG728" s="1792">
        <f>'Notes- SK Template'!AG738</f>
        <v>0</v>
      </c>
    </row>
    <row r="729" spans="1:33" s="588" customFormat="1" ht="27.25" customHeight="1">
      <c r="A729" s="631"/>
      <c r="D729" s="1890" t="s">
        <v>1939</v>
      </c>
      <c r="E729" s="1890"/>
      <c r="F729" s="1890"/>
      <c r="G729" s="1890"/>
      <c r="H729" s="1890"/>
      <c r="I729" s="1890"/>
      <c r="J729" s="1890"/>
      <c r="K729" s="1890"/>
      <c r="L729" s="1890"/>
      <c r="M729" s="1890"/>
      <c r="N729" s="1792">
        <f>'Notes- SK Template'!N739</f>
        <v>26683</v>
      </c>
      <c r="O729" s="1792">
        <f>'Notes- SK Template'!O739</f>
        <v>0</v>
      </c>
      <c r="P729" s="1792">
        <f>'Notes- SK Template'!P739</f>
        <v>0</v>
      </c>
      <c r="Q729" s="1792">
        <f>'Notes- SK Template'!Q739</f>
        <v>0</v>
      </c>
      <c r="R729" s="1792">
        <f>'Notes- SK Template'!R739</f>
        <v>0</v>
      </c>
      <c r="S729" s="1792">
        <f>'Notes- SK Template'!S739</f>
        <v>0</v>
      </c>
      <c r="T729" s="1792">
        <f>'Notes- SK Template'!T739</f>
        <v>0</v>
      </c>
      <c r="U729" s="1792">
        <f>'Notes- SK Template'!U739</f>
        <v>0</v>
      </c>
      <c r="V729" s="1792">
        <f>'Notes- SK Template'!V739</f>
        <v>0</v>
      </c>
      <c r="W729" s="1792">
        <f>'Notes- SK Template'!W739</f>
        <v>0</v>
      </c>
      <c r="X729" s="1792">
        <f>'Notes- SK Template'!X739</f>
        <v>46176</v>
      </c>
      <c r="Y729" s="1792">
        <f>'Notes- SK Template'!Y739</f>
        <v>0</v>
      </c>
      <c r="Z729" s="1792">
        <f>'Notes- SK Template'!Z739</f>
        <v>0</v>
      </c>
      <c r="AA729" s="1792">
        <f>'Notes- SK Template'!AA739</f>
        <v>0</v>
      </c>
      <c r="AB729" s="1792">
        <f>'Notes- SK Template'!AB739</f>
        <v>0</v>
      </c>
      <c r="AC729" s="1792">
        <f>'Notes- SK Template'!AC739</f>
        <v>0</v>
      </c>
      <c r="AD729" s="1792">
        <f>'Notes- SK Template'!AD739</f>
        <v>0</v>
      </c>
      <c r="AE729" s="1792">
        <f>'Notes- SK Template'!AE739</f>
        <v>0</v>
      </c>
      <c r="AF729" s="1792">
        <f>'Notes- SK Template'!AF739</f>
        <v>0</v>
      </c>
      <c r="AG729" s="1792">
        <f>'Notes- SK Template'!AG739</f>
        <v>0</v>
      </c>
    </row>
    <row r="730" spans="1:33" s="588" customFormat="1" ht="27.25" customHeight="1">
      <c r="A730" s="631"/>
      <c r="D730" s="1868" t="s">
        <v>1940</v>
      </c>
      <c r="E730" s="1868"/>
      <c r="F730" s="1868"/>
      <c r="G730" s="1868"/>
      <c r="H730" s="1868"/>
      <c r="I730" s="1868"/>
      <c r="J730" s="1868"/>
      <c r="K730" s="1868"/>
      <c r="L730" s="1868"/>
      <c r="M730" s="1868"/>
      <c r="N730" s="1792">
        <f>'Notes- SK Template'!N740</f>
        <v>26681</v>
      </c>
      <c r="O730" s="1792">
        <f>'Notes- SK Template'!O740</f>
        <v>0</v>
      </c>
      <c r="P730" s="1792">
        <f>'Notes- SK Template'!P740</f>
        <v>0</v>
      </c>
      <c r="Q730" s="1792">
        <f>'Notes- SK Template'!Q740</f>
        <v>0</v>
      </c>
      <c r="R730" s="1792">
        <f>'Notes- SK Template'!R740</f>
        <v>0</v>
      </c>
      <c r="S730" s="1792">
        <f>'Notes- SK Template'!S740</f>
        <v>0</v>
      </c>
      <c r="T730" s="1792">
        <f>'Notes- SK Template'!T740</f>
        <v>0</v>
      </c>
      <c r="U730" s="1792">
        <f>'Notes- SK Template'!U740</f>
        <v>0</v>
      </c>
      <c r="V730" s="1792">
        <f>'Notes- SK Template'!V740</f>
        <v>0</v>
      </c>
      <c r="W730" s="1792">
        <f>'Notes- SK Template'!W740</f>
        <v>0</v>
      </c>
      <c r="X730" s="1792">
        <f>'Notes- SK Template'!X740</f>
        <v>46176</v>
      </c>
      <c r="Y730" s="1792">
        <f>'Notes- SK Template'!Y740</f>
        <v>0</v>
      </c>
      <c r="Z730" s="1792">
        <f>'Notes- SK Template'!Z740</f>
        <v>0</v>
      </c>
      <c r="AA730" s="1792">
        <f>'Notes- SK Template'!AA740</f>
        <v>0</v>
      </c>
      <c r="AB730" s="1792">
        <f>'Notes- SK Template'!AB740</f>
        <v>0</v>
      </c>
      <c r="AC730" s="1792">
        <f>'Notes- SK Template'!AC740</f>
        <v>0</v>
      </c>
      <c r="AD730" s="1792">
        <f>'Notes- SK Template'!AD740</f>
        <v>0</v>
      </c>
      <c r="AE730" s="1792">
        <f>'Notes- SK Template'!AE740</f>
        <v>0</v>
      </c>
      <c r="AF730" s="1792">
        <f>'Notes- SK Template'!AF740</f>
        <v>0</v>
      </c>
      <c r="AG730" s="1792">
        <f>'Notes- SK Template'!AG740</f>
        <v>0</v>
      </c>
    </row>
    <row r="731" spans="1:33" s="588" customFormat="1" ht="27.25" customHeight="1">
      <c r="A731" s="631"/>
      <c r="D731" s="2601" t="s">
        <v>1941</v>
      </c>
      <c r="E731" s="1822"/>
      <c r="F731" s="1822"/>
      <c r="G731" s="1822"/>
      <c r="H731" s="1822"/>
      <c r="I731" s="1822"/>
      <c r="J731" s="1822"/>
      <c r="K731" s="1822"/>
      <c r="L731" s="1822"/>
      <c r="M731" s="1822"/>
      <c r="N731" s="1792">
        <f>'Notes- SK Template'!N741</f>
        <v>26681</v>
      </c>
      <c r="O731" s="1792">
        <f>'Notes- SK Template'!O741</f>
        <v>0</v>
      </c>
      <c r="P731" s="1792">
        <f>'Notes- SK Template'!P741</f>
        <v>0</v>
      </c>
      <c r="Q731" s="1792">
        <f>'Notes- SK Template'!Q741</f>
        <v>0</v>
      </c>
      <c r="R731" s="1792">
        <f>'Notes- SK Template'!R741</f>
        <v>0</v>
      </c>
      <c r="S731" s="1792">
        <f>'Notes- SK Template'!S741</f>
        <v>0</v>
      </c>
      <c r="T731" s="1792">
        <f>'Notes- SK Template'!T741</f>
        <v>0</v>
      </c>
      <c r="U731" s="1792">
        <f>'Notes- SK Template'!U741</f>
        <v>0</v>
      </c>
      <c r="V731" s="1792">
        <f>'Notes- SK Template'!V741</f>
        <v>0</v>
      </c>
      <c r="W731" s="1792">
        <f>'Notes- SK Template'!W741</f>
        <v>0</v>
      </c>
      <c r="X731" s="1792">
        <f>'Notes- SK Template'!X741</f>
        <v>46176</v>
      </c>
      <c r="Y731" s="1792">
        <f>'Notes- SK Template'!Y741</f>
        <v>0</v>
      </c>
      <c r="Z731" s="1792">
        <f>'Notes- SK Template'!Z741</f>
        <v>0</v>
      </c>
      <c r="AA731" s="1792">
        <f>'Notes- SK Template'!AA741</f>
        <v>0</v>
      </c>
      <c r="AB731" s="1792">
        <f>'Notes- SK Template'!AB741</f>
        <v>0</v>
      </c>
      <c r="AC731" s="1792">
        <f>'Notes- SK Template'!AC741</f>
        <v>0</v>
      </c>
      <c r="AD731" s="1792">
        <f>'Notes- SK Template'!AD741</f>
        <v>0</v>
      </c>
      <c r="AE731" s="1792">
        <f>'Notes- SK Template'!AE741</f>
        <v>0</v>
      </c>
      <c r="AF731" s="1792">
        <f>'Notes- SK Template'!AF741</f>
        <v>0</v>
      </c>
      <c r="AG731" s="1792">
        <f>'Notes- SK Template'!AG741</f>
        <v>0</v>
      </c>
    </row>
    <row r="732" spans="1:33" s="588" customFormat="1" ht="27.25" customHeight="1">
      <c r="A732" s="631"/>
      <c r="D732" s="1868" t="s">
        <v>1942</v>
      </c>
      <c r="E732" s="1868"/>
      <c r="F732" s="1868"/>
      <c r="G732" s="1868"/>
      <c r="H732" s="1868"/>
      <c r="I732" s="1868"/>
      <c r="J732" s="1868"/>
      <c r="K732" s="1868"/>
      <c r="L732" s="1868"/>
      <c r="M732" s="1868"/>
      <c r="N732" s="1792">
        <f>'Notes- SK Template'!N742</f>
        <v>2</v>
      </c>
      <c r="O732" s="1792">
        <f>'Notes- SK Template'!O742</f>
        <v>0</v>
      </c>
      <c r="P732" s="1792">
        <f>'Notes- SK Template'!P742</f>
        <v>0</v>
      </c>
      <c r="Q732" s="1792">
        <f>'Notes- SK Template'!Q742</f>
        <v>0</v>
      </c>
      <c r="R732" s="1792">
        <f>'Notes- SK Template'!R742</f>
        <v>0</v>
      </c>
      <c r="S732" s="1792">
        <f>'Notes- SK Template'!S742</f>
        <v>0</v>
      </c>
      <c r="T732" s="1792">
        <f>'Notes- SK Template'!T742</f>
        <v>0</v>
      </c>
      <c r="U732" s="1792">
        <f>'Notes- SK Template'!U742</f>
        <v>0</v>
      </c>
      <c r="V732" s="1792">
        <f>'Notes- SK Template'!V742</f>
        <v>0</v>
      </c>
      <c r="W732" s="1792">
        <f>'Notes- SK Template'!W742</f>
        <v>0</v>
      </c>
      <c r="X732" s="1792">
        <f>'Notes- SK Template'!X742</f>
        <v>0</v>
      </c>
      <c r="Y732" s="1792">
        <f>'Notes- SK Template'!Y742</f>
        <v>0</v>
      </c>
      <c r="Z732" s="1792">
        <f>'Notes- SK Template'!Z742</f>
        <v>0</v>
      </c>
      <c r="AA732" s="1792">
        <f>'Notes- SK Template'!AA742</f>
        <v>0</v>
      </c>
      <c r="AB732" s="1792">
        <f>'Notes- SK Template'!AB742</f>
        <v>0</v>
      </c>
      <c r="AC732" s="1792">
        <f>'Notes- SK Template'!AC742</f>
        <v>0</v>
      </c>
      <c r="AD732" s="1792">
        <f>'Notes- SK Template'!AD742</f>
        <v>0</v>
      </c>
      <c r="AE732" s="1792">
        <f>'Notes- SK Template'!AE742</f>
        <v>0</v>
      </c>
      <c r="AF732" s="1792">
        <f>'Notes- SK Template'!AF742</f>
        <v>0</v>
      </c>
      <c r="AG732" s="1792">
        <f>'Notes- SK Template'!AG742</f>
        <v>0</v>
      </c>
    </row>
    <row r="733" spans="1:33" s="588" customFormat="1" ht="27.25" customHeight="1">
      <c r="A733" s="631"/>
      <c r="D733" s="1867" t="s">
        <v>2818</v>
      </c>
      <c r="E733" s="1822">
        <f>'Notes- SK Template'!E743</f>
        <v>0</v>
      </c>
      <c r="F733" s="1822">
        <f>'Notes- SK Template'!F743</f>
        <v>0</v>
      </c>
      <c r="G733" s="1822">
        <f>'Notes- SK Template'!G743</f>
        <v>0</v>
      </c>
      <c r="H733" s="1822">
        <f>'Notes- SK Template'!H743</f>
        <v>0</v>
      </c>
      <c r="I733" s="1822">
        <f>'Notes- SK Template'!I743</f>
        <v>0</v>
      </c>
      <c r="J733" s="1822">
        <f>'Notes- SK Template'!J743</f>
        <v>0</v>
      </c>
      <c r="K733" s="1822">
        <f>'Notes- SK Template'!K743</f>
        <v>0</v>
      </c>
      <c r="L733" s="1822">
        <f>'Notes- SK Template'!L743</f>
        <v>0</v>
      </c>
      <c r="M733" s="1822">
        <f>'Notes- SK Template'!M743</f>
        <v>0</v>
      </c>
      <c r="N733" s="1792">
        <f>'Notes- SK Template'!N743</f>
        <v>2</v>
      </c>
      <c r="O733" s="1792">
        <f>'Notes- SK Template'!O743</f>
        <v>0</v>
      </c>
      <c r="P733" s="1792">
        <f>'Notes- SK Template'!P743</f>
        <v>0</v>
      </c>
      <c r="Q733" s="1792">
        <f>'Notes- SK Template'!Q743</f>
        <v>0</v>
      </c>
      <c r="R733" s="1792">
        <f>'Notes- SK Template'!R743</f>
        <v>0</v>
      </c>
      <c r="S733" s="1792">
        <f>'Notes- SK Template'!S743</f>
        <v>0</v>
      </c>
      <c r="T733" s="1792">
        <f>'Notes- SK Template'!T743</f>
        <v>0</v>
      </c>
      <c r="U733" s="1792">
        <f>'Notes- SK Template'!U743</f>
        <v>0</v>
      </c>
      <c r="V733" s="1792">
        <f>'Notes- SK Template'!V743</f>
        <v>0</v>
      </c>
      <c r="W733" s="1792">
        <f>'Notes- SK Template'!W743</f>
        <v>0</v>
      </c>
      <c r="X733" s="1792">
        <f>'Notes- SK Template'!X743</f>
        <v>0</v>
      </c>
      <c r="Y733" s="1792">
        <f>'Notes- SK Template'!Y743</f>
        <v>0</v>
      </c>
      <c r="Z733" s="1792">
        <f>'Notes- SK Template'!Z743</f>
        <v>0</v>
      </c>
      <c r="AA733" s="1792">
        <f>'Notes- SK Template'!AA743</f>
        <v>0</v>
      </c>
      <c r="AB733" s="1792">
        <f>'Notes- SK Template'!AB743</f>
        <v>0</v>
      </c>
      <c r="AC733" s="1792">
        <f>'Notes- SK Template'!AC743</f>
        <v>0</v>
      </c>
      <c r="AD733" s="1792">
        <f>'Notes- SK Template'!AD743</f>
        <v>0</v>
      </c>
      <c r="AE733" s="1792">
        <f>'Notes- SK Template'!AE743</f>
        <v>0</v>
      </c>
      <c r="AF733" s="1792">
        <f>'Notes- SK Template'!AF743</f>
        <v>0</v>
      </c>
      <c r="AG733" s="1792">
        <f>'Notes- SK Template'!AG743</f>
        <v>0</v>
      </c>
    </row>
    <row r="734" spans="1:33" s="588" customFormat="1" ht="27.25" customHeight="1">
      <c r="A734" s="631"/>
      <c r="D734" s="1867" t="s">
        <v>2819</v>
      </c>
      <c r="E734" s="1822">
        <f>'Notes- SK Template'!E744</f>
        <v>0</v>
      </c>
      <c r="F734" s="1822">
        <f>'Notes- SK Template'!F744</f>
        <v>0</v>
      </c>
      <c r="G734" s="1822">
        <f>'Notes- SK Template'!G744</f>
        <v>0</v>
      </c>
      <c r="H734" s="1822">
        <f>'Notes- SK Template'!H744</f>
        <v>0</v>
      </c>
      <c r="I734" s="1822">
        <f>'Notes- SK Template'!I744</f>
        <v>0</v>
      </c>
      <c r="J734" s="1822">
        <f>'Notes- SK Template'!J744</f>
        <v>0</v>
      </c>
      <c r="K734" s="1822">
        <f>'Notes- SK Template'!K744</f>
        <v>0</v>
      </c>
      <c r="L734" s="1822">
        <f>'Notes- SK Template'!L744</f>
        <v>0</v>
      </c>
      <c r="M734" s="1822">
        <f>'Notes- SK Template'!M744</f>
        <v>0</v>
      </c>
      <c r="N734" s="1792"/>
      <c r="O734" s="1792"/>
      <c r="P734" s="1792"/>
      <c r="Q734" s="1792"/>
      <c r="R734" s="1792"/>
      <c r="S734" s="1792"/>
      <c r="T734" s="1792"/>
      <c r="U734" s="1792"/>
      <c r="V734" s="1792"/>
      <c r="W734" s="1792"/>
      <c r="X734" s="1792"/>
      <c r="Y734" s="1792"/>
      <c r="Z734" s="1792"/>
      <c r="AA734" s="1792"/>
      <c r="AB734" s="1792"/>
      <c r="AC734" s="1792"/>
      <c r="AD734" s="1792"/>
      <c r="AE734" s="1792"/>
      <c r="AF734" s="1792"/>
      <c r="AG734" s="1792"/>
    </row>
    <row r="735" spans="1:33" s="588" customFormat="1" ht="27.25" customHeight="1">
      <c r="A735" s="631"/>
      <c r="D735" s="1890" t="s">
        <v>1943</v>
      </c>
      <c r="E735" s="1890"/>
      <c r="F735" s="1890"/>
      <c r="G735" s="1890"/>
      <c r="H735" s="1890"/>
      <c r="I735" s="1890"/>
      <c r="J735" s="1890"/>
      <c r="K735" s="1890"/>
      <c r="L735" s="1890"/>
      <c r="M735" s="1890"/>
      <c r="N735" s="1792"/>
      <c r="O735" s="1792"/>
      <c r="P735" s="1792"/>
      <c r="Q735" s="1792"/>
      <c r="R735" s="1792"/>
      <c r="S735" s="1792"/>
      <c r="T735" s="1792"/>
      <c r="U735" s="1792"/>
      <c r="V735" s="1792"/>
      <c r="W735" s="1792"/>
      <c r="X735" s="1792"/>
      <c r="Y735" s="1792"/>
      <c r="Z735" s="1792"/>
      <c r="AA735" s="1792"/>
      <c r="AB735" s="1792"/>
      <c r="AC735" s="1792"/>
      <c r="AD735" s="1792"/>
      <c r="AE735" s="1792"/>
      <c r="AF735" s="1792"/>
      <c r="AG735" s="1792"/>
    </row>
    <row r="736" spans="1:33" ht="14.25" customHeight="1">
      <c r="D736" s="665"/>
      <c r="E736" s="665"/>
      <c r="F736" s="665"/>
      <c r="G736" s="665"/>
      <c r="H736" s="665"/>
      <c r="I736" s="665"/>
      <c r="J736" s="665"/>
      <c r="K736" s="665"/>
      <c r="L736" s="665"/>
      <c r="M736" s="665"/>
    </row>
    <row r="737" spans="1:33" ht="14.25" customHeight="1">
      <c r="D737" s="2005" t="s">
        <v>1944</v>
      </c>
      <c r="E737" s="1886"/>
      <c r="F737" s="1886"/>
      <c r="G737" s="1886"/>
      <c r="H737" s="1886"/>
      <c r="I737" s="1886"/>
      <c r="J737" s="1886"/>
      <c r="K737" s="1886"/>
      <c r="L737" s="1886"/>
      <c r="M737" s="1886"/>
      <c r="N737" s="1886"/>
      <c r="O737" s="1886"/>
      <c r="P737" s="1886"/>
      <c r="Q737" s="1886"/>
      <c r="R737" s="1886"/>
      <c r="S737" s="1886"/>
      <c r="T737" s="1886"/>
      <c r="U737" s="1886"/>
      <c r="V737" s="1886"/>
      <c r="W737" s="1886"/>
      <c r="X737" s="1886"/>
      <c r="Y737" s="1886"/>
      <c r="Z737" s="1886"/>
      <c r="AA737" s="1886"/>
      <c r="AB737" s="1886"/>
      <c r="AC737" s="1886"/>
      <c r="AD737" s="1886"/>
      <c r="AE737" s="1886"/>
      <c r="AF737" s="1886"/>
      <c r="AG737" s="1886"/>
    </row>
    <row r="738" spans="1:33" ht="14.25" customHeight="1" thickBot="1">
      <c r="D738" s="665"/>
      <c r="E738" s="665"/>
      <c r="F738" s="665"/>
      <c r="G738" s="665"/>
      <c r="H738" s="665"/>
      <c r="I738" s="665"/>
      <c r="J738" s="665"/>
      <c r="K738" s="665"/>
      <c r="L738" s="665"/>
      <c r="M738" s="665"/>
    </row>
    <row r="739" spans="1:33" ht="14.25" customHeight="1" thickBot="1">
      <c r="A739" s="597">
        <v>38</v>
      </c>
      <c r="D739" s="1887" t="s">
        <v>1739</v>
      </c>
      <c r="E739" s="1888"/>
      <c r="F739" s="1888"/>
      <c r="G739" s="1888"/>
      <c r="H739" s="1888"/>
      <c r="I739" s="1888"/>
      <c r="J739" s="1888"/>
      <c r="K739" s="1888"/>
      <c r="L739" s="1888"/>
      <c r="M739" s="1889"/>
      <c r="N739" s="1877" t="s">
        <v>1740</v>
      </c>
      <c r="O739" s="1878"/>
      <c r="P739" s="1878"/>
      <c r="Q739" s="1878"/>
      <c r="R739" s="1878"/>
      <c r="S739" s="1878"/>
      <c r="T739" s="1878"/>
      <c r="U739" s="1878"/>
      <c r="V739" s="1878"/>
      <c r="W739" s="1878"/>
      <c r="X739" s="1877" t="s">
        <v>1858</v>
      </c>
      <c r="Y739" s="1878"/>
      <c r="Z739" s="1878"/>
      <c r="AA739" s="1878"/>
      <c r="AB739" s="1878"/>
      <c r="AC739" s="1878"/>
      <c r="AD739" s="1878"/>
      <c r="AE739" s="1878"/>
      <c r="AF739" s="1878"/>
      <c r="AG739" s="1881"/>
    </row>
    <row r="740" spans="1:33" ht="14.25" customHeight="1" thickBot="1">
      <c r="D740" s="1887"/>
      <c r="E740" s="1888"/>
      <c r="F740" s="1888"/>
      <c r="G740" s="1888"/>
      <c r="H740" s="1888"/>
      <c r="I740" s="1888"/>
      <c r="J740" s="1888"/>
      <c r="K740" s="1888"/>
      <c r="L740" s="1888"/>
      <c r="M740" s="1889"/>
      <c r="N740" s="1879"/>
      <c r="O740" s="1880"/>
      <c r="P740" s="1880"/>
      <c r="Q740" s="1880"/>
      <c r="R740" s="1880"/>
      <c r="S740" s="1880"/>
      <c r="T740" s="1880"/>
      <c r="U740" s="1880"/>
      <c r="V740" s="1880"/>
      <c r="W740" s="1880"/>
      <c r="X740" s="1879"/>
      <c r="Y740" s="1880"/>
      <c r="Z740" s="1880"/>
      <c r="AA740" s="1880"/>
      <c r="AB740" s="1880"/>
      <c r="AC740" s="1880"/>
      <c r="AD740" s="1880"/>
      <c r="AE740" s="1880"/>
      <c r="AF740" s="1880"/>
      <c r="AG740" s="1882"/>
    </row>
    <row r="741" spans="1:33" ht="26.25" customHeight="1">
      <c r="D741" s="2599" t="s">
        <v>1945</v>
      </c>
      <c r="E741" s="1884"/>
      <c r="F741" s="1884"/>
      <c r="G741" s="1884"/>
      <c r="H741" s="1884"/>
      <c r="I741" s="1884"/>
      <c r="J741" s="1884"/>
      <c r="K741" s="1884"/>
      <c r="L741" s="1884"/>
      <c r="M741" s="1885"/>
      <c r="N741" s="1983">
        <f>'Notes- SK Template'!N751</f>
        <v>2877161</v>
      </c>
      <c r="O741" s="1983">
        <f>'Notes- SK Template'!O751</f>
        <v>0</v>
      </c>
      <c r="P741" s="1983">
        <f>'Notes- SK Template'!P751</f>
        <v>0</v>
      </c>
      <c r="Q741" s="1983">
        <f>'Notes- SK Template'!Q751</f>
        <v>0</v>
      </c>
      <c r="R741" s="1983">
        <f>'Notes- SK Template'!R751</f>
        <v>0</v>
      </c>
      <c r="S741" s="1983">
        <f>'Notes- SK Template'!S751</f>
        <v>0</v>
      </c>
      <c r="T741" s="1983">
        <f>'Notes- SK Template'!T751</f>
        <v>0</v>
      </c>
      <c r="U741" s="1983">
        <f>'Notes- SK Template'!U751</f>
        <v>0</v>
      </c>
      <c r="V741" s="1983">
        <f>'Notes- SK Template'!V751</f>
        <v>0</v>
      </c>
      <c r="W741" s="1983">
        <f>'Notes- SK Template'!W751</f>
        <v>0</v>
      </c>
      <c r="X741" s="1983">
        <f>'Notes- SK Template'!X751</f>
        <v>2645663</v>
      </c>
      <c r="Y741" s="1983">
        <f>'Notes- SK Template'!Y751</f>
        <v>0</v>
      </c>
      <c r="Z741" s="1983">
        <f>'Notes- SK Template'!Z751</f>
        <v>0</v>
      </c>
      <c r="AA741" s="1983">
        <f>'Notes- SK Template'!AA751</f>
        <v>0</v>
      </c>
      <c r="AB741" s="1983">
        <f>'Notes- SK Template'!AB751</f>
        <v>0</v>
      </c>
      <c r="AC741" s="1983">
        <f>'Notes- SK Template'!AC751</f>
        <v>0</v>
      </c>
      <c r="AD741" s="1983">
        <f>'Notes- SK Template'!AD751</f>
        <v>0</v>
      </c>
      <c r="AE741" s="1983">
        <f>'Notes- SK Template'!AE751</f>
        <v>0</v>
      </c>
      <c r="AF741" s="1983">
        <f>'Notes- SK Template'!AF751</f>
        <v>0</v>
      </c>
      <c r="AG741" s="1983">
        <f>'Notes- SK Template'!AG751</f>
        <v>0</v>
      </c>
    </row>
    <row r="742" spans="1:33" ht="26.25" customHeight="1">
      <c r="D742" s="2560" t="s">
        <v>1946</v>
      </c>
      <c r="E742" s="1826"/>
      <c r="F742" s="1826"/>
      <c r="G742" s="1826"/>
      <c r="H742" s="1826"/>
      <c r="I742" s="1826"/>
      <c r="J742" s="1826"/>
      <c r="K742" s="1826"/>
      <c r="L742" s="1826"/>
      <c r="M742" s="1827"/>
      <c r="N742" s="1792">
        <f>'Notes- SK Template'!N752</f>
        <v>178722</v>
      </c>
      <c r="O742" s="1792">
        <f>'Notes- SK Template'!O752</f>
        <v>0</v>
      </c>
      <c r="P742" s="1792">
        <f>'Notes- SK Template'!P752</f>
        <v>0</v>
      </c>
      <c r="Q742" s="1792">
        <f>'Notes- SK Template'!Q752</f>
        <v>0</v>
      </c>
      <c r="R742" s="1792">
        <f>'Notes- SK Template'!R752</f>
        <v>0</v>
      </c>
      <c r="S742" s="1792">
        <f>'Notes- SK Template'!S752</f>
        <v>0</v>
      </c>
      <c r="T742" s="1792">
        <f>'Notes- SK Template'!T752</f>
        <v>0</v>
      </c>
      <c r="U742" s="1792">
        <f>'Notes- SK Template'!U752</f>
        <v>0</v>
      </c>
      <c r="V742" s="1792">
        <f>'Notes- SK Template'!V752</f>
        <v>0</v>
      </c>
      <c r="W742" s="1792">
        <f>'Notes- SK Template'!W752</f>
        <v>0</v>
      </c>
      <c r="X742" s="1792">
        <f>'Notes- SK Template'!X752</f>
        <v>167741</v>
      </c>
      <c r="Y742" s="1792">
        <f>'Notes- SK Template'!Y752</f>
        <v>0</v>
      </c>
      <c r="Z742" s="1792">
        <f>'Notes- SK Template'!Z752</f>
        <v>0</v>
      </c>
      <c r="AA742" s="1792">
        <f>'Notes- SK Template'!AA752</f>
        <v>0</v>
      </c>
      <c r="AB742" s="1792">
        <f>'Notes- SK Template'!AB752</f>
        <v>0</v>
      </c>
      <c r="AC742" s="1792">
        <f>'Notes- SK Template'!AC752</f>
        <v>0</v>
      </c>
      <c r="AD742" s="1792">
        <f>'Notes- SK Template'!AD752</f>
        <v>0</v>
      </c>
      <c r="AE742" s="1792">
        <f>'Notes- SK Template'!AE752</f>
        <v>0</v>
      </c>
      <c r="AF742" s="1792">
        <f>'Notes- SK Template'!AF752</f>
        <v>0</v>
      </c>
      <c r="AG742" s="1792">
        <f>'Notes- SK Template'!AG752</f>
        <v>0</v>
      </c>
    </row>
    <row r="743" spans="1:33" ht="26.25" customHeight="1">
      <c r="D743" s="2560" t="s">
        <v>1947</v>
      </c>
      <c r="E743" s="1826"/>
      <c r="F743" s="1826"/>
      <c r="G743" s="1826"/>
      <c r="H743" s="1826"/>
      <c r="I743" s="1826"/>
      <c r="J743" s="1826"/>
      <c r="K743" s="1826"/>
      <c r="L743" s="1826"/>
      <c r="M743" s="1827"/>
      <c r="N743" s="1792">
        <f>'Notes- SK Template'!N753</f>
        <v>2422675</v>
      </c>
      <c r="O743" s="1792">
        <f>'Notes- SK Template'!O753</f>
        <v>0</v>
      </c>
      <c r="P743" s="1792">
        <f>'Notes- SK Template'!P753</f>
        <v>0</v>
      </c>
      <c r="Q743" s="1792">
        <f>'Notes- SK Template'!Q753</f>
        <v>0</v>
      </c>
      <c r="R743" s="1792">
        <f>'Notes- SK Template'!R753</f>
        <v>0</v>
      </c>
      <c r="S743" s="1792">
        <f>'Notes- SK Template'!S753</f>
        <v>0</v>
      </c>
      <c r="T743" s="1792">
        <f>'Notes- SK Template'!T753</f>
        <v>0</v>
      </c>
      <c r="U743" s="1792">
        <f>'Notes- SK Template'!U753</f>
        <v>0</v>
      </c>
      <c r="V743" s="1792">
        <f>'Notes- SK Template'!V753</f>
        <v>0</v>
      </c>
      <c r="W743" s="1792">
        <f>'Notes- SK Template'!W753</f>
        <v>0</v>
      </c>
      <c r="X743" s="1792">
        <f>'Notes- SK Template'!X753</f>
        <v>2493976</v>
      </c>
      <c r="Y743" s="1792">
        <f>'Notes- SK Template'!Y753</f>
        <v>0</v>
      </c>
      <c r="Z743" s="1792">
        <f>'Notes- SK Template'!Z753</f>
        <v>0</v>
      </c>
      <c r="AA743" s="1792">
        <f>'Notes- SK Template'!AA753</f>
        <v>0</v>
      </c>
      <c r="AB743" s="1792">
        <f>'Notes- SK Template'!AB753</f>
        <v>0</v>
      </c>
      <c r="AC743" s="1792">
        <f>'Notes- SK Template'!AC753</f>
        <v>0</v>
      </c>
      <c r="AD743" s="1792">
        <f>'Notes- SK Template'!AD753</f>
        <v>0</v>
      </c>
      <c r="AE743" s="1792">
        <f>'Notes- SK Template'!AE753</f>
        <v>0</v>
      </c>
      <c r="AF743" s="1792">
        <f>'Notes- SK Template'!AF753</f>
        <v>0</v>
      </c>
      <c r="AG743" s="1792">
        <f>'Notes- SK Template'!AG753</f>
        <v>0</v>
      </c>
    </row>
    <row r="744" spans="1:33" ht="26.25" customHeight="1">
      <c r="D744" s="2560" t="s">
        <v>1948</v>
      </c>
      <c r="E744" s="1826"/>
      <c r="F744" s="1826"/>
      <c r="G744" s="1826"/>
      <c r="H744" s="1826"/>
      <c r="I744" s="1826"/>
      <c r="J744" s="1826"/>
      <c r="K744" s="1826"/>
      <c r="L744" s="1826"/>
      <c r="M744" s="1827"/>
      <c r="N744" s="2600">
        <f>'Notes- SK Template'!N754</f>
        <v>0</v>
      </c>
      <c r="O744" s="2600">
        <f>'Notes- SK Template'!O754</f>
        <v>0</v>
      </c>
      <c r="P744" s="2600">
        <f>'Notes- SK Template'!P754</f>
        <v>0</v>
      </c>
      <c r="Q744" s="2600">
        <f>'Notes- SK Template'!Q754</f>
        <v>0</v>
      </c>
      <c r="R744" s="2600">
        <f>'Notes- SK Template'!R754</f>
        <v>0</v>
      </c>
      <c r="S744" s="2600">
        <f>'Notes- SK Template'!S754</f>
        <v>0</v>
      </c>
      <c r="T744" s="2600">
        <f>'Notes- SK Template'!T754</f>
        <v>0</v>
      </c>
      <c r="U744" s="2600">
        <f>'Notes- SK Template'!U754</f>
        <v>0</v>
      </c>
      <c r="V744" s="2600">
        <f>'Notes- SK Template'!V754</f>
        <v>0</v>
      </c>
      <c r="W744" s="2600">
        <f>'Notes- SK Template'!W754</f>
        <v>0</v>
      </c>
      <c r="X744" s="2600">
        <f>'Notes- SK Template'!X754</f>
        <v>0</v>
      </c>
      <c r="Y744" s="2600">
        <f>'Notes- SK Template'!Y754</f>
        <v>0</v>
      </c>
      <c r="Z744" s="2600">
        <f>'Notes- SK Template'!Z754</f>
        <v>0</v>
      </c>
      <c r="AA744" s="2600">
        <f>'Notes- SK Template'!AA754</f>
        <v>0</v>
      </c>
      <c r="AB744" s="2600">
        <f>'Notes- SK Template'!AB754</f>
        <v>0</v>
      </c>
      <c r="AC744" s="2600">
        <f>'Notes- SK Template'!AC754</f>
        <v>0</v>
      </c>
      <c r="AD744" s="2600">
        <f>'Notes- SK Template'!AD754</f>
        <v>0</v>
      </c>
      <c r="AE744" s="2600">
        <f>'Notes- SK Template'!AE754</f>
        <v>0</v>
      </c>
      <c r="AF744" s="2600">
        <f>'Notes- SK Template'!AF754</f>
        <v>0</v>
      </c>
      <c r="AG744" s="2600">
        <f>'Notes- SK Template'!AG754</f>
        <v>0</v>
      </c>
    </row>
    <row r="745" spans="1:33" ht="26.25" customHeight="1">
      <c r="D745" s="2560" t="s">
        <v>1949</v>
      </c>
      <c r="E745" s="1826"/>
      <c r="F745" s="1826"/>
      <c r="G745" s="1826"/>
      <c r="H745" s="1826"/>
      <c r="I745" s="1826"/>
      <c r="J745" s="1826"/>
      <c r="K745" s="1826"/>
      <c r="L745" s="1826"/>
      <c r="M745" s="1827"/>
      <c r="N745" s="1850">
        <f>'Notes- SK Template'!N755</f>
        <v>0</v>
      </c>
      <c r="O745" s="1850">
        <f>'Notes- SK Template'!O755</f>
        <v>0</v>
      </c>
      <c r="P745" s="1850">
        <f>'Notes- SK Template'!P755</f>
        <v>0</v>
      </c>
      <c r="Q745" s="1850">
        <f>'Notes- SK Template'!Q755</f>
        <v>0</v>
      </c>
      <c r="R745" s="1850">
        <f>'Notes- SK Template'!R755</f>
        <v>0</v>
      </c>
      <c r="S745" s="1850">
        <f>'Notes- SK Template'!S755</f>
        <v>0</v>
      </c>
      <c r="T745" s="1850">
        <f>'Notes- SK Template'!T755</f>
        <v>0</v>
      </c>
      <c r="U745" s="1850">
        <f>'Notes- SK Template'!U755</f>
        <v>0</v>
      </c>
      <c r="V745" s="1850">
        <f>'Notes- SK Template'!V755</f>
        <v>0</v>
      </c>
      <c r="W745" s="1850">
        <f>'Notes- SK Template'!W755</f>
        <v>0</v>
      </c>
      <c r="X745" s="1850">
        <f>'Notes- SK Template'!X755</f>
        <v>0</v>
      </c>
      <c r="Y745" s="1850">
        <f>'Notes- SK Template'!Y755</f>
        <v>0</v>
      </c>
      <c r="Z745" s="1850">
        <f>'Notes- SK Template'!Z755</f>
        <v>0</v>
      </c>
      <c r="AA745" s="1850">
        <f>'Notes- SK Template'!AA755</f>
        <v>0</v>
      </c>
      <c r="AB745" s="1850">
        <f>'Notes- SK Template'!AB755</f>
        <v>0</v>
      </c>
      <c r="AC745" s="1850">
        <f>'Notes- SK Template'!AC755</f>
        <v>0</v>
      </c>
      <c r="AD745" s="1850">
        <f>'Notes- SK Template'!AD755</f>
        <v>0</v>
      </c>
      <c r="AE745" s="1850">
        <f>'Notes- SK Template'!AE755</f>
        <v>0</v>
      </c>
      <c r="AF745" s="1850">
        <f>'Notes- SK Template'!AF755</f>
        <v>0</v>
      </c>
      <c r="AG745" s="1850">
        <f>'Notes- SK Template'!AG755</f>
        <v>0</v>
      </c>
    </row>
    <row r="746" spans="1:33" ht="26.25" customHeight="1">
      <c r="D746" s="2560" t="s">
        <v>1950</v>
      </c>
      <c r="E746" s="1826"/>
      <c r="F746" s="1826"/>
      <c r="G746" s="1826"/>
      <c r="H746" s="1826"/>
      <c r="I746" s="1826"/>
      <c r="J746" s="1826"/>
      <c r="K746" s="1826"/>
      <c r="L746" s="1826"/>
      <c r="M746" s="1827"/>
      <c r="N746" s="1891">
        <f>'Notes- SK Template'!N756</f>
        <v>0</v>
      </c>
      <c r="O746" s="1891">
        <f>'Notes- SK Template'!O756</f>
        <v>0</v>
      </c>
      <c r="P746" s="1891">
        <f>'Notes- SK Template'!P756</f>
        <v>0</v>
      </c>
      <c r="Q746" s="1891">
        <f>'Notes- SK Template'!Q756</f>
        <v>0</v>
      </c>
      <c r="R746" s="1891">
        <f>'Notes- SK Template'!R756</f>
        <v>0</v>
      </c>
      <c r="S746" s="1891">
        <f>'Notes- SK Template'!S756</f>
        <v>0</v>
      </c>
      <c r="T746" s="1891">
        <f>'Notes- SK Template'!T756</f>
        <v>0</v>
      </c>
      <c r="U746" s="1891">
        <f>'Notes- SK Template'!U756</f>
        <v>0</v>
      </c>
      <c r="V746" s="1891">
        <f>'Notes- SK Template'!V756</f>
        <v>0</v>
      </c>
      <c r="W746" s="1891">
        <f>'Notes- SK Template'!W756</f>
        <v>0</v>
      </c>
      <c r="X746" s="1891">
        <f>'Notes- SK Template'!X756</f>
        <v>0</v>
      </c>
      <c r="Y746" s="1891">
        <f>'Notes- SK Template'!Y756</f>
        <v>0</v>
      </c>
      <c r="Z746" s="1891">
        <f>'Notes- SK Template'!Z756</f>
        <v>0</v>
      </c>
      <c r="AA746" s="1891">
        <f>'Notes- SK Template'!AA756</f>
        <v>0</v>
      </c>
      <c r="AB746" s="1891">
        <f>'Notes- SK Template'!AB756</f>
        <v>0</v>
      </c>
      <c r="AC746" s="1891">
        <f>'Notes- SK Template'!AC756</f>
        <v>0</v>
      </c>
      <c r="AD746" s="1891">
        <f>'Notes- SK Template'!AD756</f>
        <v>0</v>
      </c>
      <c r="AE746" s="1891">
        <f>'Notes- SK Template'!AE756</f>
        <v>0</v>
      </c>
      <c r="AF746" s="1891">
        <f>'Notes- SK Template'!AF756</f>
        <v>0</v>
      </c>
      <c r="AG746" s="1891">
        <f>'Notes- SK Template'!AG756</f>
        <v>0</v>
      </c>
    </row>
    <row r="747" spans="1:33" ht="26.25" customHeight="1" thickBot="1">
      <c r="D747" s="1844" t="s">
        <v>1951</v>
      </c>
      <c r="E747" s="1845"/>
      <c r="F747" s="1845"/>
      <c r="G747" s="1845"/>
      <c r="H747" s="1845"/>
      <c r="I747" s="1845"/>
      <c r="J747" s="1845"/>
      <c r="K747" s="1845"/>
      <c r="L747" s="1845"/>
      <c r="M747" s="1846"/>
      <c r="N747" s="1848">
        <f>'Notes- SK Template'!N757</f>
        <v>5478558</v>
      </c>
      <c r="O747" s="1848">
        <f>'Notes- SK Template'!O757</f>
        <v>0</v>
      </c>
      <c r="P747" s="1848">
        <f>'Notes- SK Template'!P757</f>
        <v>0</v>
      </c>
      <c r="Q747" s="1848">
        <f>'Notes- SK Template'!Q757</f>
        <v>0</v>
      </c>
      <c r="R747" s="1848">
        <f>'Notes- SK Template'!R757</f>
        <v>0</v>
      </c>
      <c r="S747" s="1848">
        <f>'Notes- SK Template'!S757</f>
        <v>0</v>
      </c>
      <c r="T747" s="1848">
        <f>'Notes- SK Template'!T757</f>
        <v>0</v>
      </c>
      <c r="U747" s="1848">
        <f>'Notes- SK Template'!U757</f>
        <v>0</v>
      </c>
      <c r="V747" s="1848">
        <f>'Notes- SK Template'!V757</f>
        <v>0</v>
      </c>
      <c r="W747" s="1848">
        <f>'Notes- SK Template'!W757</f>
        <v>0</v>
      </c>
      <c r="X747" s="1848">
        <f>'Notes- SK Template'!X757</f>
        <v>5307380</v>
      </c>
      <c r="Y747" s="1848">
        <f>'Notes- SK Template'!Y757</f>
        <v>0</v>
      </c>
      <c r="Z747" s="1848">
        <f>'Notes- SK Template'!Z757</f>
        <v>0</v>
      </c>
      <c r="AA747" s="1848">
        <f>'Notes- SK Template'!AA757</f>
        <v>0</v>
      </c>
      <c r="AB747" s="1848">
        <f>'Notes- SK Template'!AB757</f>
        <v>0</v>
      </c>
      <c r="AC747" s="1848">
        <f>'Notes- SK Template'!AC757</f>
        <v>0</v>
      </c>
      <c r="AD747" s="1848">
        <f>'Notes- SK Template'!AD757</f>
        <v>0</v>
      </c>
      <c r="AE747" s="1848">
        <f>'Notes- SK Template'!AE757</f>
        <v>0</v>
      </c>
      <c r="AF747" s="1848">
        <f>'Notes- SK Template'!AF757</f>
        <v>0</v>
      </c>
      <c r="AG747" s="1848">
        <f>'Notes- SK Template'!AG757</f>
        <v>0</v>
      </c>
    </row>
    <row r="750" spans="1:33" ht="14.25" customHeight="1">
      <c r="D750" s="1978" t="s">
        <v>1952</v>
      </c>
      <c r="E750" s="1978"/>
      <c r="F750" s="1978"/>
      <c r="G750" s="1978"/>
      <c r="H750" s="1978"/>
      <c r="I750" s="1978"/>
      <c r="J750" s="1978"/>
      <c r="K750" s="1978"/>
      <c r="L750" s="1978"/>
      <c r="M750" s="1978"/>
      <c r="N750" s="1978"/>
      <c r="O750" s="1978"/>
      <c r="P750" s="1978"/>
      <c r="Q750" s="1978"/>
      <c r="R750" s="1978"/>
      <c r="S750" s="1978"/>
      <c r="T750" s="1978"/>
      <c r="U750" s="1978"/>
      <c r="V750" s="1978"/>
      <c r="W750" s="1978"/>
      <c r="X750" s="1978"/>
      <c r="Y750" s="1978"/>
      <c r="Z750" s="1978"/>
      <c r="AA750" s="1978"/>
      <c r="AB750" s="1978"/>
      <c r="AC750" s="1978"/>
      <c r="AD750" s="1978"/>
      <c r="AE750" s="1978"/>
      <c r="AF750" s="1978"/>
      <c r="AG750" s="1978"/>
    </row>
    <row r="752" spans="1:33" ht="14.25" customHeight="1">
      <c r="D752" s="2005" t="s">
        <v>1953</v>
      </c>
      <c r="E752" s="1886"/>
      <c r="F752" s="1886"/>
      <c r="G752" s="1886"/>
      <c r="H752" s="1886"/>
      <c r="I752" s="1886"/>
      <c r="J752" s="1886"/>
      <c r="K752" s="1886"/>
      <c r="L752" s="1886"/>
      <c r="M752" s="1886"/>
      <c r="N752" s="1886"/>
      <c r="O752" s="1886"/>
      <c r="P752" s="1886"/>
      <c r="Q752" s="1886"/>
      <c r="R752" s="1886"/>
      <c r="S752" s="1886"/>
      <c r="T752" s="1886"/>
      <c r="U752" s="1886"/>
      <c r="V752" s="1886"/>
      <c r="W752" s="1886"/>
      <c r="X752" s="1886"/>
      <c r="Y752" s="1886"/>
      <c r="Z752" s="1886"/>
      <c r="AA752" s="1886"/>
      <c r="AB752" s="1886"/>
      <c r="AC752" s="1886"/>
      <c r="AD752" s="1886"/>
      <c r="AE752" s="1886"/>
      <c r="AF752" s="1886"/>
      <c r="AG752" s="1886"/>
    </row>
    <row r="753" spans="1:33" ht="14.25" customHeight="1" thickBot="1"/>
    <row r="754" spans="1:33" ht="14.25" customHeight="1">
      <c r="A754" s="597">
        <v>39</v>
      </c>
      <c r="D754" s="2275" t="s">
        <v>1739</v>
      </c>
      <c r="E754" s="2276"/>
      <c r="F754" s="2276"/>
      <c r="G754" s="2276"/>
      <c r="H754" s="2276"/>
      <c r="I754" s="2276"/>
      <c r="J754" s="2276"/>
      <c r="K754" s="2276"/>
      <c r="L754" s="2276"/>
      <c r="M754" s="2277"/>
      <c r="N754" s="1877" t="s">
        <v>1740</v>
      </c>
      <c r="O754" s="1878"/>
      <c r="P754" s="1878"/>
      <c r="Q754" s="1878"/>
      <c r="R754" s="1878"/>
      <c r="S754" s="1878"/>
      <c r="T754" s="1878"/>
      <c r="U754" s="1878"/>
      <c r="V754" s="1878"/>
      <c r="W754" s="1878"/>
      <c r="X754" s="1877" t="s">
        <v>1858</v>
      </c>
      <c r="Y754" s="1878"/>
      <c r="Z754" s="1878"/>
      <c r="AA754" s="1878"/>
      <c r="AB754" s="1878"/>
      <c r="AC754" s="1878"/>
      <c r="AD754" s="1878"/>
      <c r="AE754" s="1878"/>
      <c r="AF754" s="1878"/>
      <c r="AG754" s="1881"/>
    </row>
    <row r="755" spans="1:33" ht="14.25" customHeight="1" thickBot="1">
      <c r="D755" s="2278"/>
      <c r="E755" s="2279"/>
      <c r="F755" s="2279"/>
      <c r="G755" s="2279"/>
      <c r="H755" s="2279"/>
      <c r="I755" s="2279"/>
      <c r="J755" s="2279"/>
      <c r="K755" s="2279"/>
      <c r="L755" s="2279"/>
      <c r="M755" s="2280"/>
      <c r="N755" s="1879"/>
      <c r="O755" s="1880"/>
      <c r="P755" s="1880"/>
      <c r="Q755" s="1880"/>
      <c r="R755" s="1880"/>
      <c r="S755" s="1880"/>
      <c r="T755" s="1880"/>
      <c r="U755" s="1880"/>
      <c r="V755" s="1880"/>
      <c r="W755" s="1880"/>
      <c r="X755" s="1879"/>
      <c r="Y755" s="1880"/>
      <c r="Z755" s="1880"/>
      <c r="AA755" s="1880"/>
      <c r="AB755" s="1880"/>
      <c r="AC755" s="1880"/>
      <c r="AD755" s="1880"/>
      <c r="AE755" s="1880"/>
      <c r="AF755" s="1880"/>
      <c r="AG755" s="1882"/>
    </row>
    <row r="756" spans="1:33" s="20" customFormat="1" ht="29.25" customHeight="1">
      <c r="A756" s="912"/>
      <c r="D756" s="1959" t="s">
        <v>1954</v>
      </c>
      <c r="E756" s="1960"/>
      <c r="F756" s="1960"/>
      <c r="G756" s="1960"/>
      <c r="H756" s="1960"/>
      <c r="I756" s="1960"/>
      <c r="J756" s="1960"/>
      <c r="K756" s="1960"/>
      <c r="L756" s="1960"/>
      <c r="M756" s="1961"/>
      <c r="N756" s="1792">
        <f>'Notes- SK Template'!N766</f>
        <v>323531</v>
      </c>
      <c r="O756" s="1792">
        <f>'Notes- SK Template'!O766</f>
        <v>0</v>
      </c>
      <c r="P756" s="1792">
        <f>'Notes- SK Template'!P766</f>
        <v>0</v>
      </c>
      <c r="Q756" s="1792">
        <f>'Notes- SK Template'!Q766</f>
        <v>0</v>
      </c>
      <c r="R756" s="1792">
        <f>'Notes- SK Template'!R766</f>
        <v>0</v>
      </c>
      <c r="S756" s="1792">
        <f>'Notes- SK Template'!S766</f>
        <v>0</v>
      </c>
      <c r="T756" s="1792">
        <f>'Notes- SK Template'!T766</f>
        <v>0</v>
      </c>
      <c r="U756" s="1792">
        <f>'Notes- SK Template'!U766</f>
        <v>0</v>
      </c>
      <c r="V756" s="1792">
        <f>'Notes- SK Template'!V766</f>
        <v>0</v>
      </c>
      <c r="W756" s="1792">
        <f>'Notes- SK Template'!W766</f>
        <v>0</v>
      </c>
      <c r="X756" s="1792">
        <f>'Notes- SK Template'!X766</f>
        <v>441930</v>
      </c>
      <c r="Y756" s="1792">
        <f>'Notes- SK Template'!Y766</f>
        <v>0</v>
      </c>
      <c r="Z756" s="1792">
        <f>'Notes- SK Template'!Z766</f>
        <v>0</v>
      </c>
      <c r="AA756" s="1792">
        <f>'Notes- SK Template'!AA766</f>
        <v>0</v>
      </c>
      <c r="AB756" s="1792">
        <f>'Notes- SK Template'!AB766</f>
        <v>0</v>
      </c>
      <c r="AC756" s="1792">
        <f>'Notes- SK Template'!AC766</f>
        <v>0</v>
      </c>
      <c r="AD756" s="1792">
        <f>'Notes- SK Template'!AD766</f>
        <v>0</v>
      </c>
      <c r="AE756" s="1792">
        <f>'Notes- SK Template'!AE766</f>
        <v>0</v>
      </c>
      <c r="AF756" s="1792">
        <f>'Notes- SK Template'!AF766</f>
        <v>0</v>
      </c>
      <c r="AG756" s="1792">
        <f>'Notes- SK Template'!AG766</f>
        <v>0</v>
      </c>
    </row>
    <row r="757" spans="1:33" s="20" customFormat="1" ht="29.25" customHeight="1">
      <c r="A757" s="912"/>
      <c r="D757" s="2560" t="s">
        <v>1955</v>
      </c>
      <c r="E757" s="1826"/>
      <c r="F757" s="1826"/>
      <c r="G757" s="1826"/>
      <c r="H757" s="1826"/>
      <c r="I757" s="1826"/>
      <c r="J757" s="1826"/>
      <c r="K757" s="1826"/>
      <c r="L757" s="1826"/>
      <c r="M757" s="1827"/>
      <c r="N757" s="1792">
        <f>'Notes- SK Template'!N767</f>
        <v>16600</v>
      </c>
      <c r="O757" s="1792">
        <f>'Notes- SK Template'!O767</f>
        <v>0</v>
      </c>
      <c r="P757" s="1792">
        <f>'Notes- SK Template'!P767</f>
        <v>0</v>
      </c>
      <c r="Q757" s="1792">
        <f>'Notes- SK Template'!Q767</f>
        <v>0</v>
      </c>
      <c r="R757" s="1792">
        <f>'Notes- SK Template'!R767</f>
        <v>0</v>
      </c>
      <c r="S757" s="1792">
        <f>'Notes- SK Template'!S767</f>
        <v>0</v>
      </c>
      <c r="T757" s="1792">
        <f>'Notes- SK Template'!T767</f>
        <v>0</v>
      </c>
      <c r="U757" s="1792">
        <f>'Notes- SK Template'!U767</f>
        <v>0</v>
      </c>
      <c r="V757" s="1792">
        <f>'Notes- SK Template'!V767</f>
        <v>0</v>
      </c>
      <c r="W757" s="1792">
        <f>'Notes- SK Template'!W767</f>
        <v>0</v>
      </c>
      <c r="X757" s="1792">
        <f>'Notes- SK Template'!X767</f>
        <v>16000</v>
      </c>
      <c r="Y757" s="1792">
        <f>'Notes- SK Template'!Y767</f>
        <v>0</v>
      </c>
      <c r="Z757" s="1792">
        <f>'Notes- SK Template'!Z767</f>
        <v>0</v>
      </c>
      <c r="AA757" s="1792">
        <f>'Notes- SK Template'!AA767</f>
        <v>0</v>
      </c>
      <c r="AB757" s="1792">
        <f>'Notes- SK Template'!AB767</f>
        <v>0</v>
      </c>
      <c r="AC757" s="1792">
        <f>'Notes- SK Template'!AC767</f>
        <v>0</v>
      </c>
      <c r="AD757" s="1792">
        <f>'Notes- SK Template'!AD767</f>
        <v>0</v>
      </c>
      <c r="AE757" s="1792">
        <f>'Notes- SK Template'!AE767</f>
        <v>0</v>
      </c>
      <c r="AF757" s="1792">
        <f>'Notes- SK Template'!AF767</f>
        <v>0</v>
      </c>
      <c r="AG757" s="1792">
        <f>'Notes- SK Template'!AG767</f>
        <v>0</v>
      </c>
    </row>
    <row r="758" spans="1:33" s="20" customFormat="1" ht="29.25" customHeight="1">
      <c r="A758" s="912"/>
      <c r="D758" s="1825" t="s">
        <v>1961</v>
      </c>
      <c r="E758" s="1826"/>
      <c r="F758" s="1826"/>
      <c r="G758" s="1826"/>
      <c r="H758" s="1826"/>
      <c r="I758" s="1826"/>
      <c r="J758" s="1826"/>
      <c r="K758" s="1826"/>
      <c r="L758" s="1826"/>
      <c r="M758" s="1827"/>
      <c r="N758" s="2596">
        <f>'Notes- SK Template'!N768</f>
        <v>16600</v>
      </c>
      <c r="O758" s="2597">
        <f>'Notes- SK Template'!O768</f>
        <v>0</v>
      </c>
      <c r="P758" s="2597">
        <f>'Notes- SK Template'!P768</f>
        <v>0</v>
      </c>
      <c r="Q758" s="2597">
        <f>'Notes- SK Template'!Q768</f>
        <v>0</v>
      </c>
      <c r="R758" s="2597">
        <f>'Notes- SK Template'!R768</f>
        <v>0</v>
      </c>
      <c r="S758" s="2597">
        <f>'Notes- SK Template'!S768</f>
        <v>0</v>
      </c>
      <c r="T758" s="2597">
        <f>'Notes- SK Template'!T768</f>
        <v>0</v>
      </c>
      <c r="U758" s="2597">
        <f>'Notes- SK Template'!U768</f>
        <v>0</v>
      </c>
      <c r="V758" s="2597">
        <f>'Notes- SK Template'!V768</f>
        <v>0</v>
      </c>
      <c r="W758" s="2598">
        <f>'Notes- SK Template'!W768</f>
        <v>0</v>
      </c>
      <c r="X758" s="2596">
        <f>'Notes- SK Template'!X768</f>
        <v>16000</v>
      </c>
      <c r="Y758" s="2597">
        <f>'Notes- SK Template'!Y768</f>
        <v>0</v>
      </c>
      <c r="Z758" s="2597">
        <f>'Notes- SK Template'!Z768</f>
        <v>0</v>
      </c>
      <c r="AA758" s="2597">
        <f>'Notes- SK Template'!AA768</f>
        <v>0</v>
      </c>
      <c r="AB758" s="2597">
        <f>'Notes- SK Template'!AB768</f>
        <v>0</v>
      </c>
      <c r="AC758" s="2597">
        <f>'Notes- SK Template'!AC768</f>
        <v>0</v>
      </c>
      <c r="AD758" s="2597">
        <f>'Notes- SK Template'!AD768</f>
        <v>0</v>
      </c>
      <c r="AE758" s="2597">
        <f>'Notes- SK Template'!AE768</f>
        <v>0</v>
      </c>
      <c r="AF758" s="2597">
        <f>'Notes- SK Template'!AF768</f>
        <v>0</v>
      </c>
      <c r="AG758" s="2598">
        <f>'Notes- SK Template'!AG768</f>
        <v>0</v>
      </c>
    </row>
    <row r="759" spans="1:33" s="20" customFormat="1" ht="29.25" customHeight="1">
      <c r="A759" s="912"/>
      <c r="D759" s="1825" t="s">
        <v>1962</v>
      </c>
      <c r="E759" s="1826"/>
      <c r="F759" s="1826"/>
      <c r="G759" s="1826"/>
      <c r="H759" s="1826"/>
      <c r="I759" s="1826"/>
      <c r="J759" s="1826"/>
      <c r="K759" s="1826"/>
      <c r="L759" s="1826"/>
      <c r="M759" s="1827"/>
      <c r="N759" s="2593">
        <f>'Notes- SK Template'!N769</f>
        <v>0</v>
      </c>
      <c r="O759" s="2594">
        <f>'Notes- SK Template'!O769</f>
        <v>0</v>
      </c>
      <c r="P759" s="2594">
        <f>'Notes- SK Template'!P769</f>
        <v>0</v>
      </c>
      <c r="Q759" s="2594">
        <f>'Notes- SK Template'!Q769</f>
        <v>0</v>
      </c>
      <c r="R759" s="2594">
        <f>'Notes- SK Template'!R769</f>
        <v>0</v>
      </c>
      <c r="S759" s="2594">
        <f>'Notes- SK Template'!S769</f>
        <v>0</v>
      </c>
      <c r="T759" s="2594">
        <f>'Notes- SK Template'!T769</f>
        <v>0</v>
      </c>
      <c r="U759" s="2594">
        <f>'Notes- SK Template'!U769</f>
        <v>0</v>
      </c>
      <c r="V759" s="2594">
        <f>'Notes- SK Template'!V769</f>
        <v>0</v>
      </c>
      <c r="W759" s="2595">
        <f>'Notes- SK Template'!W769</f>
        <v>0</v>
      </c>
      <c r="X759" s="2593">
        <f>'Notes- SK Template'!X769</f>
        <v>0</v>
      </c>
      <c r="Y759" s="2594">
        <f>'Notes- SK Template'!Y769</f>
        <v>0</v>
      </c>
      <c r="Z759" s="2594">
        <f>'Notes- SK Template'!Z769</f>
        <v>0</v>
      </c>
      <c r="AA759" s="2594">
        <f>'Notes- SK Template'!AA769</f>
        <v>0</v>
      </c>
      <c r="AB759" s="2594">
        <f>'Notes- SK Template'!AB769</f>
        <v>0</v>
      </c>
      <c r="AC759" s="2594">
        <f>'Notes- SK Template'!AC769</f>
        <v>0</v>
      </c>
      <c r="AD759" s="2594">
        <f>'Notes- SK Template'!AD769</f>
        <v>0</v>
      </c>
      <c r="AE759" s="2594">
        <f>'Notes- SK Template'!AE769</f>
        <v>0</v>
      </c>
      <c r="AF759" s="2594">
        <f>'Notes- SK Template'!AF769</f>
        <v>0</v>
      </c>
      <c r="AG759" s="2595">
        <f>'Notes- SK Template'!AG769</f>
        <v>0</v>
      </c>
    </row>
    <row r="760" spans="1:33" s="20" customFormat="1" ht="29.25" customHeight="1">
      <c r="A760" s="912"/>
      <c r="D760" s="1825" t="s">
        <v>1963</v>
      </c>
      <c r="E760" s="1826"/>
      <c r="F760" s="1826"/>
      <c r="G760" s="1826"/>
      <c r="H760" s="1826"/>
      <c r="I760" s="1826"/>
      <c r="J760" s="1826"/>
      <c r="K760" s="1826"/>
      <c r="L760" s="1826"/>
      <c r="M760" s="1827"/>
      <c r="N760" s="2593">
        <f>'Notes- SK Template'!N770</f>
        <v>0</v>
      </c>
      <c r="O760" s="2594">
        <f>'Notes- SK Template'!O770</f>
        <v>0</v>
      </c>
      <c r="P760" s="2594">
        <f>'Notes- SK Template'!P770</f>
        <v>0</v>
      </c>
      <c r="Q760" s="2594">
        <f>'Notes- SK Template'!Q770</f>
        <v>0</v>
      </c>
      <c r="R760" s="2594">
        <f>'Notes- SK Template'!R770</f>
        <v>0</v>
      </c>
      <c r="S760" s="2594">
        <f>'Notes- SK Template'!S770</f>
        <v>0</v>
      </c>
      <c r="T760" s="2594">
        <f>'Notes- SK Template'!T770</f>
        <v>0</v>
      </c>
      <c r="U760" s="2594">
        <f>'Notes- SK Template'!U770</f>
        <v>0</v>
      </c>
      <c r="V760" s="2594">
        <f>'Notes- SK Template'!V770</f>
        <v>0</v>
      </c>
      <c r="W760" s="2595">
        <f>'Notes- SK Template'!W770</f>
        <v>0</v>
      </c>
      <c r="X760" s="2593">
        <f>'Notes- SK Template'!X770</f>
        <v>0</v>
      </c>
      <c r="Y760" s="2594">
        <f>'Notes- SK Template'!Y770</f>
        <v>0</v>
      </c>
      <c r="Z760" s="2594">
        <f>'Notes- SK Template'!Z770</f>
        <v>0</v>
      </c>
      <c r="AA760" s="2594">
        <f>'Notes- SK Template'!AA770</f>
        <v>0</v>
      </c>
      <c r="AB760" s="2594">
        <f>'Notes- SK Template'!AB770</f>
        <v>0</v>
      </c>
      <c r="AC760" s="2594">
        <f>'Notes- SK Template'!AC770</f>
        <v>0</v>
      </c>
      <c r="AD760" s="2594">
        <f>'Notes- SK Template'!AD770</f>
        <v>0</v>
      </c>
      <c r="AE760" s="2594">
        <f>'Notes- SK Template'!AE770</f>
        <v>0</v>
      </c>
      <c r="AF760" s="2594">
        <f>'Notes- SK Template'!AF770</f>
        <v>0</v>
      </c>
      <c r="AG760" s="2595">
        <f>'Notes- SK Template'!AG770</f>
        <v>0</v>
      </c>
    </row>
    <row r="761" spans="1:33" s="20" customFormat="1" ht="29.25" customHeight="1">
      <c r="A761" s="912"/>
      <c r="D761" s="1825" t="s">
        <v>1964</v>
      </c>
      <c r="E761" s="1826"/>
      <c r="F761" s="1826"/>
      <c r="G761" s="1826"/>
      <c r="H761" s="1826"/>
      <c r="I761" s="1826"/>
      <c r="J761" s="1826"/>
      <c r="K761" s="1826"/>
      <c r="L761" s="1826"/>
      <c r="M761" s="1827"/>
      <c r="N761" s="2593">
        <f>'Notes- SK Template'!N771</f>
        <v>0</v>
      </c>
      <c r="O761" s="2594">
        <f>'Notes- SK Template'!O771</f>
        <v>0</v>
      </c>
      <c r="P761" s="2594">
        <f>'Notes- SK Template'!P771</f>
        <v>0</v>
      </c>
      <c r="Q761" s="2594">
        <f>'Notes- SK Template'!Q771</f>
        <v>0</v>
      </c>
      <c r="R761" s="2594">
        <f>'Notes- SK Template'!R771</f>
        <v>0</v>
      </c>
      <c r="S761" s="2594">
        <f>'Notes- SK Template'!S771</f>
        <v>0</v>
      </c>
      <c r="T761" s="2594">
        <f>'Notes- SK Template'!T771</f>
        <v>0</v>
      </c>
      <c r="U761" s="2594">
        <f>'Notes- SK Template'!U771</f>
        <v>0</v>
      </c>
      <c r="V761" s="2594">
        <f>'Notes- SK Template'!V771</f>
        <v>0</v>
      </c>
      <c r="W761" s="2595">
        <f>'Notes- SK Template'!W771</f>
        <v>0</v>
      </c>
      <c r="X761" s="2593">
        <f>'Notes- SK Template'!X771</f>
        <v>0</v>
      </c>
      <c r="Y761" s="2594">
        <f>'Notes- SK Template'!Y771</f>
        <v>0</v>
      </c>
      <c r="Z761" s="2594">
        <f>'Notes- SK Template'!Z771</f>
        <v>0</v>
      </c>
      <c r="AA761" s="2594">
        <f>'Notes- SK Template'!AA771</f>
        <v>0</v>
      </c>
      <c r="AB761" s="2594">
        <f>'Notes- SK Template'!AB771</f>
        <v>0</v>
      </c>
      <c r="AC761" s="2594">
        <f>'Notes- SK Template'!AC771</f>
        <v>0</v>
      </c>
      <c r="AD761" s="2594">
        <f>'Notes- SK Template'!AD771</f>
        <v>0</v>
      </c>
      <c r="AE761" s="2594">
        <f>'Notes- SK Template'!AE771</f>
        <v>0</v>
      </c>
      <c r="AF761" s="2594">
        <f>'Notes- SK Template'!AF771</f>
        <v>0</v>
      </c>
      <c r="AG761" s="2595">
        <f>'Notes- SK Template'!AG771</f>
        <v>0</v>
      </c>
    </row>
    <row r="762" spans="1:33" s="20" customFormat="1" ht="29.25" customHeight="1">
      <c r="A762" s="912"/>
      <c r="D762" s="1825" t="s">
        <v>1965</v>
      </c>
      <c r="E762" s="1826"/>
      <c r="F762" s="1826"/>
      <c r="G762" s="1826"/>
      <c r="H762" s="1826"/>
      <c r="I762" s="1826"/>
      <c r="J762" s="1826"/>
      <c r="K762" s="1826"/>
      <c r="L762" s="1826"/>
      <c r="M762" s="1827"/>
      <c r="N762" s="2593">
        <f>'Notes- SK Template'!N772</f>
        <v>0</v>
      </c>
      <c r="O762" s="2594">
        <f>'Notes- SK Template'!O772</f>
        <v>0</v>
      </c>
      <c r="P762" s="2594">
        <f>'Notes- SK Template'!P772</f>
        <v>0</v>
      </c>
      <c r="Q762" s="2594">
        <f>'Notes- SK Template'!Q772</f>
        <v>0</v>
      </c>
      <c r="R762" s="2594">
        <f>'Notes- SK Template'!R772</f>
        <v>0</v>
      </c>
      <c r="S762" s="2594">
        <f>'Notes- SK Template'!S772</f>
        <v>0</v>
      </c>
      <c r="T762" s="2594">
        <f>'Notes- SK Template'!T772</f>
        <v>0</v>
      </c>
      <c r="U762" s="2594">
        <f>'Notes- SK Template'!U772</f>
        <v>0</v>
      </c>
      <c r="V762" s="2594">
        <f>'Notes- SK Template'!V772</f>
        <v>0</v>
      </c>
      <c r="W762" s="2595">
        <f>'Notes- SK Template'!W772</f>
        <v>0</v>
      </c>
      <c r="X762" s="2593">
        <f>'Notes- SK Template'!X772</f>
        <v>0</v>
      </c>
      <c r="Y762" s="2594">
        <f>'Notes- SK Template'!Y772</f>
        <v>0</v>
      </c>
      <c r="Z762" s="2594">
        <f>'Notes- SK Template'!Z772</f>
        <v>0</v>
      </c>
      <c r="AA762" s="2594">
        <f>'Notes- SK Template'!AA772</f>
        <v>0</v>
      </c>
      <c r="AB762" s="2594">
        <f>'Notes- SK Template'!AB772</f>
        <v>0</v>
      </c>
      <c r="AC762" s="2594">
        <f>'Notes- SK Template'!AC772</f>
        <v>0</v>
      </c>
      <c r="AD762" s="2594">
        <f>'Notes- SK Template'!AD772</f>
        <v>0</v>
      </c>
      <c r="AE762" s="2594">
        <f>'Notes- SK Template'!AE772</f>
        <v>0</v>
      </c>
      <c r="AF762" s="2594">
        <f>'Notes- SK Template'!AF772</f>
        <v>0</v>
      </c>
      <c r="AG762" s="2595">
        <f>'Notes- SK Template'!AG772</f>
        <v>0</v>
      </c>
    </row>
    <row r="763" spans="1:33" s="20" customFormat="1" ht="34.75" customHeight="1">
      <c r="A763" s="912"/>
      <c r="D763" s="1864" t="s">
        <v>2820</v>
      </c>
      <c r="E763" s="1865">
        <f>'Notes- SK Template'!E773</f>
        <v>0</v>
      </c>
      <c r="F763" s="1865">
        <f>'Notes- SK Template'!F773</f>
        <v>0</v>
      </c>
      <c r="G763" s="1865">
        <f>'Notes- SK Template'!G773</f>
        <v>0</v>
      </c>
      <c r="H763" s="1865">
        <f>'Notes- SK Template'!H773</f>
        <v>0</v>
      </c>
      <c r="I763" s="1865">
        <f>'Notes- SK Template'!I773</f>
        <v>0</v>
      </c>
      <c r="J763" s="1865">
        <f>'Notes- SK Template'!J773</f>
        <v>0</v>
      </c>
      <c r="K763" s="1865">
        <f>'Notes- SK Template'!K773</f>
        <v>0</v>
      </c>
      <c r="L763" s="1865">
        <f>'Notes- SK Template'!L773</f>
        <v>0</v>
      </c>
      <c r="M763" s="1866">
        <f>'Notes- SK Template'!M773</f>
        <v>0</v>
      </c>
      <c r="N763" s="2593">
        <f>'Notes- SK Template'!N773</f>
        <v>306931</v>
      </c>
      <c r="O763" s="2594">
        <f>'Notes- SK Template'!O773</f>
        <v>0</v>
      </c>
      <c r="P763" s="2594">
        <f>'Notes- SK Template'!P773</f>
        <v>0</v>
      </c>
      <c r="Q763" s="2594">
        <f>'Notes- SK Template'!Q773</f>
        <v>0</v>
      </c>
      <c r="R763" s="2594">
        <f>'Notes- SK Template'!R773</f>
        <v>0</v>
      </c>
      <c r="S763" s="2594">
        <f>'Notes- SK Template'!S773</f>
        <v>0</v>
      </c>
      <c r="T763" s="2594">
        <f>'Notes- SK Template'!T773</f>
        <v>0</v>
      </c>
      <c r="U763" s="2594">
        <f>'Notes- SK Template'!U773</f>
        <v>0</v>
      </c>
      <c r="V763" s="2594">
        <f>'Notes- SK Template'!V773</f>
        <v>0</v>
      </c>
      <c r="W763" s="2595">
        <f>'Notes- SK Template'!W773</f>
        <v>0</v>
      </c>
      <c r="X763" s="2593">
        <f>'Notes- SK Template'!X773</f>
        <v>425930</v>
      </c>
      <c r="Y763" s="2594">
        <f>'Notes- SK Template'!Y773</f>
        <v>0</v>
      </c>
      <c r="Z763" s="2594">
        <f>'Notes- SK Template'!Z773</f>
        <v>0</v>
      </c>
      <c r="AA763" s="2594">
        <f>'Notes- SK Template'!AA773</f>
        <v>0</v>
      </c>
      <c r="AB763" s="2594">
        <f>'Notes- SK Template'!AB773</f>
        <v>0</v>
      </c>
      <c r="AC763" s="2594">
        <f>'Notes- SK Template'!AC773</f>
        <v>0</v>
      </c>
      <c r="AD763" s="2594">
        <f>'Notes- SK Template'!AD773</f>
        <v>0</v>
      </c>
      <c r="AE763" s="2594">
        <f>'Notes- SK Template'!AE773</f>
        <v>0</v>
      </c>
      <c r="AF763" s="2594">
        <f>'Notes- SK Template'!AF773</f>
        <v>0</v>
      </c>
      <c r="AG763" s="2595">
        <f>'Notes- SK Template'!AG773</f>
        <v>0</v>
      </c>
    </row>
    <row r="764" spans="1:33" s="20" customFormat="1" ht="29.25" customHeight="1">
      <c r="A764" s="912"/>
      <c r="D764" s="1867" t="s">
        <v>2821</v>
      </c>
      <c r="E764" s="1867">
        <f>'Notes- SK Template'!E774</f>
        <v>0</v>
      </c>
      <c r="F764" s="1867">
        <f>'Notes- SK Template'!F774</f>
        <v>0</v>
      </c>
      <c r="G764" s="1867">
        <f>'Notes- SK Template'!G774</f>
        <v>0</v>
      </c>
      <c r="H764" s="1867">
        <f>'Notes- SK Template'!H774</f>
        <v>0</v>
      </c>
      <c r="I764" s="1867">
        <f>'Notes- SK Template'!I774</f>
        <v>0</v>
      </c>
      <c r="J764" s="1867">
        <f>'Notes- SK Template'!J774</f>
        <v>0</v>
      </c>
      <c r="K764" s="1867">
        <f>'Notes- SK Template'!K774</f>
        <v>0</v>
      </c>
      <c r="L764" s="1867">
        <f>'Notes- SK Template'!L774</f>
        <v>0</v>
      </c>
      <c r="M764" s="1867">
        <f>'Notes- SK Template'!M774</f>
        <v>0</v>
      </c>
      <c r="N764" s="1792">
        <f>'Notes- SK Template'!N774</f>
        <v>14740</v>
      </c>
      <c r="O764" s="1792">
        <f>'Notes- SK Template'!O774</f>
        <v>0</v>
      </c>
      <c r="P764" s="1792">
        <f>'Notes- SK Template'!P774</f>
        <v>0</v>
      </c>
      <c r="Q764" s="1792">
        <f>'Notes- SK Template'!Q774</f>
        <v>0</v>
      </c>
      <c r="R764" s="1792">
        <f>'Notes- SK Template'!R774</f>
        <v>0</v>
      </c>
      <c r="S764" s="1792">
        <f>'Notes- SK Template'!S774</f>
        <v>0</v>
      </c>
      <c r="T764" s="1792">
        <f>'Notes- SK Template'!T774</f>
        <v>0</v>
      </c>
      <c r="U764" s="1792">
        <f>'Notes- SK Template'!U774</f>
        <v>0</v>
      </c>
      <c r="V764" s="1792">
        <f>'Notes- SK Template'!V774</f>
        <v>0</v>
      </c>
      <c r="W764" s="1792">
        <f>'Notes- SK Template'!W774</f>
        <v>0</v>
      </c>
      <c r="X764" s="1792">
        <f>'Notes- SK Template'!X774</f>
        <v>23798</v>
      </c>
      <c r="Y764" s="1792">
        <f>'Notes- SK Template'!Y774</f>
        <v>0</v>
      </c>
      <c r="Z764" s="1792">
        <f>'Notes- SK Template'!Z774</f>
        <v>0</v>
      </c>
      <c r="AA764" s="1792">
        <f>'Notes- SK Template'!AA774</f>
        <v>0</v>
      </c>
      <c r="AB764" s="1792">
        <f>'Notes- SK Template'!AB774</f>
        <v>0</v>
      </c>
      <c r="AC764" s="1792">
        <f>'Notes- SK Template'!AC774</f>
        <v>0</v>
      </c>
      <c r="AD764" s="1792">
        <f>'Notes- SK Template'!AD774</f>
        <v>0</v>
      </c>
      <c r="AE764" s="1792">
        <f>'Notes- SK Template'!AE774</f>
        <v>0</v>
      </c>
      <c r="AF764" s="1792">
        <f>'Notes- SK Template'!AF774</f>
        <v>0</v>
      </c>
      <c r="AG764" s="1792">
        <f>'Notes- SK Template'!AG774</f>
        <v>0</v>
      </c>
    </row>
    <row r="765" spans="1:33" s="20" customFormat="1" ht="29.25" customHeight="1">
      <c r="A765" s="1501"/>
      <c r="D765" s="1867" t="s">
        <v>2822</v>
      </c>
      <c r="E765" s="1867">
        <f>'Notes- SK Template'!E775</f>
        <v>0</v>
      </c>
      <c r="F765" s="1867">
        <f>'Notes- SK Template'!F775</f>
        <v>0</v>
      </c>
      <c r="G765" s="1867">
        <f>'Notes- SK Template'!G775</f>
        <v>0</v>
      </c>
      <c r="H765" s="1867">
        <f>'Notes- SK Template'!H775</f>
        <v>0</v>
      </c>
      <c r="I765" s="1867">
        <f>'Notes- SK Template'!I775</f>
        <v>0</v>
      </c>
      <c r="J765" s="1867">
        <f>'Notes- SK Template'!J775</f>
        <v>0</v>
      </c>
      <c r="K765" s="1867">
        <f>'Notes- SK Template'!K775</f>
        <v>0</v>
      </c>
      <c r="L765" s="1867">
        <f>'Notes- SK Template'!L775</f>
        <v>0</v>
      </c>
      <c r="M765" s="1867">
        <f>'Notes- SK Template'!M775</f>
        <v>0</v>
      </c>
      <c r="N765" s="1792">
        <f>'Notes- SK Template'!N775</f>
        <v>7460</v>
      </c>
      <c r="O765" s="1792">
        <f>'Notes- SK Template'!O775</f>
        <v>0</v>
      </c>
      <c r="P765" s="1792">
        <f>'Notes- SK Template'!P775</f>
        <v>0</v>
      </c>
      <c r="Q765" s="1792">
        <f>'Notes- SK Template'!Q775</f>
        <v>0</v>
      </c>
      <c r="R765" s="1792">
        <f>'Notes- SK Template'!R775</f>
        <v>0</v>
      </c>
      <c r="S765" s="1792">
        <f>'Notes- SK Template'!S775</f>
        <v>0</v>
      </c>
      <c r="T765" s="1792">
        <f>'Notes- SK Template'!T775</f>
        <v>0</v>
      </c>
      <c r="U765" s="1792">
        <f>'Notes- SK Template'!U775</f>
        <v>0</v>
      </c>
      <c r="V765" s="1792">
        <f>'Notes- SK Template'!V775</f>
        <v>0</v>
      </c>
      <c r="W765" s="1792">
        <f>'Notes- SK Template'!W775</f>
        <v>0</v>
      </c>
      <c r="X765" s="1792">
        <f>'Notes- SK Template'!X775</f>
        <v>9822</v>
      </c>
      <c r="Y765" s="1792">
        <f>'Notes- SK Template'!Y775</f>
        <v>0</v>
      </c>
      <c r="Z765" s="1792">
        <f>'Notes- SK Template'!Z775</f>
        <v>0</v>
      </c>
      <c r="AA765" s="1792">
        <f>'Notes- SK Template'!AA775</f>
        <v>0</v>
      </c>
      <c r="AB765" s="1792">
        <f>'Notes- SK Template'!AB775</f>
        <v>0</v>
      </c>
      <c r="AC765" s="1792">
        <f>'Notes- SK Template'!AC775</f>
        <v>0</v>
      </c>
      <c r="AD765" s="1792">
        <f>'Notes- SK Template'!AD775</f>
        <v>0</v>
      </c>
      <c r="AE765" s="1792">
        <f>'Notes- SK Template'!AE775</f>
        <v>0</v>
      </c>
      <c r="AF765" s="1792">
        <f>'Notes- SK Template'!AF775</f>
        <v>0</v>
      </c>
      <c r="AG765" s="1792">
        <f>'Notes- SK Template'!AG775</f>
        <v>0</v>
      </c>
    </row>
    <row r="766" spans="1:33" s="20" customFormat="1" ht="29.25" customHeight="1">
      <c r="A766" s="1501"/>
      <c r="D766" s="1867" t="s">
        <v>1934</v>
      </c>
      <c r="E766" s="1867">
        <f>'Notes- SK Template'!E776</f>
        <v>0</v>
      </c>
      <c r="F766" s="1867">
        <f>'Notes- SK Template'!F776</f>
        <v>0</v>
      </c>
      <c r="G766" s="1867">
        <f>'Notes- SK Template'!G776</f>
        <v>0</v>
      </c>
      <c r="H766" s="1867">
        <f>'Notes- SK Template'!H776</f>
        <v>0</v>
      </c>
      <c r="I766" s="1867">
        <f>'Notes- SK Template'!I776</f>
        <v>0</v>
      </c>
      <c r="J766" s="1867">
        <f>'Notes- SK Template'!J776</f>
        <v>0</v>
      </c>
      <c r="K766" s="1867">
        <f>'Notes- SK Template'!K776</f>
        <v>0</v>
      </c>
      <c r="L766" s="1867">
        <f>'Notes- SK Template'!L776</f>
        <v>0</v>
      </c>
      <c r="M766" s="1867">
        <f>'Notes- SK Template'!M776</f>
        <v>0</v>
      </c>
      <c r="N766" s="1792">
        <f>'Notes- SK Template'!N776</f>
        <v>6141</v>
      </c>
      <c r="O766" s="1792">
        <f>'Notes- SK Template'!O776</f>
        <v>0</v>
      </c>
      <c r="P766" s="1792">
        <f>'Notes- SK Template'!P776</f>
        <v>0</v>
      </c>
      <c r="Q766" s="1792">
        <f>'Notes- SK Template'!Q776</f>
        <v>0</v>
      </c>
      <c r="R766" s="1792">
        <f>'Notes- SK Template'!R776</f>
        <v>0</v>
      </c>
      <c r="S766" s="1792">
        <f>'Notes- SK Template'!S776</f>
        <v>0</v>
      </c>
      <c r="T766" s="1792">
        <f>'Notes- SK Template'!T776</f>
        <v>0</v>
      </c>
      <c r="U766" s="1792">
        <f>'Notes- SK Template'!U776</f>
        <v>0</v>
      </c>
      <c r="V766" s="1792">
        <f>'Notes- SK Template'!V776</f>
        <v>0</v>
      </c>
      <c r="W766" s="1792">
        <f>'Notes- SK Template'!W776</f>
        <v>0</v>
      </c>
      <c r="X766" s="1792">
        <f>'Notes- SK Template'!X776</f>
        <v>6643</v>
      </c>
      <c r="Y766" s="1792">
        <f>'Notes- SK Template'!Y776</f>
        <v>0</v>
      </c>
      <c r="Z766" s="1792">
        <f>'Notes- SK Template'!Z776</f>
        <v>0</v>
      </c>
      <c r="AA766" s="1792">
        <f>'Notes- SK Template'!AA776</f>
        <v>0</v>
      </c>
      <c r="AB766" s="1792">
        <f>'Notes- SK Template'!AB776</f>
        <v>0</v>
      </c>
      <c r="AC766" s="1792">
        <f>'Notes- SK Template'!AC776</f>
        <v>0</v>
      </c>
      <c r="AD766" s="1792">
        <f>'Notes- SK Template'!AD776</f>
        <v>0</v>
      </c>
      <c r="AE766" s="1792">
        <f>'Notes- SK Template'!AE776</f>
        <v>0</v>
      </c>
      <c r="AF766" s="1792">
        <f>'Notes- SK Template'!AF776</f>
        <v>0</v>
      </c>
      <c r="AG766" s="1792">
        <f>'Notes- SK Template'!AG776</f>
        <v>0</v>
      </c>
    </row>
    <row r="767" spans="1:33" s="20" customFormat="1" ht="29.25" customHeight="1">
      <c r="A767" s="1501"/>
      <c r="D767" s="1867" t="s">
        <v>2823</v>
      </c>
      <c r="E767" s="1867">
        <f>'Notes- SK Template'!E777</f>
        <v>0</v>
      </c>
      <c r="F767" s="1867">
        <f>'Notes- SK Template'!F777</f>
        <v>0</v>
      </c>
      <c r="G767" s="1867">
        <f>'Notes- SK Template'!G777</f>
        <v>0</v>
      </c>
      <c r="H767" s="1867">
        <f>'Notes- SK Template'!H777</f>
        <v>0</v>
      </c>
      <c r="I767" s="1867">
        <f>'Notes- SK Template'!I777</f>
        <v>0</v>
      </c>
      <c r="J767" s="1867">
        <f>'Notes- SK Template'!J777</f>
        <v>0</v>
      </c>
      <c r="K767" s="1867">
        <f>'Notes- SK Template'!K777</f>
        <v>0</v>
      </c>
      <c r="L767" s="1867">
        <f>'Notes- SK Template'!L777</f>
        <v>0</v>
      </c>
      <c r="M767" s="1867">
        <f>'Notes- SK Template'!M777</f>
        <v>0</v>
      </c>
      <c r="N767" s="1792">
        <f>'Notes- SK Template'!N777</f>
        <v>37555</v>
      </c>
      <c r="O767" s="1792">
        <f>'Notes- SK Template'!O777</f>
        <v>0</v>
      </c>
      <c r="P767" s="1792">
        <f>'Notes- SK Template'!P777</f>
        <v>0</v>
      </c>
      <c r="Q767" s="1792">
        <f>'Notes- SK Template'!Q777</f>
        <v>0</v>
      </c>
      <c r="R767" s="1792">
        <f>'Notes- SK Template'!R777</f>
        <v>0</v>
      </c>
      <c r="S767" s="1792">
        <f>'Notes- SK Template'!S777</f>
        <v>0</v>
      </c>
      <c r="T767" s="1792">
        <f>'Notes- SK Template'!T777</f>
        <v>0</v>
      </c>
      <c r="U767" s="1792">
        <f>'Notes- SK Template'!U777</f>
        <v>0</v>
      </c>
      <c r="V767" s="1792">
        <f>'Notes- SK Template'!V777</f>
        <v>0</v>
      </c>
      <c r="W767" s="1792">
        <f>'Notes- SK Template'!W777</f>
        <v>0</v>
      </c>
      <c r="X767" s="1792">
        <f>'Notes- SK Template'!X777</f>
        <v>46928</v>
      </c>
      <c r="Y767" s="1792">
        <f>'Notes- SK Template'!Y777</f>
        <v>0</v>
      </c>
      <c r="Z767" s="1792">
        <f>'Notes- SK Template'!Z777</f>
        <v>0</v>
      </c>
      <c r="AA767" s="1792">
        <f>'Notes- SK Template'!AA777</f>
        <v>0</v>
      </c>
      <c r="AB767" s="1792">
        <f>'Notes- SK Template'!AB777</f>
        <v>0</v>
      </c>
      <c r="AC767" s="1792">
        <f>'Notes- SK Template'!AC777</f>
        <v>0</v>
      </c>
      <c r="AD767" s="1792">
        <f>'Notes- SK Template'!AD777</f>
        <v>0</v>
      </c>
      <c r="AE767" s="1792">
        <f>'Notes- SK Template'!AE777</f>
        <v>0</v>
      </c>
      <c r="AF767" s="1792">
        <f>'Notes- SK Template'!AF777</f>
        <v>0</v>
      </c>
      <c r="AG767" s="1792">
        <f>'Notes- SK Template'!AG777</f>
        <v>0</v>
      </c>
    </row>
    <row r="768" spans="1:33" s="20" customFormat="1" ht="29.25" customHeight="1">
      <c r="A768" s="1501"/>
      <c r="D768" s="1867" t="s">
        <v>2824</v>
      </c>
      <c r="E768" s="1867">
        <f>'Notes- SK Template'!E778</f>
        <v>0</v>
      </c>
      <c r="F768" s="1867">
        <f>'Notes- SK Template'!F778</f>
        <v>0</v>
      </c>
      <c r="G768" s="1867">
        <f>'Notes- SK Template'!G778</f>
        <v>0</v>
      </c>
      <c r="H768" s="1867">
        <f>'Notes- SK Template'!H778</f>
        <v>0</v>
      </c>
      <c r="I768" s="1867">
        <f>'Notes- SK Template'!I778</f>
        <v>0</v>
      </c>
      <c r="J768" s="1867">
        <f>'Notes- SK Template'!J778</f>
        <v>0</v>
      </c>
      <c r="K768" s="1867">
        <f>'Notes- SK Template'!K778</f>
        <v>0</v>
      </c>
      <c r="L768" s="1867">
        <f>'Notes- SK Template'!L778</f>
        <v>0</v>
      </c>
      <c r="M768" s="1867">
        <f>'Notes- SK Template'!M778</f>
        <v>0</v>
      </c>
      <c r="N768" s="1792">
        <f>'Notes- SK Template'!N778</f>
        <v>30550</v>
      </c>
      <c r="O768" s="1792">
        <f>'Notes- SK Template'!O778</f>
        <v>0</v>
      </c>
      <c r="P768" s="1792">
        <f>'Notes- SK Template'!P778</f>
        <v>0</v>
      </c>
      <c r="Q768" s="1792">
        <f>'Notes- SK Template'!Q778</f>
        <v>0</v>
      </c>
      <c r="R768" s="1792">
        <f>'Notes- SK Template'!R778</f>
        <v>0</v>
      </c>
      <c r="S768" s="1792">
        <f>'Notes- SK Template'!S778</f>
        <v>0</v>
      </c>
      <c r="T768" s="1792">
        <f>'Notes- SK Template'!T778</f>
        <v>0</v>
      </c>
      <c r="U768" s="1792">
        <f>'Notes- SK Template'!U778</f>
        <v>0</v>
      </c>
      <c r="V768" s="1792">
        <f>'Notes- SK Template'!V778</f>
        <v>0</v>
      </c>
      <c r="W768" s="1792">
        <f>'Notes- SK Template'!W778</f>
        <v>0</v>
      </c>
      <c r="X768" s="1792">
        <f>'Notes- SK Template'!X778</f>
        <v>37056</v>
      </c>
      <c r="Y768" s="1792">
        <f>'Notes- SK Template'!Y778</f>
        <v>0</v>
      </c>
      <c r="Z768" s="1792">
        <f>'Notes- SK Template'!Z778</f>
        <v>0</v>
      </c>
      <c r="AA768" s="1792">
        <f>'Notes- SK Template'!AA778</f>
        <v>0</v>
      </c>
      <c r="AB768" s="1792">
        <f>'Notes- SK Template'!AB778</f>
        <v>0</v>
      </c>
      <c r="AC768" s="1792">
        <f>'Notes- SK Template'!AC778</f>
        <v>0</v>
      </c>
      <c r="AD768" s="1792">
        <f>'Notes- SK Template'!AD778</f>
        <v>0</v>
      </c>
      <c r="AE768" s="1792">
        <f>'Notes- SK Template'!AE778</f>
        <v>0</v>
      </c>
      <c r="AF768" s="1792">
        <f>'Notes- SK Template'!AF778</f>
        <v>0</v>
      </c>
      <c r="AG768" s="1792">
        <f>'Notes- SK Template'!AG778</f>
        <v>0</v>
      </c>
    </row>
    <row r="769" spans="1:33" s="20" customFormat="1" ht="29.25" customHeight="1">
      <c r="A769" s="1501"/>
      <c r="D769" s="1867" t="s">
        <v>2825</v>
      </c>
      <c r="E769" s="1867">
        <f>'Notes- SK Template'!E779</f>
        <v>0</v>
      </c>
      <c r="F769" s="1867">
        <f>'Notes- SK Template'!F779</f>
        <v>0</v>
      </c>
      <c r="G769" s="1867">
        <f>'Notes- SK Template'!G779</f>
        <v>0</v>
      </c>
      <c r="H769" s="1867">
        <f>'Notes- SK Template'!H779</f>
        <v>0</v>
      </c>
      <c r="I769" s="1867">
        <f>'Notes- SK Template'!I779</f>
        <v>0</v>
      </c>
      <c r="J769" s="1867">
        <f>'Notes- SK Template'!J779</f>
        <v>0</v>
      </c>
      <c r="K769" s="1867">
        <f>'Notes- SK Template'!K779</f>
        <v>0</v>
      </c>
      <c r="L769" s="1867">
        <f>'Notes- SK Template'!L779</f>
        <v>0</v>
      </c>
      <c r="M769" s="1867">
        <f>'Notes- SK Template'!M779</f>
        <v>0</v>
      </c>
      <c r="N769" s="1792">
        <f>'Notes- SK Template'!N779</f>
        <v>3444</v>
      </c>
      <c r="O769" s="1792">
        <f>'Notes- SK Template'!O779</f>
        <v>0</v>
      </c>
      <c r="P769" s="1792">
        <f>'Notes- SK Template'!P779</f>
        <v>0</v>
      </c>
      <c r="Q769" s="1792">
        <f>'Notes- SK Template'!Q779</f>
        <v>0</v>
      </c>
      <c r="R769" s="1792">
        <f>'Notes- SK Template'!R779</f>
        <v>0</v>
      </c>
      <c r="S769" s="1792">
        <f>'Notes- SK Template'!S779</f>
        <v>0</v>
      </c>
      <c r="T769" s="1792">
        <f>'Notes- SK Template'!T779</f>
        <v>0</v>
      </c>
      <c r="U769" s="1792">
        <f>'Notes- SK Template'!U779</f>
        <v>0</v>
      </c>
      <c r="V769" s="1792">
        <f>'Notes- SK Template'!V779</f>
        <v>0</v>
      </c>
      <c r="W769" s="1792">
        <f>'Notes- SK Template'!W779</f>
        <v>0</v>
      </c>
      <c r="X769" s="1792">
        <f>'Notes- SK Template'!X779</f>
        <v>766</v>
      </c>
      <c r="Y769" s="1792">
        <f>'Notes- SK Template'!Y779</f>
        <v>0</v>
      </c>
      <c r="Z769" s="1792">
        <f>'Notes- SK Template'!Z779</f>
        <v>0</v>
      </c>
      <c r="AA769" s="1792">
        <f>'Notes- SK Template'!AA779</f>
        <v>0</v>
      </c>
      <c r="AB769" s="1792">
        <f>'Notes- SK Template'!AB779</f>
        <v>0</v>
      </c>
      <c r="AC769" s="1792">
        <f>'Notes- SK Template'!AC779</f>
        <v>0</v>
      </c>
      <c r="AD769" s="1792">
        <f>'Notes- SK Template'!AD779</f>
        <v>0</v>
      </c>
      <c r="AE769" s="1792">
        <f>'Notes- SK Template'!AE779</f>
        <v>0</v>
      </c>
      <c r="AF769" s="1792">
        <f>'Notes- SK Template'!AF779</f>
        <v>0</v>
      </c>
      <c r="AG769" s="1792">
        <f>'Notes- SK Template'!AG779</f>
        <v>0</v>
      </c>
    </row>
    <row r="770" spans="1:33" s="20" customFormat="1" ht="29.25" customHeight="1">
      <c r="A770" s="1501"/>
      <c r="D770" s="1867" t="s">
        <v>2826</v>
      </c>
      <c r="E770" s="1867">
        <f>'Notes- SK Template'!E780</f>
        <v>0</v>
      </c>
      <c r="F770" s="1867">
        <f>'Notes- SK Template'!F780</f>
        <v>0</v>
      </c>
      <c r="G770" s="1867">
        <f>'Notes- SK Template'!G780</f>
        <v>0</v>
      </c>
      <c r="H770" s="1867">
        <f>'Notes- SK Template'!H780</f>
        <v>0</v>
      </c>
      <c r="I770" s="1867">
        <f>'Notes- SK Template'!I780</f>
        <v>0</v>
      </c>
      <c r="J770" s="1867">
        <f>'Notes- SK Template'!J780</f>
        <v>0</v>
      </c>
      <c r="K770" s="1867">
        <f>'Notes- SK Template'!K780</f>
        <v>0</v>
      </c>
      <c r="L770" s="1867">
        <f>'Notes- SK Template'!L780</f>
        <v>0</v>
      </c>
      <c r="M770" s="1867">
        <f>'Notes- SK Template'!M780</f>
        <v>0</v>
      </c>
      <c r="N770" s="1792">
        <f>'Notes- SK Template'!N780</f>
        <v>112009</v>
      </c>
      <c r="O770" s="1792">
        <f>'Notes- SK Template'!O780</f>
        <v>0</v>
      </c>
      <c r="P770" s="1792">
        <f>'Notes- SK Template'!P780</f>
        <v>0</v>
      </c>
      <c r="Q770" s="1792">
        <f>'Notes- SK Template'!Q780</f>
        <v>0</v>
      </c>
      <c r="R770" s="1792">
        <f>'Notes- SK Template'!R780</f>
        <v>0</v>
      </c>
      <c r="S770" s="1792">
        <f>'Notes- SK Template'!S780</f>
        <v>0</v>
      </c>
      <c r="T770" s="1792">
        <f>'Notes- SK Template'!T780</f>
        <v>0</v>
      </c>
      <c r="U770" s="1792">
        <f>'Notes- SK Template'!U780</f>
        <v>0</v>
      </c>
      <c r="V770" s="1792">
        <f>'Notes- SK Template'!V780</f>
        <v>0</v>
      </c>
      <c r="W770" s="1792">
        <f>'Notes- SK Template'!W780</f>
        <v>0</v>
      </c>
      <c r="X770" s="1792">
        <f>'Notes- SK Template'!X780</f>
        <v>236407</v>
      </c>
      <c r="Y770" s="1792">
        <f>'Notes- SK Template'!Y780</f>
        <v>0</v>
      </c>
      <c r="Z770" s="1792">
        <f>'Notes- SK Template'!Z780</f>
        <v>0</v>
      </c>
      <c r="AA770" s="1792">
        <f>'Notes- SK Template'!AA780</f>
        <v>0</v>
      </c>
      <c r="AB770" s="1792">
        <f>'Notes- SK Template'!AB780</f>
        <v>0</v>
      </c>
      <c r="AC770" s="1792">
        <f>'Notes- SK Template'!AC780</f>
        <v>0</v>
      </c>
      <c r="AD770" s="1792">
        <f>'Notes- SK Template'!AD780</f>
        <v>0</v>
      </c>
      <c r="AE770" s="1792">
        <f>'Notes- SK Template'!AE780</f>
        <v>0</v>
      </c>
      <c r="AF770" s="1792">
        <f>'Notes- SK Template'!AF780</f>
        <v>0</v>
      </c>
      <c r="AG770" s="1792">
        <f>'Notes- SK Template'!AG780</f>
        <v>0</v>
      </c>
    </row>
    <row r="771" spans="1:33" s="20" customFormat="1" ht="29.25" customHeight="1">
      <c r="A771" s="1501"/>
      <c r="D771" s="1867" t="s">
        <v>2827</v>
      </c>
      <c r="E771" s="1867">
        <f>'Notes- SK Template'!E781</f>
        <v>0</v>
      </c>
      <c r="F771" s="1867">
        <f>'Notes- SK Template'!F781</f>
        <v>0</v>
      </c>
      <c r="G771" s="1867">
        <f>'Notes- SK Template'!G781</f>
        <v>0</v>
      </c>
      <c r="H771" s="1867">
        <f>'Notes- SK Template'!H781</f>
        <v>0</v>
      </c>
      <c r="I771" s="1867">
        <f>'Notes- SK Template'!I781</f>
        <v>0</v>
      </c>
      <c r="J771" s="1867">
        <f>'Notes- SK Template'!J781</f>
        <v>0</v>
      </c>
      <c r="K771" s="1867">
        <f>'Notes- SK Template'!K781</f>
        <v>0</v>
      </c>
      <c r="L771" s="1867">
        <f>'Notes- SK Template'!L781</f>
        <v>0</v>
      </c>
      <c r="M771" s="1867">
        <f>'Notes- SK Template'!M781</f>
        <v>0</v>
      </c>
      <c r="N771" s="1792">
        <f>'Notes- SK Template'!N781</f>
        <v>1606</v>
      </c>
      <c r="O771" s="1792">
        <f>'Notes- SK Template'!O781</f>
        <v>0</v>
      </c>
      <c r="P771" s="1792">
        <f>'Notes- SK Template'!P781</f>
        <v>0</v>
      </c>
      <c r="Q771" s="1792">
        <f>'Notes- SK Template'!Q781</f>
        <v>0</v>
      </c>
      <c r="R771" s="1792">
        <f>'Notes- SK Template'!R781</f>
        <v>0</v>
      </c>
      <c r="S771" s="1792">
        <f>'Notes- SK Template'!S781</f>
        <v>0</v>
      </c>
      <c r="T771" s="1792">
        <f>'Notes- SK Template'!T781</f>
        <v>0</v>
      </c>
      <c r="U771" s="1792">
        <f>'Notes- SK Template'!U781</f>
        <v>0</v>
      </c>
      <c r="V771" s="1792">
        <f>'Notes- SK Template'!V781</f>
        <v>0</v>
      </c>
      <c r="W771" s="1792">
        <f>'Notes- SK Template'!W781</f>
        <v>0</v>
      </c>
      <c r="X771" s="1792">
        <f>'Notes- SK Template'!X781</f>
        <v>3146</v>
      </c>
      <c r="Y771" s="1792">
        <f>'Notes- SK Template'!Y781</f>
        <v>0</v>
      </c>
      <c r="Z771" s="1792">
        <f>'Notes- SK Template'!Z781</f>
        <v>0</v>
      </c>
      <c r="AA771" s="1792">
        <f>'Notes- SK Template'!AA781</f>
        <v>0</v>
      </c>
      <c r="AB771" s="1792">
        <f>'Notes- SK Template'!AB781</f>
        <v>0</v>
      </c>
      <c r="AC771" s="1792">
        <f>'Notes- SK Template'!AC781</f>
        <v>0</v>
      </c>
      <c r="AD771" s="1792">
        <f>'Notes- SK Template'!AD781</f>
        <v>0</v>
      </c>
      <c r="AE771" s="1792">
        <f>'Notes- SK Template'!AE781</f>
        <v>0</v>
      </c>
      <c r="AF771" s="1792">
        <f>'Notes- SK Template'!AF781</f>
        <v>0</v>
      </c>
      <c r="AG771" s="1792">
        <f>'Notes- SK Template'!AG781</f>
        <v>0</v>
      </c>
    </row>
    <row r="772" spans="1:33" s="20" customFormat="1" ht="29.25" customHeight="1">
      <c r="A772" s="1501"/>
      <c r="D772" s="1867" t="s">
        <v>1877</v>
      </c>
      <c r="E772" s="1867">
        <f>'Notes- SK Template'!E782</f>
        <v>0</v>
      </c>
      <c r="F772" s="1867">
        <f>'Notes- SK Template'!F782</f>
        <v>0</v>
      </c>
      <c r="G772" s="1867">
        <f>'Notes- SK Template'!G782</f>
        <v>0</v>
      </c>
      <c r="H772" s="1867">
        <f>'Notes- SK Template'!H782</f>
        <v>0</v>
      </c>
      <c r="I772" s="1867">
        <f>'Notes- SK Template'!I782</f>
        <v>0</v>
      </c>
      <c r="J772" s="1867">
        <f>'Notes- SK Template'!J782</f>
        <v>0</v>
      </c>
      <c r="K772" s="1867">
        <f>'Notes- SK Template'!K782</f>
        <v>0</v>
      </c>
      <c r="L772" s="1867">
        <f>'Notes- SK Template'!L782</f>
        <v>0</v>
      </c>
      <c r="M772" s="1867">
        <f>'Notes- SK Template'!M782</f>
        <v>0</v>
      </c>
      <c r="N772" s="1792">
        <f>'Notes- SK Template'!N782</f>
        <v>93426</v>
      </c>
      <c r="O772" s="1792">
        <f>'Notes- SK Template'!O782</f>
        <v>0</v>
      </c>
      <c r="P772" s="1792">
        <f>'Notes- SK Template'!P782</f>
        <v>0</v>
      </c>
      <c r="Q772" s="1792">
        <f>'Notes- SK Template'!Q782</f>
        <v>0</v>
      </c>
      <c r="R772" s="1792">
        <f>'Notes- SK Template'!R782</f>
        <v>0</v>
      </c>
      <c r="S772" s="1792">
        <f>'Notes- SK Template'!S782</f>
        <v>0</v>
      </c>
      <c r="T772" s="1792">
        <f>'Notes- SK Template'!T782</f>
        <v>0</v>
      </c>
      <c r="U772" s="1792">
        <f>'Notes- SK Template'!U782</f>
        <v>0</v>
      </c>
      <c r="V772" s="1792">
        <f>'Notes- SK Template'!V782</f>
        <v>0</v>
      </c>
      <c r="W772" s="1792">
        <f>'Notes- SK Template'!W782</f>
        <v>0</v>
      </c>
      <c r="X772" s="1792">
        <f>'Notes- SK Template'!X782</f>
        <v>61364</v>
      </c>
      <c r="Y772" s="1792">
        <f>'Notes- SK Template'!Y782</f>
        <v>0</v>
      </c>
      <c r="Z772" s="1792">
        <f>'Notes- SK Template'!Z782</f>
        <v>0</v>
      </c>
      <c r="AA772" s="1792">
        <f>'Notes- SK Template'!AA782</f>
        <v>0</v>
      </c>
      <c r="AB772" s="1792">
        <f>'Notes- SK Template'!AB782</f>
        <v>0</v>
      </c>
      <c r="AC772" s="1792">
        <f>'Notes- SK Template'!AC782</f>
        <v>0</v>
      </c>
      <c r="AD772" s="1792">
        <f>'Notes- SK Template'!AD782</f>
        <v>0</v>
      </c>
      <c r="AE772" s="1792">
        <f>'Notes- SK Template'!AE782</f>
        <v>0</v>
      </c>
      <c r="AF772" s="1792">
        <f>'Notes- SK Template'!AF782</f>
        <v>0</v>
      </c>
      <c r="AG772" s="1792">
        <f>'Notes- SK Template'!AG782</f>
        <v>0</v>
      </c>
    </row>
    <row r="773" spans="1:33" s="20" customFormat="1" ht="29.25" customHeight="1">
      <c r="A773" s="912"/>
      <c r="D773" s="1890" t="s">
        <v>1956</v>
      </c>
      <c r="E773" s="1890"/>
      <c r="F773" s="1890"/>
      <c r="G773" s="1890"/>
      <c r="H773" s="1890"/>
      <c r="I773" s="1890"/>
      <c r="J773" s="1890"/>
      <c r="K773" s="1890"/>
      <c r="L773" s="1890"/>
      <c r="M773" s="1890"/>
      <c r="N773" s="1792">
        <f>'Notes- SK Template'!N783</f>
        <v>903493</v>
      </c>
      <c r="O773" s="1792">
        <f>'Notes- SK Template'!O783</f>
        <v>0</v>
      </c>
      <c r="P773" s="1792">
        <f>'Notes- SK Template'!P783</f>
        <v>0</v>
      </c>
      <c r="Q773" s="1792">
        <f>'Notes- SK Template'!Q783</f>
        <v>0</v>
      </c>
      <c r="R773" s="1792">
        <f>'Notes- SK Template'!R783</f>
        <v>0</v>
      </c>
      <c r="S773" s="1792">
        <f>'Notes- SK Template'!S783</f>
        <v>0</v>
      </c>
      <c r="T773" s="1792">
        <f>'Notes- SK Template'!T783</f>
        <v>0</v>
      </c>
      <c r="U773" s="1792">
        <f>'Notes- SK Template'!U783</f>
        <v>0</v>
      </c>
      <c r="V773" s="1792">
        <f>'Notes- SK Template'!V783</f>
        <v>0</v>
      </c>
      <c r="W773" s="1792">
        <f>'Notes- SK Template'!W783</f>
        <v>0</v>
      </c>
      <c r="X773" s="1792">
        <f>'Notes- SK Template'!X783</f>
        <v>86546</v>
      </c>
      <c r="Y773" s="1792">
        <f>'Notes- SK Template'!Y783</f>
        <v>0</v>
      </c>
      <c r="Z773" s="1792">
        <f>'Notes- SK Template'!Z783</f>
        <v>0</v>
      </c>
      <c r="AA773" s="1792">
        <f>'Notes- SK Template'!AA783</f>
        <v>0</v>
      </c>
      <c r="AB773" s="1792">
        <f>'Notes- SK Template'!AB783</f>
        <v>0</v>
      </c>
      <c r="AC773" s="1792">
        <f>'Notes- SK Template'!AC783</f>
        <v>0</v>
      </c>
      <c r="AD773" s="1792">
        <f>'Notes- SK Template'!AD783</f>
        <v>0</v>
      </c>
      <c r="AE773" s="1792">
        <f>'Notes- SK Template'!AE783</f>
        <v>0</v>
      </c>
      <c r="AF773" s="1792">
        <f>'Notes- SK Template'!AF783</f>
        <v>0</v>
      </c>
      <c r="AG773" s="1792">
        <f>'Notes- SK Template'!AG783</f>
        <v>0</v>
      </c>
    </row>
    <row r="774" spans="1:33" s="20" customFormat="1" ht="29.25" customHeight="1">
      <c r="A774" s="1501"/>
      <c r="D774" s="1867" t="s">
        <v>2828</v>
      </c>
      <c r="E774" s="1822">
        <f>'Notes- SK Template'!E784</f>
        <v>0</v>
      </c>
      <c r="F774" s="1822">
        <f>'Notes- SK Template'!F784</f>
        <v>0</v>
      </c>
      <c r="G774" s="1822">
        <f>'Notes- SK Template'!G784</f>
        <v>0</v>
      </c>
      <c r="H774" s="1822">
        <f>'Notes- SK Template'!H784</f>
        <v>0</v>
      </c>
      <c r="I774" s="1822">
        <f>'Notes- SK Template'!I784</f>
        <v>0</v>
      </c>
      <c r="J774" s="1822">
        <f>'Notes- SK Template'!J784</f>
        <v>0</v>
      </c>
      <c r="K774" s="1822">
        <f>'Notes- SK Template'!K784</f>
        <v>0</v>
      </c>
      <c r="L774" s="1822">
        <f>'Notes- SK Template'!L784</f>
        <v>0</v>
      </c>
      <c r="M774" s="1822">
        <f>'Notes- SK Template'!M784</f>
        <v>0</v>
      </c>
      <c r="N774" s="1792">
        <f>'Notes- SK Template'!N784</f>
        <v>0</v>
      </c>
      <c r="O774" s="1792">
        <f>'Notes- SK Template'!O784</f>
        <v>0</v>
      </c>
      <c r="P774" s="1792">
        <f>'Notes- SK Template'!P784</f>
        <v>0</v>
      </c>
      <c r="Q774" s="1792">
        <f>'Notes- SK Template'!Q784</f>
        <v>0</v>
      </c>
      <c r="R774" s="1792">
        <f>'Notes- SK Template'!R784</f>
        <v>0</v>
      </c>
      <c r="S774" s="1792">
        <f>'Notes- SK Template'!S784</f>
        <v>0</v>
      </c>
      <c r="T774" s="1792">
        <f>'Notes- SK Template'!T784</f>
        <v>0</v>
      </c>
      <c r="U774" s="1792">
        <f>'Notes- SK Template'!U784</f>
        <v>0</v>
      </c>
      <c r="V774" s="1792">
        <f>'Notes- SK Template'!V784</f>
        <v>0</v>
      </c>
      <c r="W774" s="1792">
        <f>'Notes- SK Template'!W784</f>
        <v>0</v>
      </c>
      <c r="X774" s="1792">
        <f>'Notes- SK Template'!X784</f>
        <v>0</v>
      </c>
      <c r="Y774" s="1792">
        <f>'Notes- SK Template'!Y784</f>
        <v>0</v>
      </c>
      <c r="Z774" s="1792">
        <f>'Notes- SK Template'!Z784</f>
        <v>0</v>
      </c>
      <c r="AA774" s="1792">
        <f>'Notes- SK Template'!AA784</f>
        <v>0</v>
      </c>
      <c r="AB774" s="1792">
        <f>'Notes- SK Template'!AB784</f>
        <v>0</v>
      </c>
      <c r="AC774" s="1792">
        <f>'Notes- SK Template'!AC784</f>
        <v>0</v>
      </c>
      <c r="AD774" s="1792">
        <f>'Notes- SK Template'!AD784</f>
        <v>0</v>
      </c>
      <c r="AE774" s="1792">
        <f>'Notes- SK Template'!AE784</f>
        <v>0</v>
      </c>
      <c r="AF774" s="1792">
        <f>'Notes- SK Template'!AF784</f>
        <v>0</v>
      </c>
      <c r="AG774" s="1792">
        <f>'Notes- SK Template'!AG784</f>
        <v>0</v>
      </c>
    </row>
    <row r="775" spans="1:33" s="20" customFormat="1" ht="29.25" customHeight="1">
      <c r="A775" s="1501"/>
      <c r="D775" s="1867" t="s">
        <v>1935</v>
      </c>
      <c r="E775" s="1822">
        <f>'Notes- SK Template'!E785</f>
        <v>0</v>
      </c>
      <c r="F775" s="1822">
        <f>'Notes- SK Template'!F785</f>
        <v>0</v>
      </c>
      <c r="G775" s="1822">
        <f>'Notes- SK Template'!G785</f>
        <v>0</v>
      </c>
      <c r="H775" s="1822">
        <f>'Notes- SK Template'!H785</f>
        <v>0</v>
      </c>
      <c r="I775" s="1822">
        <f>'Notes- SK Template'!I785</f>
        <v>0</v>
      </c>
      <c r="J775" s="1822">
        <f>'Notes- SK Template'!J785</f>
        <v>0</v>
      </c>
      <c r="K775" s="1822">
        <f>'Notes- SK Template'!K785</f>
        <v>0</v>
      </c>
      <c r="L775" s="1822">
        <f>'Notes- SK Template'!L785</f>
        <v>0</v>
      </c>
      <c r="M775" s="1822">
        <f>'Notes- SK Template'!M785</f>
        <v>0</v>
      </c>
      <c r="N775" s="1792">
        <f>'Notes- SK Template'!N785</f>
        <v>0</v>
      </c>
      <c r="O775" s="1792">
        <f>'Notes- SK Template'!O785</f>
        <v>0</v>
      </c>
      <c r="P775" s="1792">
        <f>'Notes- SK Template'!P785</f>
        <v>0</v>
      </c>
      <c r="Q775" s="1792">
        <f>'Notes- SK Template'!Q785</f>
        <v>0</v>
      </c>
      <c r="R775" s="1792">
        <f>'Notes- SK Template'!R785</f>
        <v>0</v>
      </c>
      <c r="S775" s="1792">
        <f>'Notes- SK Template'!S785</f>
        <v>0</v>
      </c>
      <c r="T775" s="1792">
        <f>'Notes- SK Template'!T785</f>
        <v>0</v>
      </c>
      <c r="U775" s="1792">
        <f>'Notes- SK Template'!U785</f>
        <v>0</v>
      </c>
      <c r="V775" s="1792">
        <f>'Notes- SK Template'!V785</f>
        <v>0</v>
      </c>
      <c r="W775" s="1792">
        <f>'Notes- SK Template'!W785</f>
        <v>0</v>
      </c>
      <c r="X775" s="1792">
        <f>'Notes- SK Template'!X785</f>
        <v>0</v>
      </c>
      <c r="Y775" s="1792">
        <f>'Notes- SK Template'!Y785</f>
        <v>0</v>
      </c>
      <c r="Z775" s="1792">
        <f>'Notes- SK Template'!Z785</f>
        <v>0</v>
      </c>
      <c r="AA775" s="1792">
        <f>'Notes- SK Template'!AA785</f>
        <v>0</v>
      </c>
      <c r="AB775" s="1792">
        <f>'Notes- SK Template'!AB785</f>
        <v>0</v>
      </c>
      <c r="AC775" s="1792">
        <f>'Notes- SK Template'!AC785</f>
        <v>0</v>
      </c>
      <c r="AD775" s="1792">
        <f>'Notes- SK Template'!AD785</f>
        <v>0</v>
      </c>
      <c r="AE775" s="1792">
        <f>'Notes- SK Template'!AE785</f>
        <v>0</v>
      </c>
      <c r="AF775" s="1792">
        <f>'Notes- SK Template'!AF785</f>
        <v>0</v>
      </c>
      <c r="AG775" s="1792">
        <f>'Notes- SK Template'!AG785</f>
        <v>0</v>
      </c>
    </row>
    <row r="776" spans="1:33" s="20" customFormat="1" ht="29.25" customHeight="1">
      <c r="A776" s="1501"/>
      <c r="D776" s="1867" t="s">
        <v>2829</v>
      </c>
      <c r="E776" s="1822">
        <f>'Notes- SK Template'!E786</f>
        <v>0</v>
      </c>
      <c r="F776" s="1822">
        <f>'Notes- SK Template'!F786</f>
        <v>0</v>
      </c>
      <c r="G776" s="1822">
        <f>'Notes- SK Template'!G786</f>
        <v>0</v>
      </c>
      <c r="H776" s="1822">
        <f>'Notes- SK Template'!H786</f>
        <v>0</v>
      </c>
      <c r="I776" s="1822">
        <f>'Notes- SK Template'!I786</f>
        <v>0</v>
      </c>
      <c r="J776" s="1822">
        <f>'Notes- SK Template'!J786</f>
        <v>0</v>
      </c>
      <c r="K776" s="1822">
        <f>'Notes- SK Template'!K786</f>
        <v>0</v>
      </c>
      <c r="L776" s="1822">
        <f>'Notes- SK Template'!L786</f>
        <v>0</v>
      </c>
      <c r="M776" s="1822">
        <f>'Notes- SK Template'!M786</f>
        <v>0</v>
      </c>
      <c r="N776" s="1792">
        <f>'Notes- SK Template'!N786</f>
        <v>14</v>
      </c>
      <c r="O776" s="1792">
        <f>'Notes- SK Template'!O786</f>
        <v>0</v>
      </c>
      <c r="P776" s="1792">
        <f>'Notes- SK Template'!P786</f>
        <v>0</v>
      </c>
      <c r="Q776" s="1792">
        <f>'Notes- SK Template'!Q786</f>
        <v>0</v>
      </c>
      <c r="R776" s="1792">
        <f>'Notes- SK Template'!R786</f>
        <v>0</v>
      </c>
      <c r="S776" s="1792">
        <f>'Notes- SK Template'!S786</f>
        <v>0</v>
      </c>
      <c r="T776" s="1792">
        <f>'Notes- SK Template'!T786</f>
        <v>0</v>
      </c>
      <c r="U776" s="1792">
        <f>'Notes- SK Template'!U786</f>
        <v>0</v>
      </c>
      <c r="V776" s="1792">
        <f>'Notes- SK Template'!V786</f>
        <v>0</v>
      </c>
      <c r="W776" s="1792">
        <f>'Notes- SK Template'!W786</f>
        <v>0</v>
      </c>
      <c r="X776" s="1792">
        <f>'Notes- SK Template'!X786</f>
        <v>428</v>
      </c>
      <c r="Y776" s="1792">
        <f>'Notes- SK Template'!Y786</f>
        <v>0</v>
      </c>
      <c r="Z776" s="1792">
        <f>'Notes- SK Template'!Z786</f>
        <v>0</v>
      </c>
      <c r="AA776" s="1792">
        <f>'Notes- SK Template'!AA786</f>
        <v>0</v>
      </c>
      <c r="AB776" s="1792">
        <f>'Notes- SK Template'!AB786</f>
        <v>0</v>
      </c>
      <c r="AC776" s="1792">
        <f>'Notes- SK Template'!AC786</f>
        <v>0</v>
      </c>
      <c r="AD776" s="1792">
        <f>'Notes- SK Template'!AD786</f>
        <v>0</v>
      </c>
      <c r="AE776" s="1792">
        <f>'Notes- SK Template'!AE786</f>
        <v>0</v>
      </c>
      <c r="AF776" s="1792">
        <f>'Notes- SK Template'!AF786</f>
        <v>0</v>
      </c>
      <c r="AG776" s="1792">
        <f>'Notes- SK Template'!AG786</f>
        <v>0</v>
      </c>
    </row>
    <row r="777" spans="1:33" s="20" customFormat="1" ht="29.25" customHeight="1">
      <c r="A777" s="912"/>
      <c r="D777" s="1867" t="s">
        <v>2830</v>
      </c>
      <c r="E777" s="1822">
        <f>'Notes- SK Template'!E787</f>
        <v>0</v>
      </c>
      <c r="F777" s="1822">
        <f>'Notes- SK Template'!F787</f>
        <v>0</v>
      </c>
      <c r="G777" s="1822">
        <f>'Notes- SK Template'!G787</f>
        <v>0</v>
      </c>
      <c r="H777" s="1822">
        <f>'Notes- SK Template'!H787</f>
        <v>0</v>
      </c>
      <c r="I777" s="1822">
        <f>'Notes- SK Template'!I787</f>
        <v>0</v>
      </c>
      <c r="J777" s="1822">
        <f>'Notes- SK Template'!J787</f>
        <v>0</v>
      </c>
      <c r="K777" s="1822">
        <f>'Notes- SK Template'!K787</f>
        <v>0</v>
      </c>
      <c r="L777" s="1822">
        <f>'Notes- SK Template'!L787</f>
        <v>0</v>
      </c>
      <c r="M777" s="1822">
        <f>'Notes- SK Template'!M787</f>
        <v>0</v>
      </c>
      <c r="N777" s="1792">
        <f>'Notes- SK Template'!N787</f>
        <v>409</v>
      </c>
      <c r="O777" s="1792">
        <f>'Notes- SK Template'!O787</f>
        <v>0</v>
      </c>
      <c r="P777" s="1792">
        <f>'Notes- SK Template'!P787</f>
        <v>0</v>
      </c>
      <c r="Q777" s="1792">
        <f>'Notes- SK Template'!Q787</f>
        <v>0</v>
      </c>
      <c r="R777" s="1792">
        <f>'Notes- SK Template'!R787</f>
        <v>0</v>
      </c>
      <c r="S777" s="1792">
        <f>'Notes- SK Template'!S787</f>
        <v>0</v>
      </c>
      <c r="T777" s="1792">
        <f>'Notes- SK Template'!T787</f>
        <v>0</v>
      </c>
      <c r="U777" s="1792">
        <f>'Notes- SK Template'!U787</f>
        <v>0</v>
      </c>
      <c r="V777" s="1792">
        <f>'Notes- SK Template'!V787</f>
        <v>0</v>
      </c>
      <c r="W777" s="1792">
        <f>'Notes- SK Template'!W787</f>
        <v>0</v>
      </c>
      <c r="X777" s="1792">
        <f>'Notes- SK Template'!X787</f>
        <v>326</v>
      </c>
      <c r="Y777" s="1792">
        <f>'Notes- SK Template'!Y787</f>
        <v>0</v>
      </c>
      <c r="Z777" s="1792">
        <f>'Notes- SK Template'!Z787</f>
        <v>0</v>
      </c>
      <c r="AA777" s="1792">
        <f>'Notes- SK Template'!AA787</f>
        <v>0</v>
      </c>
      <c r="AB777" s="1792">
        <f>'Notes- SK Template'!AB787</f>
        <v>0</v>
      </c>
      <c r="AC777" s="1792">
        <f>'Notes- SK Template'!AC787</f>
        <v>0</v>
      </c>
      <c r="AD777" s="1792">
        <f>'Notes- SK Template'!AD787</f>
        <v>0</v>
      </c>
      <c r="AE777" s="1792">
        <f>'Notes- SK Template'!AE787</f>
        <v>0</v>
      </c>
      <c r="AF777" s="1792">
        <f>'Notes- SK Template'!AF787</f>
        <v>0</v>
      </c>
      <c r="AG777" s="1792">
        <f>'Notes- SK Template'!AG787</f>
        <v>0</v>
      </c>
    </row>
    <row r="778" spans="1:33" s="20" customFormat="1" ht="29.25" customHeight="1">
      <c r="A778" s="912"/>
      <c r="D778" s="1867" t="s">
        <v>3092</v>
      </c>
      <c r="E778" s="1822">
        <f>'Notes- SK Template'!E788</f>
        <v>0</v>
      </c>
      <c r="F778" s="1822">
        <f>'Notes- SK Template'!F788</f>
        <v>0</v>
      </c>
      <c r="G778" s="1822">
        <f>'Notes- SK Template'!G788</f>
        <v>0</v>
      </c>
      <c r="H778" s="1822">
        <f>'Notes- SK Template'!H788</f>
        <v>0</v>
      </c>
      <c r="I778" s="1822">
        <f>'Notes- SK Template'!I788</f>
        <v>0</v>
      </c>
      <c r="J778" s="1822">
        <f>'Notes- SK Template'!J788</f>
        <v>0</v>
      </c>
      <c r="K778" s="1822">
        <f>'Notes- SK Template'!K788</f>
        <v>0</v>
      </c>
      <c r="L778" s="1822">
        <f>'Notes- SK Template'!L788</f>
        <v>0</v>
      </c>
      <c r="M778" s="1822">
        <f>'Notes- SK Template'!M788</f>
        <v>0</v>
      </c>
      <c r="N778" s="1792">
        <f>'Notes- SK Template'!N788</f>
        <v>892451</v>
      </c>
      <c r="O778" s="1792">
        <f>'Notes- SK Template'!O788</f>
        <v>0</v>
      </c>
      <c r="P778" s="1792">
        <f>'Notes- SK Template'!P788</f>
        <v>0</v>
      </c>
      <c r="Q778" s="1792">
        <f>'Notes- SK Template'!Q788</f>
        <v>0</v>
      </c>
      <c r="R778" s="1792">
        <f>'Notes- SK Template'!R788</f>
        <v>0</v>
      </c>
      <c r="S778" s="1792">
        <f>'Notes- SK Template'!S788</f>
        <v>0</v>
      </c>
      <c r="T778" s="1792">
        <f>'Notes- SK Template'!T788</f>
        <v>0</v>
      </c>
      <c r="U778" s="1792">
        <f>'Notes- SK Template'!U788</f>
        <v>0</v>
      </c>
      <c r="V778" s="1792">
        <f>'Notes- SK Template'!V788</f>
        <v>0</v>
      </c>
      <c r="W778" s="1792">
        <f>'Notes- SK Template'!W788</f>
        <v>0</v>
      </c>
      <c r="X778" s="1792">
        <f>'Notes- SK Template'!X788</f>
        <v>65210</v>
      </c>
      <c r="Y778" s="1792">
        <f>'Notes- SK Template'!Y788</f>
        <v>0</v>
      </c>
      <c r="Z778" s="1792">
        <f>'Notes- SK Template'!Z788</f>
        <v>0</v>
      </c>
      <c r="AA778" s="1792">
        <f>'Notes- SK Template'!AA788</f>
        <v>0</v>
      </c>
      <c r="AB778" s="1792">
        <f>'Notes- SK Template'!AB788</f>
        <v>0</v>
      </c>
      <c r="AC778" s="1792">
        <f>'Notes- SK Template'!AC788</f>
        <v>0</v>
      </c>
      <c r="AD778" s="1792">
        <f>'Notes- SK Template'!AD788</f>
        <v>0</v>
      </c>
      <c r="AE778" s="1792">
        <f>'Notes- SK Template'!AE788</f>
        <v>0</v>
      </c>
      <c r="AF778" s="1792">
        <f>'Notes- SK Template'!AF788</f>
        <v>0</v>
      </c>
      <c r="AG778" s="1792">
        <f>'Notes- SK Template'!AG788</f>
        <v>0</v>
      </c>
    </row>
    <row r="779" spans="1:33" s="20" customFormat="1" ht="29.25" customHeight="1">
      <c r="A779" s="912"/>
      <c r="D779" s="1867" t="s">
        <v>2831</v>
      </c>
      <c r="E779" s="1822">
        <f>'Notes- SK Template'!E789</f>
        <v>0</v>
      </c>
      <c r="F779" s="1822">
        <f>'Notes- SK Template'!F789</f>
        <v>0</v>
      </c>
      <c r="G779" s="1822">
        <f>'Notes- SK Template'!G789</f>
        <v>0</v>
      </c>
      <c r="H779" s="1822">
        <f>'Notes- SK Template'!H789</f>
        <v>0</v>
      </c>
      <c r="I779" s="1822">
        <f>'Notes- SK Template'!I789</f>
        <v>0</v>
      </c>
      <c r="J779" s="1822">
        <f>'Notes- SK Template'!J789</f>
        <v>0</v>
      </c>
      <c r="K779" s="1822">
        <f>'Notes- SK Template'!K789</f>
        <v>0</v>
      </c>
      <c r="L779" s="1822">
        <f>'Notes- SK Template'!L789</f>
        <v>0</v>
      </c>
      <c r="M779" s="1822">
        <f>'Notes- SK Template'!M789</f>
        <v>0</v>
      </c>
      <c r="N779" s="1792">
        <f>'Notes- SK Template'!N789</f>
        <v>10619</v>
      </c>
      <c r="O779" s="1792">
        <f>'Notes- SK Template'!O789</f>
        <v>0</v>
      </c>
      <c r="P779" s="1792">
        <f>'Notes- SK Template'!P789</f>
        <v>0</v>
      </c>
      <c r="Q779" s="1792">
        <f>'Notes- SK Template'!Q789</f>
        <v>0</v>
      </c>
      <c r="R779" s="1792">
        <f>'Notes- SK Template'!R789</f>
        <v>0</v>
      </c>
      <c r="S779" s="1792">
        <f>'Notes- SK Template'!S789</f>
        <v>0</v>
      </c>
      <c r="T779" s="1792">
        <f>'Notes- SK Template'!T789</f>
        <v>0</v>
      </c>
      <c r="U779" s="1792">
        <f>'Notes- SK Template'!U789</f>
        <v>0</v>
      </c>
      <c r="V779" s="1792">
        <f>'Notes- SK Template'!V789</f>
        <v>0</v>
      </c>
      <c r="W779" s="1792">
        <f>'Notes- SK Template'!W789</f>
        <v>0</v>
      </c>
      <c r="X779" s="1792">
        <f>'Notes- SK Template'!X789</f>
        <v>20582</v>
      </c>
      <c r="Y779" s="1792">
        <f>'Notes- SK Template'!Y789</f>
        <v>0</v>
      </c>
      <c r="Z779" s="1792">
        <f>'Notes- SK Template'!Z789</f>
        <v>0</v>
      </c>
      <c r="AA779" s="1792">
        <f>'Notes- SK Template'!AA789</f>
        <v>0</v>
      </c>
      <c r="AB779" s="1792">
        <f>'Notes- SK Template'!AB789</f>
        <v>0</v>
      </c>
      <c r="AC779" s="1792">
        <f>'Notes- SK Template'!AC789</f>
        <v>0</v>
      </c>
      <c r="AD779" s="1792">
        <f>'Notes- SK Template'!AD789</f>
        <v>0</v>
      </c>
      <c r="AE779" s="1792">
        <f>'Notes- SK Template'!AE789</f>
        <v>0</v>
      </c>
      <c r="AF779" s="1792">
        <f>'Notes- SK Template'!AF789</f>
        <v>0</v>
      </c>
      <c r="AG779" s="1792">
        <f>'Notes- SK Template'!AG789</f>
        <v>0</v>
      </c>
    </row>
    <row r="780" spans="1:33" s="20" customFormat="1" ht="29.25" customHeight="1">
      <c r="A780" s="912"/>
      <c r="D780" s="2246" t="s">
        <v>1957</v>
      </c>
      <c r="E780" s="2247"/>
      <c r="F780" s="2247"/>
      <c r="G780" s="2247"/>
      <c r="H780" s="2247"/>
      <c r="I780" s="2247"/>
      <c r="J780" s="2247"/>
      <c r="K780" s="2247"/>
      <c r="L780" s="2247"/>
      <c r="M780" s="2337"/>
      <c r="N780" s="1792">
        <f>'Notes- SK Template'!N790</f>
        <v>55608</v>
      </c>
      <c r="O780" s="1792">
        <f>'Notes- SK Template'!O790</f>
        <v>0</v>
      </c>
      <c r="P780" s="1792">
        <f>'Notes- SK Template'!P790</f>
        <v>0</v>
      </c>
      <c r="Q780" s="1792">
        <f>'Notes- SK Template'!Q790</f>
        <v>0</v>
      </c>
      <c r="R780" s="1792">
        <f>'Notes- SK Template'!R790</f>
        <v>0</v>
      </c>
      <c r="S780" s="1792">
        <f>'Notes- SK Template'!S790</f>
        <v>0</v>
      </c>
      <c r="T780" s="1792">
        <f>'Notes- SK Template'!T790</f>
        <v>0</v>
      </c>
      <c r="U780" s="1792">
        <f>'Notes- SK Template'!U790</f>
        <v>0</v>
      </c>
      <c r="V780" s="1792">
        <f>'Notes- SK Template'!V790</f>
        <v>0</v>
      </c>
      <c r="W780" s="1792">
        <f>'Notes- SK Template'!W790</f>
        <v>0</v>
      </c>
      <c r="X780" s="1792">
        <f>'Notes- SK Template'!X790</f>
        <v>33910</v>
      </c>
      <c r="Y780" s="1792">
        <f>'Notes- SK Template'!Y790</f>
        <v>0</v>
      </c>
      <c r="Z780" s="1792">
        <f>'Notes- SK Template'!Z790</f>
        <v>0</v>
      </c>
      <c r="AA780" s="1792">
        <f>'Notes- SK Template'!AA790</f>
        <v>0</v>
      </c>
      <c r="AB780" s="1792">
        <f>'Notes- SK Template'!AB790</f>
        <v>0</v>
      </c>
      <c r="AC780" s="1792">
        <f>'Notes- SK Template'!AC790</f>
        <v>0</v>
      </c>
      <c r="AD780" s="1792">
        <f>'Notes- SK Template'!AD790</f>
        <v>0</v>
      </c>
      <c r="AE780" s="1792">
        <f>'Notes- SK Template'!AE790</f>
        <v>0</v>
      </c>
      <c r="AF780" s="1792">
        <f>'Notes- SK Template'!AF790</f>
        <v>0</v>
      </c>
      <c r="AG780" s="1792">
        <f>'Notes- SK Template'!AG790</f>
        <v>0</v>
      </c>
    </row>
    <row r="781" spans="1:33" s="20" customFormat="1" ht="29.25" customHeight="1">
      <c r="A781" s="912"/>
      <c r="D781" s="1864" t="s">
        <v>1958</v>
      </c>
      <c r="E781" s="1865"/>
      <c r="F781" s="1865"/>
      <c r="G781" s="1865"/>
      <c r="H781" s="1865"/>
      <c r="I781" s="1865"/>
      <c r="J781" s="1865"/>
      <c r="K781" s="1865"/>
      <c r="L781" s="1865"/>
      <c r="M781" s="1866"/>
      <c r="N781" s="1792">
        <f>'Notes- SK Template'!N791</f>
        <v>47236</v>
      </c>
      <c r="O781" s="1792">
        <f>'Notes- SK Template'!O791</f>
        <v>0</v>
      </c>
      <c r="P781" s="1792">
        <f>'Notes- SK Template'!P791</f>
        <v>0</v>
      </c>
      <c r="Q781" s="1792">
        <f>'Notes- SK Template'!Q791</f>
        <v>0</v>
      </c>
      <c r="R781" s="1792">
        <f>'Notes- SK Template'!R791</f>
        <v>0</v>
      </c>
      <c r="S781" s="1792">
        <f>'Notes- SK Template'!S791</f>
        <v>0</v>
      </c>
      <c r="T781" s="1792">
        <f>'Notes- SK Template'!T791</f>
        <v>0</v>
      </c>
      <c r="U781" s="1792">
        <f>'Notes- SK Template'!U791</f>
        <v>0</v>
      </c>
      <c r="V781" s="1792">
        <f>'Notes- SK Template'!V791</f>
        <v>0</v>
      </c>
      <c r="W781" s="1792">
        <f>'Notes- SK Template'!W791</f>
        <v>0</v>
      </c>
      <c r="X781" s="1792">
        <f>'Notes- SK Template'!X791</f>
        <v>28482</v>
      </c>
      <c r="Y781" s="1792">
        <f>'Notes- SK Template'!Y791</f>
        <v>0</v>
      </c>
      <c r="Z781" s="1792">
        <f>'Notes- SK Template'!Z791</f>
        <v>0</v>
      </c>
      <c r="AA781" s="1792">
        <f>'Notes- SK Template'!AA791</f>
        <v>0</v>
      </c>
      <c r="AB781" s="1792">
        <f>'Notes- SK Template'!AB791</f>
        <v>0</v>
      </c>
      <c r="AC781" s="1792">
        <f>'Notes- SK Template'!AC791</f>
        <v>0</v>
      </c>
      <c r="AD781" s="1792">
        <f>'Notes- SK Template'!AD791</f>
        <v>0</v>
      </c>
      <c r="AE781" s="1792">
        <f>'Notes- SK Template'!AE791</f>
        <v>0</v>
      </c>
      <c r="AF781" s="1792">
        <f>'Notes- SK Template'!AF791</f>
        <v>0</v>
      </c>
      <c r="AG781" s="1792">
        <f>'Notes- SK Template'!AG791</f>
        <v>0</v>
      </c>
    </row>
    <row r="782" spans="1:33" s="20" customFormat="1" ht="29.25" customHeight="1">
      <c r="A782" s="912"/>
      <c r="D782" s="2560" t="s">
        <v>1959</v>
      </c>
      <c r="E782" s="1826"/>
      <c r="F782" s="1826"/>
      <c r="G782" s="1826"/>
      <c r="H782" s="1826"/>
      <c r="I782" s="1826"/>
      <c r="J782" s="1826"/>
      <c r="K782" s="1826"/>
      <c r="L782" s="1826"/>
      <c r="M782" s="1827"/>
      <c r="N782" s="1792">
        <f>'Notes- SK Template'!N792</f>
        <v>47236</v>
      </c>
      <c r="O782" s="1792">
        <f>'Notes- SK Template'!O792</f>
        <v>0</v>
      </c>
      <c r="P782" s="1792">
        <f>'Notes- SK Template'!P792</f>
        <v>0</v>
      </c>
      <c r="Q782" s="1792">
        <f>'Notes- SK Template'!Q792</f>
        <v>0</v>
      </c>
      <c r="R782" s="1792">
        <f>'Notes- SK Template'!R792</f>
        <v>0</v>
      </c>
      <c r="S782" s="1792">
        <f>'Notes- SK Template'!S792</f>
        <v>0</v>
      </c>
      <c r="T782" s="1792">
        <f>'Notes- SK Template'!T792</f>
        <v>0</v>
      </c>
      <c r="U782" s="1792">
        <f>'Notes- SK Template'!U792</f>
        <v>0</v>
      </c>
      <c r="V782" s="1792">
        <f>'Notes- SK Template'!V792</f>
        <v>0</v>
      </c>
      <c r="W782" s="1792">
        <f>'Notes- SK Template'!W792</f>
        <v>0</v>
      </c>
      <c r="X782" s="1792">
        <f>'Notes- SK Template'!X792</f>
        <v>28482</v>
      </c>
      <c r="Y782" s="1792">
        <f>'Notes- SK Template'!Y792</f>
        <v>0</v>
      </c>
      <c r="Z782" s="1792">
        <f>'Notes- SK Template'!Z792</f>
        <v>0</v>
      </c>
      <c r="AA782" s="1792">
        <f>'Notes- SK Template'!AA792</f>
        <v>0</v>
      </c>
      <c r="AB782" s="1792">
        <f>'Notes- SK Template'!AB792</f>
        <v>0</v>
      </c>
      <c r="AC782" s="1792">
        <f>'Notes- SK Template'!AC792</f>
        <v>0</v>
      </c>
      <c r="AD782" s="1792">
        <f>'Notes- SK Template'!AD792</f>
        <v>0</v>
      </c>
      <c r="AE782" s="1792">
        <f>'Notes- SK Template'!AE792</f>
        <v>0</v>
      </c>
      <c r="AF782" s="1792">
        <f>'Notes- SK Template'!AF792</f>
        <v>0</v>
      </c>
      <c r="AG782" s="1792">
        <f>'Notes- SK Template'!AG792</f>
        <v>0</v>
      </c>
    </row>
    <row r="783" spans="1:33" s="20" customFormat="1" ht="29.25" customHeight="1">
      <c r="A783" s="912"/>
      <c r="D783" s="1864" t="s">
        <v>1960</v>
      </c>
      <c r="E783" s="1865"/>
      <c r="F783" s="1865"/>
      <c r="G783" s="1865"/>
      <c r="H783" s="1865"/>
      <c r="I783" s="1865"/>
      <c r="J783" s="1865"/>
      <c r="K783" s="1865"/>
      <c r="L783" s="1865"/>
      <c r="M783" s="1866"/>
      <c r="N783" s="1792">
        <f>'Notes- SK Template'!N793</f>
        <v>8372</v>
      </c>
      <c r="O783" s="1792">
        <f>'Notes- SK Template'!O793</f>
        <v>0</v>
      </c>
      <c r="P783" s="1792">
        <f>'Notes- SK Template'!P793</f>
        <v>0</v>
      </c>
      <c r="Q783" s="1792">
        <f>'Notes- SK Template'!Q793</f>
        <v>0</v>
      </c>
      <c r="R783" s="1792">
        <f>'Notes- SK Template'!R793</f>
        <v>0</v>
      </c>
      <c r="S783" s="1792">
        <f>'Notes- SK Template'!S793</f>
        <v>0</v>
      </c>
      <c r="T783" s="1792">
        <f>'Notes- SK Template'!T793</f>
        <v>0</v>
      </c>
      <c r="U783" s="1792">
        <f>'Notes- SK Template'!U793</f>
        <v>0</v>
      </c>
      <c r="V783" s="1792">
        <f>'Notes- SK Template'!V793</f>
        <v>0</v>
      </c>
      <c r="W783" s="1792">
        <f>'Notes- SK Template'!W793</f>
        <v>0</v>
      </c>
      <c r="X783" s="1792">
        <f>'Notes- SK Template'!X793</f>
        <v>5428</v>
      </c>
      <c r="Y783" s="1792">
        <f>'Notes- SK Template'!Y793</f>
        <v>0</v>
      </c>
      <c r="Z783" s="1792">
        <f>'Notes- SK Template'!Z793</f>
        <v>0</v>
      </c>
      <c r="AA783" s="1792">
        <f>'Notes- SK Template'!AA793</f>
        <v>0</v>
      </c>
      <c r="AB783" s="1792">
        <f>'Notes- SK Template'!AB793</f>
        <v>0</v>
      </c>
      <c r="AC783" s="1792">
        <f>'Notes- SK Template'!AC793</f>
        <v>0</v>
      </c>
      <c r="AD783" s="1792">
        <f>'Notes- SK Template'!AD793</f>
        <v>0</v>
      </c>
      <c r="AE783" s="1792">
        <f>'Notes- SK Template'!AE793</f>
        <v>0</v>
      </c>
      <c r="AF783" s="1792">
        <f>'Notes- SK Template'!AF793</f>
        <v>0</v>
      </c>
      <c r="AG783" s="1792">
        <f>'Notes- SK Template'!AG793</f>
        <v>0</v>
      </c>
    </row>
    <row r="784" spans="1:33" s="20" customFormat="1" ht="29.25" customHeight="1">
      <c r="A784" s="912"/>
      <c r="D784" s="1908" t="s">
        <v>2832</v>
      </c>
      <c r="E784" s="1826" t="e">
        <f>'Notes- SK Template'!#REF!</f>
        <v>#REF!</v>
      </c>
      <c r="F784" s="1826" t="e">
        <f>'Notes- SK Template'!#REF!</f>
        <v>#REF!</v>
      </c>
      <c r="G784" s="1826" t="e">
        <f>'Notes- SK Template'!#REF!</f>
        <v>#REF!</v>
      </c>
      <c r="H784" s="1826" t="e">
        <f>'Notes- SK Template'!#REF!</f>
        <v>#REF!</v>
      </c>
      <c r="I784" s="1826" t="e">
        <f>'Notes- SK Template'!#REF!</f>
        <v>#REF!</v>
      </c>
      <c r="J784" s="1826" t="e">
        <f>'Notes- SK Template'!#REF!</f>
        <v>#REF!</v>
      </c>
      <c r="K784" s="1826" t="e">
        <f>'Notes- SK Template'!#REF!</f>
        <v>#REF!</v>
      </c>
      <c r="L784" s="1826" t="e">
        <f>'Notes- SK Template'!#REF!</f>
        <v>#REF!</v>
      </c>
      <c r="M784" s="1827" t="e">
        <f>'Notes- SK Template'!#REF!</f>
        <v>#REF!</v>
      </c>
      <c r="N784" s="1792">
        <f>'Notes- SK Template'!N794</f>
        <v>8372</v>
      </c>
      <c r="O784" s="1792">
        <f>'Notes- SK Template'!O794</f>
        <v>0</v>
      </c>
      <c r="P784" s="1792">
        <f>'Notes- SK Template'!P794</f>
        <v>0</v>
      </c>
      <c r="Q784" s="1792">
        <f>'Notes- SK Template'!Q794</f>
        <v>0</v>
      </c>
      <c r="R784" s="1792">
        <f>'Notes- SK Template'!R794</f>
        <v>0</v>
      </c>
      <c r="S784" s="1792">
        <f>'Notes- SK Template'!S794</f>
        <v>0</v>
      </c>
      <c r="T784" s="1792">
        <f>'Notes- SK Template'!T794</f>
        <v>0</v>
      </c>
      <c r="U784" s="1792">
        <f>'Notes- SK Template'!U794</f>
        <v>0</v>
      </c>
      <c r="V784" s="1792">
        <f>'Notes- SK Template'!V794</f>
        <v>0</v>
      </c>
      <c r="W784" s="1792">
        <f>'Notes- SK Template'!W794</f>
        <v>0</v>
      </c>
      <c r="X784" s="1792">
        <f>'Notes- SK Template'!X794</f>
        <v>5428</v>
      </c>
      <c r="Y784" s="1792">
        <f>'Notes- SK Template'!Y794</f>
        <v>0</v>
      </c>
      <c r="Z784" s="1792">
        <f>'Notes- SK Template'!Z794</f>
        <v>0</v>
      </c>
      <c r="AA784" s="1792">
        <f>'Notes- SK Template'!AA794</f>
        <v>0</v>
      </c>
      <c r="AB784" s="1792">
        <f>'Notes- SK Template'!AB794</f>
        <v>0</v>
      </c>
      <c r="AC784" s="1792">
        <f>'Notes- SK Template'!AC794</f>
        <v>0</v>
      </c>
      <c r="AD784" s="1792">
        <f>'Notes- SK Template'!AD794</f>
        <v>0</v>
      </c>
      <c r="AE784" s="1792">
        <f>'Notes- SK Template'!AE794</f>
        <v>0</v>
      </c>
      <c r="AF784" s="1792">
        <f>'Notes- SK Template'!AF794</f>
        <v>0</v>
      </c>
      <c r="AG784" s="1792">
        <f>'Notes- SK Template'!AG794</f>
        <v>0</v>
      </c>
    </row>
    <row r="785" spans="1:33" ht="14.25" hidden="1" customHeight="1">
      <c r="A785" s="597">
        <v>39</v>
      </c>
      <c r="D785" s="2275" t="s">
        <v>1739</v>
      </c>
      <c r="E785" s="2276"/>
      <c r="F785" s="2276"/>
      <c r="G785" s="2276"/>
      <c r="H785" s="2276"/>
      <c r="I785" s="2276"/>
      <c r="J785" s="2276"/>
      <c r="K785" s="2276"/>
      <c r="L785" s="2276"/>
      <c r="M785" s="2277"/>
      <c r="N785" s="1877" t="s">
        <v>1740</v>
      </c>
      <c r="O785" s="1878"/>
      <c r="P785" s="1878"/>
      <c r="Q785" s="1878"/>
      <c r="R785" s="1878"/>
      <c r="S785" s="1878"/>
      <c r="T785" s="1878"/>
      <c r="U785" s="1878"/>
      <c r="V785" s="1878"/>
      <c r="W785" s="1878"/>
      <c r="X785" s="1877" t="s">
        <v>1858</v>
      </c>
      <c r="Y785" s="1878"/>
      <c r="Z785" s="1878"/>
      <c r="AA785" s="1878"/>
      <c r="AB785" s="1878"/>
      <c r="AC785" s="1878"/>
      <c r="AD785" s="1878"/>
      <c r="AE785" s="1878"/>
      <c r="AF785" s="1878"/>
      <c r="AG785" s="1881"/>
    </row>
    <row r="786" spans="1:33" ht="14.25" hidden="1" customHeight="1" thickBot="1">
      <c r="D786" s="2278"/>
      <c r="E786" s="2279"/>
      <c r="F786" s="2279"/>
      <c r="G786" s="2279"/>
      <c r="H786" s="2279"/>
      <c r="I786" s="2279"/>
      <c r="J786" s="2279"/>
      <c r="K786" s="2279"/>
      <c r="L786" s="2279"/>
      <c r="M786" s="2280"/>
      <c r="N786" s="1879"/>
      <c r="O786" s="1880"/>
      <c r="P786" s="1880"/>
      <c r="Q786" s="1880"/>
      <c r="R786" s="1880"/>
      <c r="S786" s="1880"/>
      <c r="T786" s="1880"/>
      <c r="U786" s="1880"/>
      <c r="V786" s="1880"/>
      <c r="W786" s="1880"/>
      <c r="X786" s="1879"/>
      <c r="Y786" s="1880"/>
      <c r="Z786" s="1880"/>
      <c r="AA786" s="1880"/>
      <c r="AB786" s="1880"/>
      <c r="AC786" s="1880"/>
      <c r="AD786" s="1880"/>
      <c r="AE786" s="1880"/>
      <c r="AF786" s="1880"/>
      <c r="AG786" s="1882"/>
    </row>
    <row r="787" spans="1:33" s="20" customFormat="1" ht="29.25" hidden="1" customHeight="1">
      <c r="A787" s="912"/>
      <c r="D787" s="1959" t="s">
        <v>1955</v>
      </c>
      <c r="E787" s="1960"/>
      <c r="F787" s="1960"/>
      <c r="G787" s="1960"/>
      <c r="H787" s="1960"/>
      <c r="I787" s="1960"/>
      <c r="J787" s="1960"/>
      <c r="K787" s="1960"/>
      <c r="L787" s="1960"/>
      <c r="M787" s="1961"/>
      <c r="N787" s="1792">
        <f>'Notes- SK Template'!N808</f>
        <v>0</v>
      </c>
      <c r="O787" s="1792">
        <f>'Notes- SK Template'!O808</f>
        <v>0</v>
      </c>
      <c r="P787" s="1792">
        <f>'Notes- SK Template'!P808</f>
        <v>0</v>
      </c>
      <c r="Q787" s="1792">
        <f>'Notes- SK Template'!Q808</f>
        <v>0</v>
      </c>
      <c r="R787" s="1792">
        <f>'Notes- SK Template'!R808</f>
        <v>0</v>
      </c>
      <c r="S787" s="1792">
        <f>'Notes- SK Template'!S808</f>
        <v>0</v>
      </c>
      <c r="T787" s="1792">
        <f>'Notes- SK Template'!T808</f>
        <v>0</v>
      </c>
      <c r="U787" s="1792">
        <f>'Notes- SK Template'!U808</f>
        <v>0</v>
      </c>
      <c r="V787" s="1792">
        <f>'Notes- SK Template'!V808</f>
        <v>0</v>
      </c>
      <c r="W787" s="1792">
        <f>'Notes- SK Template'!W808</f>
        <v>0</v>
      </c>
      <c r="X787" s="1792">
        <f>'Notes- SK Template'!X808</f>
        <v>0</v>
      </c>
      <c r="Y787" s="1792">
        <f>'Notes- SK Template'!Y808</f>
        <v>0</v>
      </c>
      <c r="Z787" s="1792">
        <f>'Notes- SK Template'!Z808</f>
        <v>0</v>
      </c>
      <c r="AA787" s="1792">
        <f>'Notes- SK Template'!AA808</f>
        <v>0</v>
      </c>
      <c r="AB787" s="1792">
        <f>'Notes- SK Template'!AB808</f>
        <v>0</v>
      </c>
      <c r="AC787" s="1792">
        <f>'Notes- SK Template'!AC808</f>
        <v>0</v>
      </c>
      <c r="AD787" s="1792">
        <f>'Notes- SK Template'!AD808</f>
        <v>0</v>
      </c>
      <c r="AE787" s="1792">
        <f>'Notes- SK Template'!AE808</f>
        <v>0</v>
      </c>
      <c r="AF787" s="1792">
        <f>'Notes- SK Template'!AF808</f>
        <v>0</v>
      </c>
      <c r="AG787" s="1792">
        <f>'Notes- SK Template'!AG808</f>
        <v>0</v>
      </c>
    </row>
    <row r="788" spans="1:33" s="20" customFormat="1" ht="29.25" hidden="1" customHeight="1">
      <c r="A788" s="912"/>
      <c r="D788" s="2560" t="s">
        <v>1961</v>
      </c>
      <c r="E788" s="1826"/>
      <c r="F788" s="1826"/>
      <c r="G788" s="1826"/>
      <c r="H788" s="1826"/>
      <c r="I788" s="1826"/>
      <c r="J788" s="1826"/>
      <c r="K788" s="1826"/>
      <c r="L788" s="1826"/>
      <c r="M788" s="1827"/>
      <c r="N788" s="1891">
        <f>'Notes- SK Template'!N809</f>
        <v>0</v>
      </c>
      <c r="O788" s="1891">
        <f>'Notes- SK Template'!O809</f>
        <v>0</v>
      </c>
      <c r="P788" s="1891">
        <f>'Notes- SK Template'!P809</f>
        <v>0</v>
      </c>
      <c r="Q788" s="1891">
        <f>'Notes- SK Template'!Q809</f>
        <v>0</v>
      </c>
      <c r="R788" s="1891">
        <f>'Notes- SK Template'!R809</f>
        <v>0</v>
      </c>
      <c r="S788" s="1891">
        <f>'Notes- SK Template'!S809</f>
        <v>0</v>
      </c>
      <c r="T788" s="1891">
        <f>'Notes- SK Template'!T809</f>
        <v>0</v>
      </c>
      <c r="U788" s="1891">
        <f>'Notes- SK Template'!U809</f>
        <v>0</v>
      </c>
      <c r="V788" s="1891">
        <f>'Notes- SK Template'!V809</f>
        <v>0</v>
      </c>
      <c r="W788" s="1891">
        <f>'Notes- SK Template'!W809</f>
        <v>0</v>
      </c>
      <c r="X788" s="1891">
        <f>'Notes- SK Template'!X809</f>
        <v>0</v>
      </c>
      <c r="Y788" s="1891">
        <f>'Notes- SK Template'!Y809</f>
        <v>0</v>
      </c>
      <c r="Z788" s="1891">
        <f>'Notes- SK Template'!Z809</f>
        <v>0</v>
      </c>
      <c r="AA788" s="1891">
        <f>'Notes- SK Template'!AA809</f>
        <v>0</v>
      </c>
      <c r="AB788" s="1891">
        <f>'Notes- SK Template'!AB809</f>
        <v>0</v>
      </c>
      <c r="AC788" s="1891">
        <f>'Notes- SK Template'!AC809</f>
        <v>0</v>
      </c>
      <c r="AD788" s="1891">
        <f>'Notes- SK Template'!AD809</f>
        <v>0</v>
      </c>
      <c r="AE788" s="1891">
        <f>'Notes- SK Template'!AE809</f>
        <v>0</v>
      </c>
      <c r="AF788" s="1891">
        <f>'Notes- SK Template'!AF809</f>
        <v>0</v>
      </c>
      <c r="AG788" s="1891">
        <f>'Notes- SK Template'!AG809</f>
        <v>0</v>
      </c>
    </row>
    <row r="789" spans="1:33" s="20" customFormat="1" ht="29.25" hidden="1" customHeight="1">
      <c r="A789" s="912"/>
      <c r="D789" s="2560" t="s">
        <v>1962</v>
      </c>
      <c r="E789" s="1826"/>
      <c r="F789" s="1826"/>
      <c r="G789" s="1826"/>
      <c r="H789" s="1826"/>
      <c r="I789" s="1826"/>
      <c r="J789" s="1826"/>
      <c r="K789" s="1826"/>
      <c r="L789" s="1826"/>
      <c r="M789" s="1827"/>
      <c r="N789" s="1792">
        <f>'Notes- SK Template'!N810</f>
        <v>0</v>
      </c>
      <c r="O789" s="1792">
        <f>'Notes- SK Template'!O810</f>
        <v>0</v>
      </c>
      <c r="P789" s="1792">
        <f>'Notes- SK Template'!P810</f>
        <v>0</v>
      </c>
      <c r="Q789" s="1792">
        <f>'Notes- SK Template'!Q810</f>
        <v>0</v>
      </c>
      <c r="R789" s="1792">
        <f>'Notes- SK Template'!R810</f>
        <v>0</v>
      </c>
      <c r="S789" s="1792">
        <f>'Notes- SK Template'!S810</f>
        <v>0</v>
      </c>
      <c r="T789" s="1792">
        <f>'Notes- SK Template'!T810</f>
        <v>0</v>
      </c>
      <c r="U789" s="1792">
        <f>'Notes- SK Template'!U810</f>
        <v>0</v>
      </c>
      <c r="V789" s="1792">
        <f>'Notes- SK Template'!V810</f>
        <v>0</v>
      </c>
      <c r="W789" s="1792">
        <f>'Notes- SK Template'!W810</f>
        <v>0</v>
      </c>
      <c r="X789" s="1792">
        <f>'Notes- SK Template'!X810</f>
        <v>0</v>
      </c>
      <c r="Y789" s="1792">
        <f>'Notes- SK Template'!Y810</f>
        <v>0</v>
      </c>
      <c r="Z789" s="1792">
        <f>'Notes- SK Template'!Z810</f>
        <v>0</v>
      </c>
      <c r="AA789" s="1792">
        <f>'Notes- SK Template'!AA810</f>
        <v>0</v>
      </c>
      <c r="AB789" s="1792">
        <f>'Notes- SK Template'!AB810</f>
        <v>0</v>
      </c>
      <c r="AC789" s="1792">
        <f>'Notes- SK Template'!AC810</f>
        <v>0</v>
      </c>
      <c r="AD789" s="1792">
        <f>'Notes- SK Template'!AD810</f>
        <v>0</v>
      </c>
      <c r="AE789" s="1792">
        <f>'Notes- SK Template'!AE810</f>
        <v>0</v>
      </c>
      <c r="AF789" s="1792">
        <f>'Notes- SK Template'!AF810</f>
        <v>0</v>
      </c>
      <c r="AG789" s="1792">
        <f>'Notes- SK Template'!AG810</f>
        <v>0</v>
      </c>
    </row>
    <row r="790" spans="1:33" s="20" customFormat="1" ht="29.25" hidden="1" customHeight="1">
      <c r="A790" s="912"/>
      <c r="D790" s="2560" t="s">
        <v>1963</v>
      </c>
      <c r="E790" s="1826"/>
      <c r="F790" s="1826"/>
      <c r="G790" s="1826"/>
      <c r="H790" s="1826"/>
      <c r="I790" s="1826"/>
      <c r="J790" s="1826"/>
      <c r="K790" s="1826"/>
      <c r="L790" s="1826"/>
      <c r="M790" s="1827"/>
      <c r="N790" s="1792">
        <f>'Notes- SK Template'!N811</f>
        <v>0</v>
      </c>
      <c r="O790" s="1792">
        <f>'Notes- SK Template'!O811</f>
        <v>0</v>
      </c>
      <c r="P790" s="1792">
        <f>'Notes- SK Template'!P811</f>
        <v>0</v>
      </c>
      <c r="Q790" s="1792">
        <f>'Notes- SK Template'!Q811</f>
        <v>0</v>
      </c>
      <c r="R790" s="1792">
        <f>'Notes- SK Template'!R811</f>
        <v>0</v>
      </c>
      <c r="S790" s="1792">
        <f>'Notes- SK Template'!S811</f>
        <v>0</v>
      </c>
      <c r="T790" s="1792">
        <f>'Notes- SK Template'!T811</f>
        <v>0</v>
      </c>
      <c r="U790" s="1792">
        <f>'Notes- SK Template'!U811</f>
        <v>0</v>
      </c>
      <c r="V790" s="1792">
        <f>'Notes- SK Template'!V811</f>
        <v>0</v>
      </c>
      <c r="W790" s="1792">
        <f>'Notes- SK Template'!W811</f>
        <v>0</v>
      </c>
      <c r="X790" s="1792">
        <f>'Notes- SK Template'!X811</f>
        <v>0</v>
      </c>
      <c r="Y790" s="1792">
        <f>'Notes- SK Template'!Y811</f>
        <v>0</v>
      </c>
      <c r="Z790" s="1792">
        <f>'Notes- SK Template'!Z811</f>
        <v>0</v>
      </c>
      <c r="AA790" s="1792">
        <f>'Notes- SK Template'!AA811</f>
        <v>0</v>
      </c>
      <c r="AB790" s="1792">
        <f>'Notes- SK Template'!AB811</f>
        <v>0</v>
      </c>
      <c r="AC790" s="1792">
        <f>'Notes- SK Template'!AC811</f>
        <v>0</v>
      </c>
      <c r="AD790" s="1792">
        <f>'Notes- SK Template'!AD811</f>
        <v>0</v>
      </c>
      <c r="AE790" s="1792">
        <f>'Notes- SK Template'!AE811</f>
        <v>0</v>
      </c>
      <c r="AF790" s="1792">
        <f>'Notes- SK Template'!AF811</f>
        <v>0</v>
      </c>
      <c r="AG790" s="1792">
        <f>'Notes- SK Template'!AG811</f>
        <v>0</v>
      </c>
    </row>
    <row r="791" spans="1:33" s="20" customFormat="1" ht="29.25" hidden="1" customHeight="1">
      <c r="A791" s="912"/>
      <c r="D791" s="2560" t="s">
        <v>1964</v>
      </c>
      <c r="E791" s="1826"/>
      <c r="F791" s="1826"/>
      <c r="G791" s="1826"/>
      <c r="H791" s="1826"/>
      <c r="I791" s="1826"/>
      <c r="J791" s="1826"/>
      <c r="K791" s="1826"/>
      <c r="L791" s="1826"/>
      <c r="M791" s="1827"/>
      <c r="N791" s="1792">
        <f>'Notes- SK Template'!N812</f>
        <v>0</v>
      </c>
      <c r="O791" s="1792">
        <f>'Notes- SK Template'!O812</f>
        <v>0</v>
      </c>
      <c r="P791" s="1792">
        <f>'Notes- SK Template'!P812</f>
        <v>0</v>
      </c>
      <c r="Q791" s="1792">
        <f>'Notes- SK Template'!Q812</f>
        <v>0</v>
      </c>
      <c r="R791" s="1792">
        <f>'Notes- SK Template'!R812</f>
        <v>0</v>
      </c>
      <c r="S791" s="1792">
        <f>'Notes- SK Template'!S812</f>
        <v>0</v>
      </c>
      <c r="T791" s="1792">
        <f>'Notes- SK Template'!T812</f>
        <v>0</v>
      </c>
      <c r="U791" s="1792">
        <f>'Notes- SK Template'!U812</f>
        <v>0</v>
      </c>
      <c r="V791" s="1792">
        <f>'Notes- SK Template'!V812</f>
        <v>0</v>
      </c>
      <c r="W791" s="1792">
        <f>'Notes- SK Template'!W812</f>
        <v>0</v>
      </c>
      <c r="X791" s="1792">
        <f>'Notes- SK Template'!X812</f>
        <v>0</v>
      </c>
      <c r="Y791" s="1792">
        <f>'Notes- SK Template'!Y812</f>
        <v>0</v>
      </c>
      <c r="Z791" s="1792">
        <f>'Notes- SK Template'!Z812</f>
        <v>0</v>
      </c>
      <c r="AA791" s="1792">
        <f>'Notes- SK Template'!AA812</f>
        <v>0</v>
      </c>
      <c r="AB791" s="1792">
        <f>'Notes- SK Template'!AB812</f>
        <v>0</v>
      </c>
      <c r="AC791" s="1792">
        <f>'Notes- SK Template'!AC812</f>
        <v>0</v>
      </c>
      <c r="AD791" s="1792">
        <f>'Notes- SK Template'!AD812</f>
        <v>0</v>
      </c>
      <c r="AE791" s="1792">
        <f>'Notes- SK Template'!AE812</f>
        <v>0</v>
      </c>
      <c r="AF791" s="1792">
        <f>'Notes- SK Template'!AF812</f>
        <v>0</v>
      </c>
      <c r="AG791" s="1792">
        <f>'Notes- SK Template'!AG812</f>
        <v>0</v>
      </c>
    </row>
    <row r="792" spans="1:33" s="20" customFormat="1" ht="29.25" hidden="1" customHeight="1" thickBot="1">
      <c r="A792" s="912"/>
      <c r="D792" s="2561" t="s">
        <v>1965</v>
      </c>
      <c r="E792" s="2054"/>
      <c r="F792" s="2054"/>
      <c r="G792" s="2054"/>
      <c r="H792" s="2054"/>
      <c r="I792" s="2054"/>
      <c r="J792" s="2054"/>
      <c r="K792" s="2054"/>
      <c r="L792" s="2054"/>
      <c r="M792" s="2055"/>
      <c r="N792" s="2592">
        <f>'Notes- SK Template'!N813</f>
        <v>0</v>
      </c>
      <c r="O792" s="2592">
        <f>'Notes- SK Template'!O813</f>
        <v>0</v>
      </c>
      <c r="P792" s="2592">
        <f>'Notes- SK Template'!P813</f>
        <v>0</v>
      </c>
      <c r="Q792" s="2592">
        <f>'Notes- SK Template'!Q813</f>
        <v>0</v>
      </c>
      <c r="R792" s="2592">
        <f>'Notes- SK Template'!R813</f>
        <v>0</v>
      </c>
      <c r="S792" s="2592">
        <f>'Notes- SK Template'!S813</f>
        <v>0</v>
      </c>
      <c r="T792" s="2592">
        <f>'Notes- SK Template'!T813</f>
        <v>0</v>
      </c>
      <c r="U792" s="2592">
        <f>'Notes- SK Template'!U813</f>
        <v>0</v>
      </c>
      <c r="V792" s="2592">
        <f>'Notes- SK Template'!V813</f>
        <v>0</v>
      </c>
      <c r="W792" s="2592">
        <f>'Notes- SK Template'!W813</f>
        <v>0</v>
      </c>
      <c r="X792" s="2592">
        <f>'Notes- SK Template'!X813</f>
        <v>0</v>
      </c>
      <c r="Y792" s="2592">
        <f>'Notes- SK Template'!Y813</f>
        <v>0</v>
      </c>
      <c r="Z792" s="2592">
        <f>'Notes- SK Template'!Z813</f>
        <v>0</v>
      </c>
      <c r="AA792" s="2592">
        <f>'Notes- SK Template'!AA813</f>
        <v>0</v>
      </c>
      <c r="AB792" s="2592">
        <f>'Notes- SK Template'!AB813</f>
        <v>0</v>
      </c>
      <c r="AC792" s="2592">
        <f>'Notes- SK Template'!AC813</f>
        <v>0</v>
      </c>
      <c r="AD792" s="2592">
        <f>'Notes- SK Template'!AD813</f>
        <v>0</v>
      </c>
      <c r="AE792" s="2592">
        <f>'Notes- SK Template'!AE813</f>
        <v>0</v>
      </c>
      <c r="AF792" s="2592">
        <f>'Notes- SK Template'!AF813</f>
        <v>0</v>
      </c>
      <c r="AG792" s="2592">
        <f>'Notes- SK Template'!AG813</f>
        <v>0</v>
      </c>
    </row>
    <row r="793" spans="1:33" ht="14.25" hidden="1" customHeight="1">
      <c r="D793" s="671"/>
      <c r="E793" s="671"/>
      <c r="F793" s="671"/>
      <c r="G793" s="671"/>
      <c r="H793" s="671"/>
      <c r="I793" s="671"/>
      <c r="J793" s="671"/>
      <c r="K793" s="671"/>
      <c r="L793" s="671"/>
      <c r="M793" s="671"/>
      <c r="N793" s="672"/>
      <c r="O793" s="672"/>
      <c r="P793" s="672"/>
      <c r="Q793" s="672"/>
      <c r="R793" s="672"/>
      <c r="S793" s="672"/>
      <c r="T793" s="672"/>
      <c r="U793" s="672"/>
      <c r="V793" s="672"/>
      <c r="W793" s="672"/>
      <c r="X793" s="672"/>
      <c r="Y793" s="672"/>
      <c r="Z793" s="672"/>
      <c r="AA793" s="672"/>
      <c r="AB793" s="672"/>
      <c r="AC793" s="672"/>
      <c r="AD793" s="672"/>
      <c r="AE793" s="672"/>
      <c r="AF793" s="672"/>
      <c r="AG793" s="672"/>
    </row>
    <row r="794" spans="1:33" ht="14.25" customHeight="1">
      <c r="D794" s="671"/>
      <c r="E794" s="671"/>
      <c r="F794" s="671"/>
      <c r="G794" s="671"/>
      <c r="H794" s="671"/>
      <c r="I794" s="671"/>
      <c r="J794" s="671"/>
      <c r="K794" s="671"/>
      <c r="L794" s="671"/>
      <c r="M794" s="671"/>
      <c r="N794" s="672"/>
      <c r="O794" s="672"/>
      <c r="P794" s="672"/>
      <c r="Q794" s="672"/>
      <c r="R794" s="672"/>
      <c r="S794" s="672"/>
      <c r="T794" s="672"/>
      <c r="U794" s="672"/>
      <c r="V794" s="672"/>
      <c r="W794" s="672"/>
      <c r="X794" s="672"/>
      <c r="Y794" s="672"/>
      <c r="Z794" s="672"/>
      <c r="AA794" s="672"/>
      <c r="AB794" s="672"/>
      <c r="AC794" s="672"/>
      <c r="AD794" s="672"/>
      <c r="AE794" s="672"/>
      <c r="AF794" s="672"/>
      <c r="AG794" s="672"/>
    </row>
    <row r="795" spans="1:33" ht="14.25" customHeight="1">
      <c r="D795" s="2005" t="s">
        <v>2908</v>
      </c>
      <c r="E795" s="2005"/>
      <c r="F795" s="2005"/>
      <c r="G795" s="2005"/>
      <c r="H795" s="2005"/>
      <c r="I795" s="2005"/>
      <c r="J795" s="2005"/>
      <c r="K795" s="2005"/>
      <c r="L795" s="2005"/>
      <c r="M795" s="2005"/>
      <c r="N795" s="2005"/>
      <c r="O795" s="2005"/>
      <c r="P795" s="2005"/>
      <c r="Q795" s="2005"/>
      <c r="R795" s="2005"/>
      <c r="S795" s="2005"/>
      <c r="T795" s="2005"/>
      <c r="U795" s="2005"/>
      <c r="V795" s="2005"/>
      <c r="W795" s="2005"/>
      <c r="X795" s="2005"/>
      <c r="Y795" s="2005"/>
      <c r="Z795" s="2005"/>
      <c r="AA795" s="2005"/>
      <c r="AB795" s="2005"/>
      <c r="AC795" s="2005"/>
      <c r="AD795" s="2005"/>
      <c r="AE795" s="2005"/>
      <c r="AF795" s="2005"/>
      <c r="AG795" s="2005"/>
    </row>
    <row r="796" spans="1:33" ht="6" customHeight="1" thickBot="1">
      <c r="D796" s="671"/>
      <c r="E796" s="671"/>
      <c r="F796" s="671"/>
      <c r="G796" s="671"/>
      <c r="H796" s="671"/>
      <c r="I796" s="671"/>
      <c r="J796" s="671"/>
      <c r="K796" s="671"/>
      <c r="L796" s="671"/>
      <c r="M796" s="671"/>
      <c r="N796" s="672"/>
      <c r="O796" s="672"/>
      <c r="P796" s="672"/>
      <c r="Q796" s="672"/>
      <c r="R796" s="672"/>
      <c r="S796" s="672"/>
      <c r="T796" s="672"/>
      <c r="U796" s="672"/>
      <c r="V796" s="672"/>
      <c r="W796" s="672"/>
      <c r="X796" s="672"/>
      <c r="Y796" s="672"/>
      <c r="Z796" s="672"/>
      <c r="AA796" s="672"/>
      <c r="AB796" s="672"/>
      <c r="AC796" s="672"/>
      <c r="AD796" s="672"/>
      <c r="AE796" s="672"/>
      <c r="AF796" s="672"/>
      <c r="AG796" s="672"/>
    </row>
    <row r="797" spans="1:33" ht="14.25" customHeight="1">
      <c r="D797" s="2275" t="s">
        <v>1739</v>
      </c>
      <c r="E797" s="2276"/>
      <c r="F797" s="2276"/>
      <c r="G797" s="2276"/>
      <c r="H797" s="2276"/>
      <c r="I797" s="2276"/>
      <c r="J797" s="2276"/>
      <c r="K797" s="2276"/>
      <c r="L797" s="2276"/>
      <c r="M797" s="2277"/>
      <c r="N797" s="1877" t="s">
        <v>1740</v>
      </c>
      <c r="O797" s="1878"/>
      <c r="P797" s="1878"/>
      <c r="Q797" s="1878"/>
      <c r="R797" s="1878"/>
      <c r="S797" s="1878"/>
      <c r="T797" s="1878"/>
      <c r="U797" s="1878"/>
      <c r="V797" s="1878"/>
      <c r="W797" s="1878"/>
      <c r="X797" s="1877" t="s">
        <v>1858</v>
      </c>
      <c r="Y797" s="1878"/>
      <c r="Z797" s="1878"/>
      <c r="AA797" s="1878"/>
      <c r="AB797" s="1878"/>
      <c r="AC797" s="1878"/>
      <c r="AD797" s="1878"/>
      <c r="AE797" s="1878"/>
      <c r="AF797" s="1878"/>
      <c r="AG797" s="1881"/>
    </row>
    <row r="798" spans="1:33" ht="14.25" customHeight="1" thickBot="1">
      <c r="D798" s="2278"/>
      <c r="E798" s="2279"/>
      <c r="F798" s="2279"/>
      <c r="G798" s="2279"/>
      <c r="H798" s="2279"/>
      <c r="I798" s="2279"/>
      <c r="J798" s="2279"/>
      <c r="K798" s="2279"/>
      <c r="L798" s="2279"/>
      <c r="M798" s="2280"/>
      <c r="N798" s="1879"/>
      <c r="O798" s="1880"/>
      <c r="P798" s="1880"/>
      <c r="Q798" s="1880"/>
      <c r="R798" s="1880"/>
      <c r="S798" s="1880"/>
      <c r="T798" s="1880"/>
      <c r="U798" s="1880"/>
      <c r="V798" s="1880"/>
      <c r="W798" s="1880"/>
      <c r="X798" s="1879"/>
      <c r="Y798" s="1880"/>
      <c r="Z798" s="1880"/>
      <c r="AA798" s="1880"/>
      <c r="AB798" s="1880"/>
      <c r="AC798" s="1880"/>
      <c r="AD798" s="1880"/>
      <c r="AE798" s="1880"/>
      <c r="AF798" s="1880"/>
      <c r="AG798" s="1882"/>
    </row>
    <row r="799" spans="1:33" ht="14.25" customHeight="1">
      <c r="D799" s="1959" t="s">
        <v>2909</v>
      </c>
      <c r="E799" s="1960"/>
      <c r="F799" s="1960"/>
      <c r="G799" s="1960"/>
      <c r="H799" s="1960"/>
      <c r="I799" s="1960"/>
      <c r="J799" s="1960"/>
      <c r="K799" s="1960"/>
      <c r="L799" s="1960"/>
      <c r="M799" s="1961"/>
      <c r="N799" s="2328">
        <f>'Notes- SK Template'!N800</f>
        <v>1238578</v>
      </c>
      <c r="O799" s="2329"/>
      <c r="P799" s="2329"/>
      <c r="Q799" s="2329"/>
      <c r="R799" s="2329"/>
      <c r="S799" s="2329"/>
      <c r="T799" s="2329"/>
      <c r="U799" s="2329"/>
      <c r="V799" s="2329"/>
      <c r="W799" s="2330"/>
      <c r="X799" s="2328">
        <f>'Notes- SK Template'!X800</f>
        <v>1097102</v>
      </c>
      <c r="Y799" s="2329"/>
      <c r="Z799" s="2329"/>
      <c r="AA799" s="2329"/>
      <c r="AB799" s="2329"/>
      <c r="AC799" s="2329"/>
      <c r="AD799" s="2329"/>
      <c r="AE799" s="2329"/>
      <c r="AF799" s="2329"/>
      <c r="AG799" s="2330"/>
    </row>
    <row r="800" spans="1:33" ht="14.25" customHeight="1">
      <c r="D800" s="1908" t="s">
        <v>2910</v>
      </c>
      <c r="E800" s="1909"/>
      <c r="F800" s="1909"/>
      <c r="G800" s="1909"/>
      <c r="H800" s="1909"/>
      <c r="I800" s="1909"/>
      <c r="J800" s="1909"/>
      <c r="K800" s="1909"/>
      <c r="L800" s="1909"/>
      <c r="M800" s="1910"/>
      <c r="N800" s="1833">
        <f>'Notes- SK Template'!N801</f>
        <v>888993</v>
      </c>
      <c r="O800" s="1834"/>
      <c r="P800" s="1834"/>
      <c r="Q800" s="1834"/>
      <c r="R800" s="1834"/>
      <c r="S800" s="1834"/>
      <c r="T800" s="1834"/>
      <c r="U800" s="1834"/>
      <c r="V800" s="1834"/>
      <c r="W800" s="1835"/>
      <c r="X800" s="1833">
        <f>'Notes- SK Template'!X801</f>
        <v>781249</v>
      </c>
      <c r="Y800" s="1834"/>
      <c r="Z800" s="1834"/>
      <c r="AA800" s="1834"/>
      <c r="AB800" s="1834"/>
      <c r="AC800" s="1834"/>
      <c r="AD800" s="1834"/>
      <c r="AE800" s="1834"/>
      <c r="AF800" s="1834"/>
      <c r="AG800" s="1835"/>
    </row>
    <row r="801" spans="1:33" ht="14.25" customHeight="1">
      <c r="D801" s="1908" t="s">
        <v>2911</v>
      </c>
      <c r="E801" s="1909"/>
      <c r="F801" s="1909"/>
      <c r="G801" s="1909"/>
      <c r="H801" s="1909"/>
      <c r="I801" s="1909"/>
      <c r="J801" s="1909"/>
      <c r="K801" s="1909"/>
      <c r="L801" s="1909"/>
      <c r="M801" s="1910"/>
      <c r="N801" s="1833">
        <f>'Notes- SK Template'!N802</f>
        <v>297289</v>
      </c>
      <c r="O801" s="1834"/>
      <c r="P801" s="1834"/>
      <c r="Q801" s="1834"/>
      <c r="R801" s="1834"/>
      <c r="S801" s="1834"/>
      <c r="T801" s="1834"/>
      <c r="U801" s="1834"/>
      <c r="V801" s="1834"/>
      <c r="W801" s="1835"/>
      <c r="X801" s="1833">
        <f>'Notes- SK Template'!X802</f>
        <v>266859</v>
      </c>
      <c r="Y801" s="1834"/>
      <c r="Z801" s="1834"/>
      <c r="AA801" s="1834"/>
      <c r="AB801" s="1834"/>
      <c r="AC801" s="1834"/>
      <c r="AD801" s="1834"/>
      <c r="AE801" s="1834"/>
      <c r="AF801" s="1834"/>
      <c r="AG801" s="1835"/>
    </row>
    <row r="802" spans="1:33" ht="14.25" customHeight="1" thickBot="1">
      <c r="D802" s="2053" t="s">
        <v>2912</v>
      </c>
      <c r="E802" s="2064"/>
      <c r="F802" s="2064"/>
      <c r="G802" s="2064"/>
      <c r="H802" s="2064"/>
      <c r="I802" s="2064"/>
      <c r="J802" s="2064"/>
      <c r="K802" s="2064"/>
      <c r="L802" s="2064"/>
      <c r="M802" s="2065"/>
      <c r="N802" s="2338">
        <f>'Notes- SK Template'!N803</f>
        <v>52296</v>
      </c>
      <c r="O802" s="2339"/>
      <c r="P802" s="2339"/>
      <c r="Q802" s="2339"/>
      <c r="R802" s="2339"/>
      <c r="S802" s="2339"/>
      <c r="T802" s="2339"/>
      <c r="U802" s="2339"/>
      <c r="V802" s="2339"/>
      <c r="W802" s="2340"/>
      <c r="X802" s="2338">
        <f>'Notes- SK Template'!X803</f>
        <v>48994</v>
      </c>
      <c r="Y802" s="2339"/>
      <c r="Z802" s="2339"/>
      <c r="AA802" s="2339"/>
      <c r="AB802" s="2339"/>
      <c r="AC802" s="2339"/>
      <c r="AD802" s="2339"/>
      <c r="AE802" s="2339"/>
      <c r="AF802" s="2339"/>
      <c r="AG802" s="2340"/>
    </row>
    <row r="803" spans="1:33" ht="14.25" customHeight="1">
      <c r="D803" s="1530"/>
      <c r="E803" s="1530"/>
      <c r="F803" s="1530"/>
      <c r="G803" s="1530"/>
      <c r="H803" s="1530"/>
      <c r="I803" s="1530"/>
      <c r="J803" s="1530"/>
      <c r="K803" s="1530"/>
      <c r="L803" s="1530"/>
      <c r="M803" s="1530"/>
      <c r="N803" s="1531"/>
      <c r="O803" s="1531"/>
      <c r="P803" s="1531"/>
      <c r="Q803" s="1531"/>
      <c r="R803" s="1531"/>
      <c r="S803" s="1531"/>
      <c r="T803" s="1531"/>
      <c r="U803" s="1531"/>
      <c r="V803" s="1531"/>
      <c r="W803" s="1531"/>
      <c r="X803" s="1531"/>
      <c r="Y803" s="1531"/>
      <c r="Z803" s="1531"/>
      <c r="AA803" s="1531"/>
      <c r="AB803" s="1531"/>
      <c r="AC803" s="1531"/>
      <c r="AD803" s="1531"/>
      <c r="AE803" s="1531"/>
      <c r="AF803" s="1531"/>
      <c r="AG803" s="1531"/>
    </row>
    <row r="804" spans="1:33" s="1430" customFormat="1" ht="14.25" customHeight="1">
      <c r="A804" s="1516"/>
      <c r="D804" s="1978" t="s">
        <v>2841</v>
      </c>
      <c r="E804" s="1978"/>
      <c r="F804" s="1978"/>
      <c r="G804" s="1978"/>
      <c r="H804" s="1978"/>
      <c r="I804" s="1978"/>
      <c r="J804" s="1978"/>
      <c r="K804" s="1978"/>
      <c r="L804" s="1978"/>
      <c r="M804" s="1978"/>
      <c r="N804" s="1978"/>
      <c r="O804" s="1978"/>
      <c r="P804" s="1978"/>
      <c r="Q804" s="1978"/>
      <c r="R804" s="1978"/>
      <c r="S804" s="1978"/>
      <c r="T804" s="1978"/>
      <c r="U804" s="1978"/>
      <c r="V804" s="1978"/>
      <c r="W804" s="1978"/>
      <c r="X804" s="1978"/>
      <c r="Y804" s="1978"/>
      <c r="Z804" s="1978"/>
      <c r="AA804" s="1978"/>
      <c r="AB804" s="1978"/>
      <c r="AC804" s="1978"/>
      <c r="AD804" s="1978"/>
      <c r="AE804" s="1978"/>
      <c r="AF804" s="1978"/>
      <c r="AG804" s="1978"/>
    </row>
    <row r="805" spans="1:33" s="1430" customFormat="1" ht="6" customHeight="1">
      <c r="A805" s="1516"/>
    </row>
    <row r="806" spans="1:33" s="1430" customFormat="1" ht="14.25" customHeight="1">
      <c r="A806" s="1516"/>
      <c r="D806" s="2005" t="s">
        <v>2842</v>
      </c>
      <c r="E806" s="2005"/>
      <c r="F806" s="2005"/>
      <c r="G806" s="2005"/>
      <c r="H806" s="2005"/>
      <c r="I806" s="2005"/>
      <c r="J806" s="2005"/>
      <c r="K806" s="2005"/>
      <c r="L806" s="2005"/>
      <c r="M806" s="2005"/>
      <c r="N806" s="2005"/>
      <c r="O806" s="2005"/>
      <c r="P806" s="2005"/>
      <c r="Q806" s="2005"/>
      <c r="R806" s="2005"/>
      <c r="S806" s="2005"/>
      <c r="T806" s="2005"/>
      <c r="U806" s="2005"/>
      <c r="V806" s="2005"/>
      <c r="W806" s="2005"/>
      <c r="X806" s="2005"/>
      <c r="Y806" s="2005"/>
      <c r="Z806" s="2005"/>
      <c r="AA806" s="2005"/>
      <c r="AB806" s="2005"/>
      <c r="AC806" s="2005"/>
      <c r="AD806" s="2005"/>
      <c r="AE806" s="2005"/>
      <c r="AF806" s="2005"/>
      <c r="AG806" s="2005"/>
    </row>
    <row r="807" spans="1:33" s="1430" customFormat="1" ht="14.25" customHeight="1" thickBot="1">
      <c r="A807" s="1516"/>
    </row>
    <row r="808" spans="1:33" s="1430" customFormat="1" ht="28.5" customHeight="1" thickBot="1">
      <c r="A808" s="1516">
        <v>40</v>
      </c>
      <c r="D808" s="1851" t="s">
        <v>1739</v>
      </c>
      <c r="E808" s="1851"/>
      <c r="F808" s="1851"/>
      <c r="G808" s="1851"/>
      <c r="H808" s="1851"/>
      <c r="I808" s="1851"/>
      <c r="J808" s="1851"/>
      <c r="K808" s="1851"/>
      <c r="L808" s="1851"/>
      <c r="M808" s="1851"/>
      <c r="N808" s="1851"/>
      <c r="O808" s="1851"/>
      <c r="P808" s="2193" t="s">
        <v>1740</v>
      </c>
      <c r="Q808" s="2193"/>
      <c r="R808" s="2193"/>
      <c r="S808" s="2193"/>
      <c r="T808" s="2193"/>
      <c r="U808" s="2193"/>
      <c r="V808" s="2193"/>
      <c r="W808" s="2193"/>
      <c r="X808" s="2193"/>
      <c r="Y808" s="1851" t="s">
        <v>1858</v>
      </c>
      <c r="Z808" s="1851"/>
      <c r="AA808" s="1851"/>
      <c r="AB808" s="1851"/>
      <c r="AC808" s="1851"/>
      <c r="AD808" s="1851"/>
      <c r="AE808" s="1851"/>
      <c r="AF808" s="1851"/>
      <c r="AG808" s="1851"/>
    </row>
    <row r="809" spans="1:33" s="1430" customFormat="1" ht="46.5" customHeight="1">
      <c r="A809" s="1516"/>
      <c r="D809" s="2322" t="s">
        <v>2843</v>
      </c>
      <c r="E809" s="2322"/>
      <c r="F809" s="2322"/>
      <c r="G809" s="2322"/>
      <c r="H809" s="2322"/>
      <c r="I809" s="2322"/>
      <c r="J809" s="2322"/>
      <c r="K809" s="2322"/>
      <c r="L809" s="2322"/>
      <c r="M809" s="2322"/>
      <c r="N809" s="2322"/>
      <c r="O809" s="2566"/>
      <c r="P809" s="2567">
        <f>'Notes- SK Template'!P819</f>
        <v>0</v>
      </c>
      <c r="Q809" s="2568"/>
      <c r="R809" s="2568"/>
      <c r="S809" s="2568"/>
      <c r="T809" s="2568"/>
      <c r="U809" s="2568"/>
      <c r="V809" s="2568"/>
      <c r="W809" s="2568"/>
      <c r="X809" s="2569"/>
      <c r="Y809" s="2570">
        <f>'Notes- SK Template'!Y819</f>
        <v>0</v>
      </c>
      <c r="Z809" s="2146"/>
      <c r="AA809" s="2146"/>
      <c r="AB809" s="2146"/>
      <c r="AC809" s="2146"/>
      <c r="AD809" s="2146"/>
      <c r="AE809" s="2146"/>
      <c r="AF809" s="2146"/>
      <c r="AG809" s="2146"/>
    </row>
    <row r="810" spans="1:33" s="1430" customFormat="1" ht="45.75" customHeight="1">
      <c r="A810" s="1516"/>
      <c r="D810" s="1867" t="s">
        <v>2844</v>
      </c>
      <c r="E810" s="1867"/>
      <c r="F810" s="1867"/>
      <c r="G810" s="1867"/>
      <c r="H810" s="1867"/>
      <c r="I810" s="1867"/>
      <c r="J810" s="1867"/>
      <c r="K810" s="1867"/>
      <c r="L810" s="1867"/>
      <c r="M810" s="1867"/>
      <c r="N810" s="1867"/>
      <c r="O810" s="1908"/>
      <c r="P810" s="2206">
        <f>'Notes- SK Template'!P820</f>
        <v>0</v>
      </c>
      <c r="Q810" s="1815"/>
      <c r="R810" s="1815"/>
      <c r="S810" s="1815"/>
      <c r="T810" s="1815"/>
      <c r="U810" s="1815"/>
      <c r="V810" s="1815"/>
      <c r="W810" s="1815"/>
      <c r="X810" s="2205"/>
      <c r="Y810" s="1951">
        <f>'Notes- SK Template'!Y820</f>
        <v>0</v>
      </c>
      <c r="Z810" s="1901"/>
      <c r="AA810" s="1901"/>
      <c r="AB810" s="1901"/>
      <c r="AC810" s="1901"/>
      <c r="AD810" s="1901"/>
      <c r="AE810" s="1901"/>
      <c r="AF810" s="1901"/>
      <c r="AG810" s="1901"/>
    </row>
    <row r="811" spans="1:33" s="1430" customFormat="1" ht="79.5" customHeight="1">
      <c r="A811" s="1516"/>
      <c r="D811" s="1867" t="s">
        <v>2845</v>
      </c>
      <c r="E811" s="1867"/>
      <c r="F811" s="1867"/>
      <c r="G811" s="1867"/>
      <c r="H811" s="1867"/>
      <c r="I811" s="1867"/>
      <c r="J811" s="1867"/>
      <c r="K811" s="1867"/>
      <c r="L811" s="1867"/>
      <c r="M811" s="1867"/>
      <c r="N811" s="1867"/>
      <c r="O811" s="1908"/>
      <c r="P811" s="2209">
        <f>'Notes- SK Template'!P821</f>
        <v>0</v>
      </c>
      <c r="Q811" s="2210"/>
      <c r="R811" s="2210"/>
      <c r="S811" s="2210"/>
      <c r="T811" s="2210"/>
      <c r="U811" s="2210"/>
      <c r="V811" s="2210"/>
      <c r="W811" s="2210"/>
      <c r="X811" s="2218"/>
      <c r="Y811" s="1951">
        <f>'Notes- SK Template'!Y821</f>
        <v>0</v>
      </c>
      <c r="Z811" s="1901"/>
      <c r="AA811" s="1901"/>
      <c r="AB811" s="1901"/>
      <c r="AC811" s="1901"/>
      <c r="AD811" s="1901"/>
      <c r="AE811" s="1901"/>
      <c r="AF811" s="1901"/>
      <c r="AG811" s="1901"/>
    </row>
    <row r="812" spans="1:33" s="1430" customFormat="1" ht="59.25" customHeight="1">
      <c r="A812" s="1516"/>
      <c r="D812" s="1867" t="s">
        <v>2846</v>
      </c>
      <c r="E812" s="1867"/>
      <c r="F812" s="1867"/>
      <c r="G812" s="1867"/>
      <c r="H812" s="1867"/>
      <c r="I812" s="1867"/>
      <c r="J812" s="1867"/>
      <c r="K812" s="1867"/>
      <c r="L812" s="1867"/>
      <c r="M812" s="1867"/>
      <c r="N812" s="1867"/>
      <c r="O812" s="1908"/>
      <c r="P812" s="2209">
        <f>'Notes- SK Template'!P822</f>
        <v>0</v>
      </c>
      <c r="Q812" s="2210"/>
      <c r="R812" s="2210"/>
      <c r="S812" s="2210"/>
      <c r="T812" s="2210"/>
      <c r="U812" s="2210"/>
      <c r="V812" s="2210"/>
      <c r="W812" s="2210"/>
      <c r="X812" s="2218"/>
      <c r="Y812" s="1951">
        <f>'Notes- SK Template'!Y822</f>
        <v>0</v>
      </c>
      <c r="Z812" s="1901"/>
      <c r="AA812" s="1901"/>
      <c r="AB812" s="1901"/>
      <c r="AC812" s="1901"/>
      <c r="AD812" s="1901"/>
      <c r="AE812" s="1901"/>
      <c r="AF812" s="1901"/>
      <c r="AG812" s="1901"/>
    </row>
    <row r="813" spans="1:33" s="1430" customFormat="1" ht="63.25" customHeight="1">
      <c r="A813" s="1516"/>
      <c r="D813" s="1867" t="s">
        <v>2847</v>
      </c>
      <c r="E813" s="1867"/>
      <c r="F813" s="1867"/>
      <c r="G813" s="1867"/>
      <c r="H813" s="1867"/>
      <c r="I813" s="1867"/>
      <c r="J813" s="1867"/>
      <c r="K813" s="1867"/>
      <c r="L813" s="1867"/>
      <c r="M813" s="1867"/>
      <c r="N813" s="1867"/>
      <c r="O813" s="1908"/>
      <c r="P813" s="2209">
        <f>'Notes- SK Template'!P823</f>
        <v>0</v>
      </c>
      <c r="Q813" s="2210"/>
      <c r="R813" s="2210"/>
      <c r="S813" s="2210"/>
      <c r="T813" s="2210"/>
      <c r="U813" s="2210"/>
      <c r="V813" s="2210"/>
      <c r="W813" s="2210"/>
      <c r="X813" s="2218"/>
      <c r="Y813" s="1951">
        <f>'Notes- SK Template'!Y823</f>
        <v>0</v>
      </c>
      <c r="Z813" s="1901"/>
      <c r="AA813" s="1901"/>
      <c r="AB813" s="1901"/>
      <c r="AC813" s="1901"/>
      <c r="AD813" s="1901"/>
      <c r="AE813" s="1901"/>
      <c r="AF813" s="1901"/>
      <c r="AG813" s="1901"/>
    </row>
    <row r="814" spans="1:33" s="1430" customFormat="1" ht="50.25" customHeight="1" thickBot="1">
      <c r="A814" s="1516"/>
      <c r="D814" s="2320" t="s">
        <v>2848</v>
      </c>
      <c r="E814" s="2320"/>
      <c r="F814" s="2320"/>
      <c r="G814" s="2320"/>
      <c r="H814" s="2320"/>
      <c r="I814" s="2320"/>
      <c r="J814" s="2320"/>
      <c r="K814" s="2320"/>
      <c r="L814" s="2320"/>
      <c r="M814" s="2320"/>
      <c r="N814" s="2320"/>
      <c r="O814" s="2562"/>
      <c r="P814" s="2563">
        <f>'Notes- SK Template'!P824</f>
        <v>0</v>
      </c>
      <c r="Q814" s="2564"/>
      <c r="R814" s="2564"/>
      <c r="S814" s="2564"/>
      <c r="T814" s="2564"/>
      <c r="U814" s="2564"/>
      <c r="V814" s="2564"/>
      <c r="W814" s="2564"/>
      <c r="X814" s="2565"/>
      <c r="Y814" s="2127">
        <f>'Notes- SK Template'!Y824</f>
        <v>0</v>
      </c>
      <c r="Z814" s="2128"/>
      <c r="AA814" s="2128"/>
      <c r="AB814" s="2128"/>
      <c r="AC814" s="2128"/>
      <c r="AD814" s="2128"/>
      <c r="AE814" s="2128"/>
      <c r="AF814" s="2128"/>
      <c r="AG814" s="2128"/>
    </row>
    <row r="815" spans="1:33" ht="14.25" customHeight="1">
      <c r="D815" s="671"/>
      <c r="E815" s="671"/>
      <c r="F815" s="671"/>
      <c r="G815" s="671"/>
      <c r="H815" s="671"/>
      <c r="I815" s="671"/>
      <c r="J815" s="671"/>
      <c r="K815" s="671"/>
      <c r="L815" s="671"/>
      <c r="M815" s="671"/>
      <c r="N815" s="672"/>
      <c r="O815" s="672"/>
      <c r="P815" s="672"/>
      <c r="Q815" s="672"/>
      <c r="R815" s="672"/>
      <c r="S815" s="672"/>
      <c r="T815" s="672"/>
      <c r="U815" s="672"/>
      <c r="V815" s="672"/>
      <c r="W815" s="672"/>
      <c r="X815" s="672"/>
      <c r="Y815" s="672"/>
      <c r="Z815" s="672"/>
      <c r="AA815" s="672"/>
      <c r="AB815" s="672"/>
      <c r="AC815" s="672"/>
      <c r="AD815" s="672"/>
      <c r="AE815" s="672"/>
      <c r="AF815" s="672"/>
      <c r="AG815" s="672"/>
    </row>
    <row r="816" spans="1:33" ht="14.25" customHeight="1">
      <c r="D816" s="2178" t="s">
        <v>1966</v>
      </c>
      <c r="E816" s="2591"/>
      <c r="F816" s="2591"/>
      <c r="G816" s="2591"/>
      <c r="H816" s="2591"/>
      <c r="I816" s="2591"/>
      <c r="J816" s="2591"/>
      <c r="K816" s="2591"/>
      <c r="L816" s="2591"/>
      <c r="M816" s="2591"/>
      <c r="N816" s="2591"/>
      <c r="O816" s="2591"/>
      <c r="P816" s="2591"/>
      <c r="Q816" s="2591"/>
      <c r="R816" s="2591"/>
      <c r="S816" s="2591"/>
      <c r="T816" s="2591"/>
      <c r="U816" s="2591"/>
      <c r="V816" s="2591"/>
      <c r="W816" s="2591"/>
      <c r="X816" s="2591"/>
      <c r="Y816" s="2591"/>
      <c r="Z816" s="2591"/>
      <c r="AA816" s="2591"/>
      <c r="AB816" s="2591"/>
      <c r="AC816" s="2591"/>
      <c r="AD816" s="2591"/>
      <c r="AE816" s="2591"/>
      <c r="AF816" s="2591"/>
      <c r="AG816" s="2591"/>
    </row>
    <row r="817" spans="1:33" ht="14.25" customHeight="1" thickBot="1"/>
    <row r="818" spans="1:33" ht="14.25" customHeight="1" thickBot="1">
      <c r="A818" s="597">
        <v>41</v>
      </c>
      <c r="D818" s="1921" t="s">
        <v>1739</v>
      </c>
      <c r="E818" s="1921"/>
      <c r="F818" s="1921"/>
      <c r="G818" s="1921"/>
      <c r="H818" s="1921"/>
      <c r="I818" s="1921"/>
      <c r="J818" s="1877" t="s">
        <v>1740</v>
      </c>
      <c r="K818" s="1878"/>
      <c r="L818" s="1878"/>
      <c r="M818" s="1878"/>
      <c r="N818" s="1878"/>
      <c r="O818" s="1878"/>
      <c r="P818" s="1878"/>
      <c r="Q818" s="1878"/>
      <c r="R818" s="1878"/>
      <c r="S818" s="1878"/>
      <c r="T818" s="1878"/>
      <c r="U818" s="1881"/>
      <c r="V818" s="1877" t="s">
        <v>1858</v>
      </c>
      <c r="W818" s="1878"/>
      <c r="X818" s="1878"/>
      <c r="Y818" s="1878"/>
      <c r="Z818" s="1878"/>
      <c r="AA818" s="1878"/>
      <c r="AB818" s="1878"/>
      <c r="AC818" s="1878"/>
      <c r="AD818" s="1878"/>
      <c r="AE818" s="1878"/>
      <c r="AF818" s="1878"/>
      <c r="AG818" s="1881"/>
    </row>
    <row r="819" spans="1:33" ht="14.25" customHeight="1" thickBot="1">
      <c r="D819" s="1921"/>
      <c r="E819" s="1921"/>
      <c r="F819" s="1921"/>
      <c r="G819" s="1921"/>
      <c r="H819" s="1921"/>
      <c r="I819" s="1921"/>
      <c r="J819" s="1879"/>
      <c r="K819" s="1880"/>
      <c r="L819" s="1880"/>
      <c r="M819" s="1880"/>
      <c r="N819" s="1880"/>
      <c r="O819" s="1880"/>
      <c r="P819" s="1880"/>
      <c r="Q819" s="1880"/>
      <c r="R819" s="1880"/>
      <c r="S819" s="1880"/>
      <c r="T819" s="1880"/>
      <c r="U819" s="1882"/>
      <c r="V819" s="1879"/>
      <c r="W819" s="1880"/>
      <c r="X819" s="1880"/>
      <c r="Y819" s="1880"/>
      <c r="Z819" s="1880"/>
      <c r="AA819" s="1880"/>
      <c r="AB819" s="1880"/>
      <c r="AC819" s="1880"/>
      <c r="AD819" s="1880"/>
      <c r="AE819" s="1880"/>
      <c r="AF819" s="1880"/>
      <c r="AG819" s="1882"/>
    </row>
    <row r="820" spans="1:33" ht="14.25" customHeight="1" thickBot="1">
      <c r="D820" s="1921"/>
      <c r="E820" s="1921"/>
      <c r="F820" s="1921"/>
      <c r="G820" s="1921"/>
      <c r="H820" s="1921"/>
      <c r="I820" s="1921"/>
      <c r="J820" s="1851" t="s">
        <v>1967</v>
      </c>
      <c r="K820" s="1851"/>
      <c r="L820" s="1851"/>
      <c r="M820" s="1851"/>
      <c r="N820" s="1851" t="s">
        <v>1968</v>
      </c>
      <c r="O820" s="1851"/>
      <c r="P820" s="1851"/>
      <c r="Q820" s="1851"/>
      <c r="R820" s="1851" t="s">
        <v>1969</v>
      </c>
      <c r="S820" s="1851"/>
      <c r="T820" s="1851"/>
      <c r="U820" s="1851"/>
      <c r="V820" s="1851" t="s">
        <v>1967</v>
      </c>
      <c r="W820" s="1851"/>
      <c r="X820" s="1851"/>
      <c r="Y820" s="1851"/>
      <c r="Z820" s="1851" t="s">
        <v>1968</v>
      </c>
      <c r="AA820" s="1851"/>
      <c r="AB820" s="1851"/>
      <c r="AC820" s="1851"/>
      <c r="AD820" s="1851" t="s">
        <v>1969</v>
      </c>
      <c r="AE820" s="1851"/>
      <c r="AF820" s="1851"/>
      <c r="AG820" s="1851"/>
    </row>
    <row r="821" spans="1:33" ht="34.75" customHeight="1" thickBot="1">
      <c r="D821" s="2588" t="s">
        <v>1970</v>
      </c>
      <c r="E821" s="1810"/>
      <c r="F821" s="1810"/>
      <c r="G821" s="1810"/>
      <c r="H821" s="1810"/>
      <c r="I821" s="1811"/>
      <c r="J821" s="1830">
        <v>497111</v>
      </c>
      <c r="K821" s="1830"/>
      <c r="L821" s="1830"/>
      <c r="M821" s="2584"/>
      <c r="N821" s="1830" t="s">
        <v>18</v>
      </c>
      <c r="O821" s="1830"/>
      <c r="P821" s="1830"/>
      <c r="Q821" s="2584"/>
      <c r="R821" s="1830" t="s">
        <v>18</v>
      </c>
      <c r="S821" s="1830"/>
      <c r="T821" s="1830"/>
      <c r="U821" s="2584"/>
      <c r="V821" s="1830">
        <v>212837</v>
      </c>
      <c r="W821" s="1830"/>
      <c r="X821" s="1830"/>
      <c r="Y821" s="2584"/>
      <c r="Z821" s="1830" t="s">
        <v>18</v>
      </c>
      <c r="AA821" s="1830"/>
      <c r="AB821" s="1830"/>
      <c r="AC821" s="2584"/>
      <c r="AD821" s="1830" t="s">
        <v>18</v>
      </c>
      <c r="AE821" s="1830"/>
      <c r="AF821" s="1830"/>
      <c r="AG821" s="1830"/>
    </row>
    <row r="822" spans="1:33" ht="27.75" customHeight="1" thickBot="1">
      <c r="D822" s="2560" t="s">
        <v>1971</v>
      </c>
      <c r="E822" s="1826"/>
      <c r="F822" s="1826"/>
      <c r="G822" s="1826"/>
      <c r="H822" s="1826"/>
      <c r="I822" s="1827"/>
      <c r="J822" s="1830" t="s">
        <v>18</v>
      </c>
      <c r="K822" s="1830"/>
      <c r="L822" s="1830"/>
      <c r="M822" s="2584"/>
      <c r="N822" s="1830">
        <v>104393.31</v>
      </c>
      <c r="O822" s="1830"/>
      <c r="P822" s="1830"/>
      <c r="Q822" s="2584"/>
      <c r="R822" s="1830">
        <v>21</v>
      </c>
      <c r="S822" s="1830"/>
      <c r="T822" s="1830"/>
      <c r="U822" s="2584"/>
      <c r="V822" s="1830" t="s">
        <v>18</v>
      </c>
      <c r="W822" s="1830"/>
      <c r="X822" s="1830"/>
      <c r="Y822" s="2584"/>
      <c r="Z822" s="1830">
        <v>44695.77</v>
      </c>
      <c r="AA822" s="1830"/>
      <c r="AB822" s="1830"/>
      <c r="AC822" s="2584"/>
      <c r="AD822" s="1830">
        <v>21</v>
      </c>
      <c r="AE822" s="1830"/>
      <c r="AF822" s="1830"/>
      <c r="AG822" s="1830"/>
    </row>
    <row r="823" spans="1:33" ht="27.75" customHeight="1" thickBot="1">
      <c r="D823" s="2560" t="s">
        <v>1972</v>
      </c>
      <c r="E823" s="1826"/>
      <c r="F823" s="1826"/>
      <c r="G823" s="1826"/>
      <c r="H823" s="1826"/>
      <c r="I823" s="1827"/>
      <c r="J823" s="1830">
        <v>20968</v>
      </c>
      <c r="K823" s="1830"/>
      <c r="L823" s="1830"/>
      <c r="M823" s="2584"/>
      <c r="N823" s="1830">
        <v>4403.28</v>
      </c>
      <c r="O823" s="1830"/>
      <c r="P823" s="1830"/>
      <c r="Q823" s="2584"/>
      <c r="R823" s="1830"/>
      <c r="S823" s="1830"/>
      <c r="T823" s="1830"/>
      <c r="U823" s="2584"/>
      <c r="V823" s="1830">
        <v>20565</v>
      </c>
      <c r="W823" s="1830"/>
      <c r="X823" s="1830"/>
      <c r="Y823" s="2584"/>
      <c r="Z823" s="1830">
        <v>4318.6499999999996</v>
      </c>
      <c r="AA823" s="1830"/>
      <c r="AB823" s="1830"/>
      <c r="AC823" s="2584"/>
      <c r="AD823" s="1830"/>
      <c r="AE823" s="1830"/>
      <c r="AF823" s="1830"/>
      <c r="AG823" s="1830"/>
    </row>
    <row r="824" spans="1:33" ht="27.75" customHeight="1" thickBot="1">
      <c r="D824" s="2560" t="s">
        <v>1973</v>
      </c>
      <c r="E824" s="1826"/>
      <c r="F824" s="1826"/>
      <c r="G824" s="1826"/>
      <c r="H824" s="1826"/>
      <c r="I824" s="1827"/>
      <c r="J824" s="1830"/>
      <c r="K824" s="1830"/>
      <c r="L824" s="1830"/>
      <c r="M824" s="2584"/>
      <c r="N824" s="1830"/>
      <c r="O824" s="1830"/>
      <c r="P824" s="1830"/>
      <c r="Q824" s="2584"/>
      <c r="R824" s="1830"/>
      <c r="S824" s="1830"/>
      <c r="T824" s="1830"/>
      <c r="U824" s="2584"/>
      <c r="V824" s="1830"/>
      <c r="W824" s="1830"/>
      <c r="X824" s="1830"/>
      <c r="Y824" s="2584"/>
      <c r="Z824" s="1830"/>
      <c r="AA824" s="1830"/>
      <c r="AB824" s="1830"/>
      <c r="AC824" s="2584"/>
      <c r="AD824" s="1830"/>
      <c r="AE824" s="1830"/>
      <c r="AF824" s="1830"/>
      <c r="AG824" s="1830"/>
    </row>
    <row r="825" spans="1:33" ht="27.75" customHeight="1" thickBot="1">
      <c r="D825" s="2590" t="s">
        <v>1998</v>
      </c>
      <c r="E825" s="1799"/>
      <c r="F825" s="1799"/>
      <c r="G825" s="1799"/>
      <c r="H825" s="1799"/>
      <c r="I825" s="1800"/>
      <c r="J825" s="1830"/>
      <c r="K825" s="1830"/>
      <c r="L825" s="1830"/>
      <c r="M825" s="2584"/>
      <c r="N825" s="1830"/>
      <c r="O825" s="1830"/>
      <c r="P825" s="1830"/>
      <c r="Q825" s="2584"/>
      <c r="R825" s="1830"/>
      <c r="S825" s="1830"/>
      <c r="T825" s="1830"/>
      <c r="U825" s="2584"/>
      <c r="V825" s="1830"/>
      <c r="W825" s="1830"/>
      <c r="X825" s="1830"/>
      <c r="Y825" s="2584"/>
      <c r="Z825" s="1830"/>
      <c r="AA825" s="1830"/>
      <c r="AB825" s="1830"/>
      <c r="AC825" s="2584"/>
      <c r="AD825" s="1830"/>
      <c r="AE825" s="1830"/>
      <c r="AF825" s="1830"/>
      <c r="AG825" s="1830"/>
    </row>
    <row r="826" spans="1:33" ht="27.75" customHeight="1" thickBot="1">
      <c r="D826" s="2589" t="s">
        <v>1894</v>
      </c>
      <c r="E826" s="1799"/>
      <c r="F826" s="1799"/>
      <c r="G826" s="1799"/>
      <c r="H826" s="1799"/>
      <c r="I826" s="1800"/>
      <c r="J826" s="1830"/>
      <c r="K826" s="1830"/>
      <c r="L826" s="1830"/>
      <c r="M826" s="2584"/>
      <c r="N826" s="1830"/>
      <c r="O826" s="1830"/>
      <c r="P826" s="1830"/>
      <c r="Q826" s="2584"/>
      <c r="R826" s="1830"/>
      <c r="S826" s="1830"/>
      <c r="T826" s="1830"/>
      <c r="U826" s="2584"/>
      <c r="V826" s="1830"/>
      <c r="W826" s="1830"/>
      <c r="X826" s="1830"/>
      <c r="Y826" s="2584"/>
      <c r="Z826" s="1830"/>
      <c r="AA826" s="1830"/>
      <c r="AB826" s="1830"/>
      <c r="AC826" s="2584"/>
      <c r="AD826" s="1830"/>
      <c r="AE826" s="1830"/>
      <c r="AF826" s="1830"/>
      <c r="AG826" s="1830"/>
    </row>
    <row r="827" spans="1:33" ht="27.75" customHeight="1" thickBot="1">
      <c r="D827" s="2589" t="s">
        <v>1974</v>
      </c>
      <c r="E827" s="1799"/>
      <c r="F827" s="1799"/>
      <c r="G827" s="1799"/>
      <c r="H827" s="1799"/>
      <c r="I827" s="1800"/>
      <c r="J827" s="1830"/>
      <c r="K827" s="1830"/>
      <c r="L827" s="1830"/>
      <c r="M827" s="2584"/>
      <c r="N827" s="1830"/>
      <c r="O827" s="1830"/>
      <c r="P827" s="1830"/>
      <c r="Q827" s="2584"/>
      <c r="R827" s="1830"/>
      <c r="S827" s="1830"/>
      <c r="T827" s="1830"/>
      <c r="U827" s="2584"/>
      <c r="V827" s="1830"/>
      <c r="W827" s="1830"/>
      <c r="X827" s="1830"/>
      <c r="Y827" s="2584"/>
      <c r="Z827" s="1830"/>
      <c r="AA827" s="1830"/>
      <c r="AB827" s="1830"/>
      <c r="AC827" s="2584"/>
      <c r="AD827" s="1830"/>
      <c r="AE827" s="1830"/>
      <c r="AF827" s="1830"/>
      <c r="AG827" s="1830"/>
    </row>
    <row r="828" spans="1:33" ht="27.75" customHeight="1" thickBot="1">
      <c r="D828" s="2589" t="s">
        <v>1877</v>
      </c>
      <c r="E828" s="1799"/>
      <c r="F828" s="1799"/>
      <c r="G828" s="1799"/>
      <c r="H828" s="1799"/>
      <c r="I828" s="1800"/>
      <c r="J828" s="1830">
        <v>-19619</v>
      </c>
      <c r="K828" s="1830"/>
      <c r="L828" s="1830"/>
      <c r="M828" s="2584"/>
      <c r="N828" s="1830">
        <v>-4119.99</v>
      </c>
      <c r="O828" s="1830"/>
      <c r="P828" s="1830"/>
      <c r="Q828" s="2584"/>
      <c r="R828" s="1830"/>
      <c r="S828" s="1830"/>
      <c r="T828" s="1830"/>
      <c r="U828" s="2584"/>
      <c r="V828" s="1830">
        <v>20229</v>
      </c>
      <c r="W828" s="1830"/>
      <c r="X828" s="1830"/>
      <c r="Y828" s="2584"/>
      <c r="Z828" s="1830">
        <v>4247.09</v>
      </c>
      <c r="AA828" s="1830"/>
      <c r="AB828" s="1830"/>
      <c r="AC828" s="2584"/>
      <c r="AD828" s="1830"/>
      <c r="AE828" s="1830"/>
      <c r="AF828" s="1830"/>
      <c r="AG828" s="1830"/>
    </row>
    <row r="829" spans="1:33" ht="27.75" customHeight="1" thickBot="1">
      <c r="D829" s="2560" t="s">
        <v>1750</v>
      </c>
      <c r="E829" s="1826"/>
      <c r="F829" s="1826"/>
      <c r="G829" s="1826"/>
      <c r="H829" s="1826"/>
      <c r="I829" s="1827"/>
      <c r="J829" s="1830" t="s">
        <v>18</v>
      </c>
      <c r="K829" s="1830"/>
      <c r="L829" s="1830"/>
      <c r="M829" s="2584"/>
      <c r="N829" s="1830">
        <v>104676.59999999999</v>
      </c>
      <c r="O829" s="1830"/>
      <c r="P829" s="1830"/>
      <c r="Q829" s="2584"/>
      <c r="R829" s="1830">
        <v>21.056987272460272</v>
      </c>
      <c r="S829" s="1830"/>
      <c r="T829" s="1830"/>
      <c r="U829" s="2584"/>
      <c r="V829" s="1830" t="s">
        <v>18</v>
      </c>
      <c r="W829" s="1830"/>
      <c r="X829" s="1830"/>
      <c r="Y829" s="2584"/>
      <c r="Z829" s="1830">
        <v>53261.509999999995</v>
      </c>
      <c r="AA829" s="1830"/>
      <c r="AB829" s="1830"/>
      <c r="AC829" s="2584"/>
      <c r="AD829" s="1830">
        <v>25.024554001418924</v>
      </c>
      <c r="AE829" s="1830"/>
      <c r="AF829" s="1830"/>
      <c r="AG829" s="1830"/>
    </row>
    <row r="830" spans="1:33" ht="27.75" customHeight="1" thickBot="1">
      <c r="D830" s="2560" t="s">
        <v>1975</v>
      </c>
      <c r="E830" s="1826"/>
      <c r="F830" s="1826"/>
      <c r="G830" s="1826"/>
      <c r="H830" s="1826"/>
      <c r="I830" s="1827"/>
      <c r="J830" s="1830" t="s">
        <v>18</v>
      </c>
      <c r="K830" s="1830"/>
      <c r="L830" s="1830"/>
      <c r="M830" s="2584"/>
      <c r="N830" s="1830">
        <v>188721</v>
      </c>
      <c r="O830" s="1830"/>
      <c r="P830" s="1830"/>
      <c r="Q830" s="2584"/>
      <c r="R830" s="1830">
        <v>37.963553411612295</v>
      </c>
      <c r="S830" s="1830"/>
      <c r="T830" s="1830"/>
      <c r="U830" s="2584"/>
      <c r="V830" s="1830" t="s">
        <v>18</v>
      </c>
      <c r="W830" s="1830"/>
      <c r="X830" s="1830"/>
      <c r="Y830" s="2584"/>
      <c r="Z830" s="1830">
        <v>125102</v>
      </c>
      <c r="AA830" s="1830"/>
      <c r="AB830" s="1830"/>
      <c r="AC830" s="2584"/>
      <c r="AD830" s="1830">
        <v>58.778313920981788</v>
      </c>
      <c r="AE830" s="1830"/>
      <c r="AF830" s="1830"/>
      <c r="AG830" s="1830"/>
    </row>
    <row r="831" spans="1:33" ht="27.75" customHeight="1" thickBot="1">
      <c r="D831" s="2560" t="s">
        <v>1976</v>
      </c>
      <c r="E831" s="1826"/>
      <c r="F831" s="1826"/>
      <c r="G831" s="1826"/>
      <c r="H831" s="1826"/>
      <c r="I831" s="1827"/>
      <c r="J831" s="1830" t="s">
        <v>18</v>
      </c>
      <c r="K831" s="1830"/>
      <c r="L831" s="1830"/>
      <c r="M831" s="2584"/>
      <c r="N831" s="1830">
        <v>-84044</v>
      </c>
      <c r="O831" s="1830"/>
      <c r="P831" s="1830"/>
      <c r="Q831" s="2584"/>
      <c r="R831" s="1830">
        <v>-16.906485674225678</v>
      </c>
      <c r="S831" s="1830"/>
      <c r="T831" s="1830"/>
      <c r="U831" s="2584"/>
      <c r="V831" s="1830" t="s">
        <v>18</v>
      </c>
      <c r="W831" s="1830"/>
      <c r="X831" s="1830"/>
      <c r="Y831" s="2584"/>
      <c r="Z831" s="1830">
        <v>-71840</v>
      </c>
      <c r="AA831" s="1830"/>
      <c r="AB831" s="1830"/>
      <c r="AC831" s="2584"/>
      <c r="AD831" s="1830">
        <v>-33.753529696434356</v>
      </c>
      <c r="AE831" s="1830"/>
      <c r="AF831" s="1830"/>
      <c r="AG831" s="1830"/>
    </row>
    <row r="832" spans="1:33" ht="27.75" customHeight="1" thickBot="1">
      <c r="D832" s="2561" t="s">
        <v>1977</v>
      </c>
      <c r="E832" s="2054"/>
      <c r="F832" s="2054"/>
      <c r="G832" s="2054"/>
      <c r="H832" s="2054"/>
      <c r="I832" s="2055"/>
      <c r="J832" s="2587" t="s">
        <v>18</v>
      </c>
      <c r="K832" s="2587"/>
      <c r="L832" s="2587"/>
      <c r="M832" s="2106"/>
      <c r="N832" s="2587">
        <v>104677</v>
      </c>
      <c r="O832" s="2587"/>
      <c r="P832" s="2587"/>
      <c r="Q832" s="2106"/>
      <c r="R832" s="2587">
        <v>21.057067737386618</v>
      </c>
      <c r="S832" s="2587"/>
      <c r="T832" s="2587"/>
      <c r="U832" s="2106"/>
      <c r="V832" s="2587" t="s">
        <v>18</v>
      </c>
      <c r="W832" s="2587"/>
      <c r="X832" s="2587"/>
      <c r="Y832" s="2106"/>
      <c r="Z832" s="2587">
        <v>53262</v>
      </c>
      <c r="AA832" s="2587"/>
      <c r="AB832" s="2587"/>
      <c r="AC832" s="2106"/>
      <c r="AD832" s="2587">
        <v>25.024784224547432</v>
      </c>
      <c r="AE832" s="2587"/>
      <c r="AF832" s="2587"/>
      <c r="AG832" s="2587"/>
    </row>
    <row r="835" spans="1:33" ht="24" customHeight="1">
      <c r="D835" s="2585" t="s">
        <v>1978</v>
      </c>
      <c r="E835" s="2585"/>
      <c r="F835" s="2585"/>
      <c r="G835" s="2585"/>
      <c r="H835" s="2585"/>
      <c r="I835" s="2585"/>
      <c r="J835" s="2585"/>
      <c r="K835" s="2585"/>
      <c r="L835" s="2585"/>
      <c r="M835" s="2585"/>
      <c r="N835" s="2585"/>
      <c r="O835" s="2585"/>
      <c r="P835" s="2585"/>
      <c r="Q835" s="2585"/>
      <c r="R835" s="2585"/>
      <c r="S835" s="2585"/>
      <c r="T835" s="2585"/>
      <c r="U835" s="2585"/>
      <c r="V835" s="2585"/>
      <c r="W835" s="2585"/>
      <c r="X835" s="2585"/>
      <c r="Y835" s="2585"/>
      <c r="Z835" s="2585"/>
      <c r="AA835" s="2585"/>
      <c r="AB835" s="2585"/>
      <c r="AC835" s="2585"/>
      <c r="AD835" s="2585"/>
      <c r="AE835" s="2585"/>
      <c r="AF835" s="2585"/>
      <c r="AG835" s="2585"/>
    </row>
    <row r="837" spans="1:33" ht="28.5" customHeight="1">
      <c r="D837" s="2126" t="s">
        <v>3023</v>
      </c>
      <c r="E837" s="2586"/>
      <c r="F837" s="2586"/>
      <c r="G837" s="2586"/>
      <c r="H837" s="2586"/>
      <c r="I837" s="2586"/>
      <c r="J837" s="2586"/>
      <c r="K837" s="2586"/>
      <c r="L837" s="2586"/>
      <c r="M837" s="2586"/>
      <c r="N837" s="2586"/>
      <c r="O837" s="2586"/>
      <c r="P837" s="2586"/>
      <c r="Q837" s="2586"/>
      <c r="R837" s="2586"/>
      <c r="S837" s="2586"/>
      <c r="T837" s="2586"/>
      <c r="U837" s="2586"/>
      <c r="V837" s="2586"/>
      <c r="W837" s="2586"/>
      <c r="X837" s="2586"/>
      <c r="Y837" s="2586"/>
      <c r="Z837" s="2586"/>
      <c r="AA837" s="2586"/>
      <c r="AB837" s="2586"/>
      <c r="AC837" s="2586"/>
      <c r="AD837" s="2586"/>
      <c r="AE837" s="2586"/>
      <c r="AF837" s="2586"/>
      <c r="AG837" s="2586"/>
    </row>
    <row r="838" spans="1:33" ht="28.5" customHeight="1">
      <c r="D838" s="1543"/>
      <c r="E838" s="1544"/>
      <c r="F838" s="1544"/>
      <c r="G838" s="1544"/>
      <c r="H838" s="1544"/>
      <c r="I838" s="1544"/>
      <c r="J838" s="1544"/>
      <c r="K838" s="1544"/>
      <c r="L838" s="1544"/>
      <c r="M838" s="1544"/>
      <c r="N838" s="1544"/>
      <c r="O838" s="1544"/>
      <c r="P838" s="1544"/>
      <c r="Q838" s="1544"/>
      <c r="R838" s="1544"/>
      <c r="S838" s="1544"/>
      <c r="T838" s="1544"/>
      <c r="U838" s="1544"/>
      <c r="V838" s="1544"/>
      <c r="W838" s="1544"/>
      <c r="X838" s="1544"/>
      <c r="Y838" s="1544"/>
      <c r="Z838" s="1544"/>
      <c r="AA838" s="1544"/>
      <c r="AB838" s="1544"/>
      <c r="AC838" s="1544"/>
      <c r="AD838" s="1544"/>
      <c r="AE838" s="1544"/>
      <c r="AF838" s="1544"/>
      <c r="AG838" s="1544"/>
    </row>
    <row r="839" spans="1:33" ht="14.25" customHeight="1">
      <c r="D839" s="582" t="s">
        <v>2986</v>
      </c>
    </row>
    <row r="841" spans="1:33" ht="27.25" customHeight="1">
      <c r="D841" s="2126" t="s">
        <v>1979</v>
      </c>
      <c r="E841" s="2126"/>
      <c r="F841" s="2126"/>
      <c r="G841" s="2126"/>
      <c r="H841" s="2126"/>
      <c r="I841" s="2126"/>
      <c r="J841" s="2126"/>
      <c r="K841" s="2126"/>
      <c r="L841" s="2126"/>
      <c r="M841" s="2126"/>
      <c r="N841" s="2126"/>
      <c r="O841" s="2126"/>
      <c r="P841" s="2126"/>
      <c r="Q841" s="2126"/>
      <c r="R841" s="2126"/>
      <c r="S841" s="2126"/>
      <c r="T841" s="2126"/>
      <c r="U841" s="2126"/>
      <c r="V841" s="2126"/>
      <c r="W841" s="2126"/>
      <c r="X841" s="2126"/>
      <c r="Y841" s="2126"/>
      <c r="Z841" s="2126"/>
      <c r="AA841" s="2126"/>
      <c r="AB841" s="2126"/>
      <c r="AC841" s="2126"/>
      <c r="AD841" s="2126"/>
      <c r="AE841" s="2126"/>
      <c r="AF841" s="2126"/>
      <c r="AG841" s="2126"/>
    </row>
    <row r="842" spans="1:33" ht="14.25" customHeight="1" thickBot="1"/>
    <row r="843" spans="1:33" ht="14.25" customHeight="1" thickBot="1">
      <c r="A843" s="597" t="s">
        <v>1392</v>
      </c>
      <c r="D843" s="1921" t="s">
        <v>1980</v>
      </c>
      <c r="E843" s="1921"/>
      <c r="F843" s="1921"/>
      <c r="G843" s="1921"/>
      <c r="H843" s="1921"/>
      <c r="I843" s="1921"/>
      <c r="J843" s="1921"/>
      <c r="K843" s="1921"/>
      <c r="L843" s="1921"/>
      <c r="M843" s="1851" t="s">
        <v>1981</v>
      </c>
      <c r="N843" s="1851"/>
      <c r="O843" s="1851"/>
      <c r="P843" s="1851"/>
      <c r="Q843" s="1851"/>
      <c r="R843" s="1851" t="s">
        <v>1982</v>
      </c>
      <c r="S843" s="1851"/>
      <c r="T843" s="1851"/>
      <c r="U843" s="1851"/>
      <c r="V843" s="1851"/>
      <c r="W843" s="1851"/>
      <c r="X843" s="1851"/>
      <c r="Y843" s="1851"/>
      <c r="Z843" s="1851"/>
      <c r="AA843" s="1851"/>
      <c r="AB843" s="1851"/>
      <c r="AC843" s="1851"/>
      <c r="AD843" s="1851"/>
      <c r="AE843" s="1851"/>
      <c r="AF843" s="1851"/>
      <c r="AG843" s="1851"/>
    </row>
    <row r="844" spans="1:33" ht="26.25" customHeight="1" thickBot="1">
      <c r="D844" s="1921"/>
      <c r="E844" s="1921"/>
      <c r="F844" s="1921"/>
      <c r="G844" s="1921"/>
      <c r="H844" s="1921"/>
      <c r="I844" s="1921"/>
      <c r="J844" s="1921"/>
      <c r="K844" s="1921"/>
      <c r="L844" s="1921"/>
      <c r="M844" s="1851"/>
      <c r="N844" s="1851"/>
      <c r="O844" s="1851"/>
      <c r="P844" s="1851"/>
      <c r="Q844" s="1851"/>
      <c r="R844" s="1851" t="s">
        <v>1740</v>
      </c>
      <c r="S844" s="1851"/>
      <c r="T844" s="1851"/>
      <c r="U844" s="1851"/>
      <c r="V844" s="1851"/>
      <c r="W844" s="1851"/>
      <c r="X844" s="1851"/>
      <c r="Y844" s="1851"/>
      <c r="Z844" s="1851" t="s">
        <v>1983</v>
      </c>
      <c r="AA844" s="1851"/>
      <c r="AB844" s="1851"/>
      <c r="AC844" s="1851"/>
      <c r="AD844" s="1851"/>
      <c r="AE844" s="1851"/>
      <c r="AF844" s="1851"/>
      <c r="AG844" s="1851"/>
    </row>
    <row r="845" spans="1:33" ht="18.75" customHeight="1">
      <c r="D845" s="2580" t="str">
        <f>'Notes- SK Template'!D854</f>
        <v xml:space="preserve"> FOSS AS FIBEROPTISK SYSTEMSALG</v>
      </c>
      <c r="E845" s="2580">
        <f>'Notes- SK Template'!E858</f>
        <v>0</v>
      </c>
      <c r="F845" s="2580">
        <f>'Notes- SK Template'!F858</f>
        <v>0</v>
      </c>
      <c r="G845" s="2580">
        <f>'Notes- SK Template'!G858</f>
        <v>0</v>
      </c>
      <c r="H845" s="2580">
        <f>'Notes- SK Template'!H858</f>
        <v>0</v>
      </c>
      <c r="I845" s="2580">
        <f>'Notes- SK Template'!I858</f>
        <v>0</v>
      </c>
      <c r="J845" s="2580">
        <f>'Notes- SK Template'!J858</f>
        <v>0</v>
      </c>
      <c r="K845" s="2580">
        <f>'Notes- SK Template'!K858</f>
        <v>0</v>
      </c>
      <c r="L845" s="2580">
        <f>'Notes- SK Template'!L858</f>
        <v>0</v>
      </c>
      <c r="M845" s="2580">
        <v>1</v>
      </c>
      <c r="N845" s="2580">
        <f>'Notes- SK Template'!N855</f>
        <v>0</v>
      </c>
      <c r="O845" s="2580">
        <f>'Notes- SK Template'!O855</f>
        <v>0</v>
      </c>
      <c r="P845" s="2580">
        <f>'Notes- SK Template'!P855</f>
        <v>0</v>
      </c>
      <c r="Q845" s="2580">
        <f>'Notes- SK Template'!Q855</f>
        <v>0</v>
      </c>
      <c r="R845" s="2578">
        <f>'Notes- SK Template'!R854</f>
        <v>192822</v>
      </c>
      <c r="S845" s="2578">
        <f>'Notes- SK Template'!S855</f>
        <v>0</v>
      </c>
      <c r="T845" s="2578">
        <f>'Notes- SK Template'!T855</f>
        <v>0</v>
      </c>
      <c r="U845" s="2578">
        <f>'Notes- SK Template'!U855</f>
        <v>0</v>
      </c>
      <c r="V845" s="2578">
        <f>'Notes- SK Template'!V855</f>
        <v>0</v>
      </c>
      <c r="W845" s="2578">
        <f>'Notes- SK Template'!W855</f>
        <v>0</v>
      </c>
      <c r="X845" s="2578">
        <f>'Notes- SK Template'!X855</f>
        <v>0</v>
      </c>
      <c r="Y845" s="2578">
        <f>'Notes- SK Template'!Y855</f>
        <v>0</v>
      </c>
      <c r="Z845" s="2578">
        <f>'Notes- SK Template'!Z854</f>
        <v>283032</v>
      </c>
      <c r="AA845" s="2578">
        <f>'Notes- SK Template'!AA855</f>
        <v>0</v>
      </c>
      <c r="AB845" s="2578">
        <f>'Notes- SK Template'!AB855</f>
        <v>0</v>
      </c>
      <c r="AC845" s="2578">
        <f>'Notes- SK Template'!AC855</f>
        <v>0</v>
      </c>
      <c r="AD845" s="2578">
        <f>'Notes- SK Template'!AD855</f>
        <v>0</v>
      </c>
      <c r="AE845" s="2578">
        <f>'Notes- SK Template'!AE855</f>
        <v>0</v>
      </c>
      <c r="AF845" s="2578">
        <f>'Notes- SK Template'!AF855</f>
        <v>0</v>
      </c>
      <c r="AG845" s="2578">
        <f>'Notes- SK Template'!AG855</f>
        <v>0</v>
      </c>
    </row>
    <row r="846" spans="1:33" ht="18.75" customHeight="1">
      <c r="D846" s="2581" t="str">
        <f>'Notes- SK Template'!D855</f>
        <v xml:space="preserve"> FOSS AS FIBEROPTISK SYSTEMSALG</v>
      </c>
      <c r="E846" s="2581">
        <f>'Notes- SK Template'!E859</f>
        <v>0</v>
      </c>
      <c r="F846" s="2581">
        <f>'Notes- SK Template'!F859</f>
        <v>0</v>
      </c>
      <c r="G846" s="2581">
        <f>'Notes- SK Template'!G859</f>
        <v>0</v>
      </c>
      <c r="H846" s="2581">
        <f>'Notes- SK Template'!H859</f>
        <v>0</v>
      </c>
      <c r="I846" s="2581">
        <f>'Notes- SK Template'!I859</f>
        <v>0</v>
      </c>
      <c r="J846" s="2581">
        <f>'Notes- SK Template'!J859</f>
        <v>0</v>
      </c>
      <c r="K846" s="2581">
        <f>'Notes- SK Template'!K859</f>
        <v>0</v>
      </c>
      <c r="L846" s="2581">
        <f>'Notes- SK Template'!L859</f>
        <v>0</v>
      </c>
      <c r="M846" s="2581">
        <v>2</v>
      </c>
      <c r="N846" s="2581">
        <f>'Notes- SK Template'!N856</f>
        <v>0</v>
      </c>
      <c r="O846" s="2581">
        <f>'Notes- SK Template'!O856</f>
        <v>0</v>
      </c>
      <c r="P846" s="2581">
        <f>'Notes- SK Template'!P856</f>
        <v>0</v>
      </c>
      <c r="Q846" s="2581">
        <f>'Notes- SK Template'!Q856</f>
        <v>0</v>
      </c>
      <c r="R846" s="1967">
        <f>'Notes- SK Template'!R855</f>
        <v>627617</v>
      </c>
      <c r="S846" s="1967">
        <f>'Notes- SK Template'!S856</f>
        <v>0</v>
      </c>
      <c r="T846" s="1967">
        <f>'Notes- SK Template'!T856</f>
        <v>0</v>
      </c>
      <c r="U846" s="1967">
        <f>'Notes- SK Template'!U856</f>
        <v>0</v>
      </c>
      <c r="V846" s="1967">
        <f>'Notes- SK Template'!V856</f>
        <v>0</v>
      </c>
      <c r="W846" s="1967">
        <f>'Notes- SK Template'!W856</f>
        <v>0</v>
      </c>
      <c r="X846" s="1967">
        <f>'Notes- SK Template'!X856</f>
        <v>0</v>
      </c>
      <c r="Y846" s="1967">
        <f>'Notes- SK Template'!Y856</f>
        <v>0</v>
      </c>
      <c r="Z846" s="1967">
        <f>'Notes- SK Template'!Z855</f>
        <v>1054240</v>
      </c>
      <c r="AA846" s="1967">
        <f>'Notes- SK Template'!AA856</f>
        <v>0</v>
      </c>
      <c r="AB846" s="1967">
        <f>'Notes- SK Template'!AB856</f>
        <v>0</v>
      </c>
      <c r="AC846" s="1967">
        <f>'Notes- SK Template'!AC856</f>
        <v>0</v>
      </c>
      <c r="AD846" s="1967">
        <f>'Notes- SK Template'!AD856</f>
        <v>0</v>
      </c>
      <c r="AE846" s="1967">
        <f>'Notes- SK Template'!AE856</f>
        <v>0</v>
      </c>
      <c r="AF846" s="1967">
        <f>'Notes- SK Template'!AF856</f>
        <v>0</v>
      </c>
      <c r="AG846" s="1967">
        <f>'Notes- SK Template'!AG856</f>
        <v>0</v>
      </c>
    </row>
    <row r="847" spans="1:33" ht="18.75" customHeight="1">
      <c r="D847" s="2581" t="str">
        <f>'Notes- SK Template'!D856</f>
        <v xml:space="preserve"> FOSS AS FIBEROPTISK SYSTEMSALG</v>
      </c>
      <c r="E847" s="2581">
        <f>'Notes- SK Template'!E860</f>
        <v>0</v>
      </c>
      <c r="F847" s="2581">
        <f>'Notes- SK Template'!F860</f>
        <v>0</v>
      </c>
      <c r="G847" s="2581">
        <f>'Notes- SK Template'!G860</f>
        <v>0</v>
      </c>
      <c r="H847" s="2581">
        <f>'Notes- SK Template'!H860</f>
        <v>0</v>
      </c>
      <c r="I847" s="2581">
        <f>'Notes- SK Template'!I860</f>
        <v>0</v>
      </c>
      <c r="J847" s="2581">
        <f>'Notes- SK Template'!J860</f>
        <v>0</v>
      </c>
      <c r="K847" s="2581">
        <f>'Notes- SK Template'!K860</f>
        <v>0</v>
      </c>
      <c r="L847" s="2581">
        <f>'Notes- SK Template'!L860</f>
        <v>0</v>
      </c>
      <c r="M847" s="2225" t="s">
        <v>2913</v>
      </c>
      <c r="N847" s="2581"/>
      <c r="O847" s="2581"/>
      <c r="P847" s="2581"/>
      <c r="Q847" s="2581"/>
      <c r="R847" s="1967">
        <f>'Notes- SK Template'!R856</f>
        <v>0</v>
      </c>
      <c r="S847" s="1967">
        <f>'Notes- SK Template'!S857</f>
        <v>0</v>
      </c>
      <c r="T847" s="1967">
        <f>'Notes- SK Template'!T857</f>
        <v>0</v>
      </c>
      <c r="U847" s="1967">
        <f>'Notes- SK Template'!U857</f>
        <v>0</v>
      </c>
      <c r="V847" s="1967">
        <f>'Notes- SK Template'!V857</f>
        <v>0</v>
      </c>
      <c r="W847" s="1967">
        <f>'Notes- SK Template'!W857</f>
        <v>0</v>
      </c>
      <c r="X847" s="1967">
        <f>'Notes- SK Template'!X857</f>
        <v>0</v>
      </c>
      <c r="Y847" s="1967">
        <f>'Notes- SK Template'!Y857</f>
        <v>0</v>
      </c>
      <c r="Z847" s="1967">
        <f>'Notes- SK Template'!Z856</f>
        <v>134342</v>
      </c>
      <c r="AA847" s="1967">
        <f>'Notes- SK Template'!AA857</f>
        <v>0</v>
      </c>
      <c r="AB847" s="1967">
        <f>'Notes- SK Template'!AB857</f>
        <v>0</v>
      </c>
      <c r="AC847" s="1967">
        <f>'Notes- SK Template'!AC857</f>
        <v>0</v>
      </c>
      <c r="AD847" s="1967">
        <f>'Notes- SK Template'!AD857</f>
        <v>0</v>
      </c>
      <c r="AE847" s="1967">
        <f>'Notes- SK Template'!AE857</f>
        <v>0</v>
      </c>
      <c r="AF847" s="1967">
        <f>'Notes- SK Template'!AF857</f>
        <v>0</v>
      </c>
      <c r="AG847" s="1967">
        <f>'Notes- SK Template'!AG857</f>
        <v>0</v>
      </c>
    </row>
    <row r="848" spans="1:33" ht="18.75" customHeight="1">
      <c r="D848" s="2581" t="str">
        <f>'Notes- SK Template'!D857</f>
        <v xml:space="preserve"> FOSS AS FIBEROPTISK SYSTEMSALG</v>
      </c>
      <c r="E848" s="2581">
        <f>'Notes- SK Template'!E861</f>
        <v>0</v>
      </c>
      <c r="F848" s="2581">
        <f>'Notes- SK Template'!F861</f>
        <v>0</v>
      </c>
      <c r="G848" s="2581">
        <f>'Notes- SK Template'!G861</f>
        <v>0</v>
      </c>
      <c r="H848" s="2581">
        <f>'Notes- SK Template'!H861</f>
        <v>0</v>
      </c>
      <c r="I848" s="2581">
        <f>'Notes- SK Template'!I861</f>
        <v>0</v>
      </c>
      <c r="J848" s="2581">
        <f>'Notes- SK Template'!J861</f>
        <v>0</v>
      </c>
      <c r="K848" s="2581">
        <f>'Notes- SK Template'!K861</f>
        <v>0</v>
      </c>
      <c r="L848" s="2581">
        <f>'Notes- SK Template'!L861</f>
        <v>0</v>
      </c>
      <c r="M848" s="2225" t="s">
        <v>2914</v>
      </c>
      <c r="N848" s="2581"/>
      <c r="O848" s="2581"/>
      <c r="P848" s="2581"/>
      <c r="Q848" s="2581"/>
      <c r="R848" s="1967">
        <f>'Notes- SK Template'!R857</f>
        <v>0</v>
      </c>
      <c r="S848" s="1967">
        <f>'Notes- SK Template'!S858</f>
        <v>0</v>
      </c>
      <c r="T848" s="1967">
        <f>'Notes- SK Template'!T858</f>
        <v>0</v>
      </c>
      <c r="U848" s="1967">
        <f>'Notes- SK Template'!U858</f>
        <v>0</v>
      </c>
      <c r="V848" s="1967">
        <f>'Notes- SK Template'!V858</f>
        <v>0</v>
      </c>
      <c r="W848" s="1967">
        <f>'Notes- SK Template'!W858</f>
        <v>0</v>
      </c>
      <c r="X848" s="1967">
        <f>'Notes- SK Template'!X858</f>
        <v>0</v>
      </c>
      <c r="Y848" s="1967">
        <f>'Notes- SK Template'!Y858</f>
        <v>0</v>
      </c>
      <c r="Z848" s="1967">
        <f>'Notes- SK Template'!Z857</f>
        <v>19992</v>
      </c>
      <c r="AA848" s="1967">
        <f>'Notes- SK Template'!AA858</f>
        <v>0</v>
      </c>
      <c r="AB848" s="1967">
        <f>'Notes- SK Template'!AB858</f>
        <v>0</v>
      </c>
      <c r="AC848" s="1967">
        <f>'Notes- SK Template'!AC858</f>
        <v>0</v>
      </c>
      <c r="AD848" s="1967">
        <f>'Notes- SK Template'!AD858</f>
        <v>0</v>
      </c>
      <c r="AE848" s="1967">
        <f>'Notes- SK Template'!AE858</f>
        <v>0</v>
      </c>
      <c r="AF848" s="1967">
        <f>'Notes- SK Template'!AF858</f>
        <v>0</v>
      </c>
      <c r="AG848" s="1967">
        <f>'Notes- SK Template'!AG858</f>
        <v>0</v>
      </c>
    </row>
    <row r="849" spans="4:33" ht="18.75" customHeight="1">
      <c r="D849" s="2581"/>
      <c r="E849" s="2581"/>
      <c r="F849" s="2581"/>
      <c r="G849" s="2581"/>
      <c r="H849" s="2581"/>
      <c r="I849" s="2581"/>
      <c r="J849" s="2581"/>
      <c r="K849" s="2581"/>
      <c r="L849" s="2581"/>
      <c r="M849" s="2581"/>
      <c r="N849" s="2581"/>
      <c r="O849" s="2581"/>
      <c r="P849" s="2581"/>
      <c r="Q849" s="2581"/>
      <c r="R849" s="1967"/>
      <c r="S849" s="1967"/>
      <c r="T849" s="1967"/>
      <c r="U849" s="1967"/>
      <c r="V849" s="1967"/>
      <c r="W849" s="1967"/>
      <c r="X849" s="1967"/>
      <c r="Y849" s="1967"/>
      <c r="Z849" s="1967"/>
      <c r="AA849" s="1967"/>
      <c r="AB849" s="1967"/>
      <c r="AC849" s="1967"/>
      <c r="AD849" s="1967"/>
      <c r="AE849" s="1967"/>
      <c r="AF849" s="1967"/>
      <c r="AG849" s="1967"/>
    </row>
    <row r="850" spans="4:33" ht="18.75" customHeight="1">
      <c r="D850" s="2581"/>
      <c r="E850" s="2581"/>
      <c r="F850" s="2581"/>
      <c r="G850" s="2581"/>
      <c r="H850" s="2581"/>
      <c r="I850" s="2581"/>
      <c r="J850" s="2581"/>
      <c r="K850" s="2581"/>
      <c r="L850" s="2581"/>
      <c r="M850" s="2581"/>
      <c r="N850" s="2581"/>
      <c r="O850" s="2581"/>
      <c r="P850" s="2581"/>
      <c r="Q850" s="2581"/>
      <c r="R850" s="1967"/>
      <c r="S850" s="1967"/>
      <c r="T850" s="1967"/>
      <c r="U850" s="1967"/>
      <c r="V850" s="1967"/>
      <c r="W850" s="1967"/>
      <c r="X850" s="1967"/>
      <c r="Y850" s="1967"/>
      <c r="Z850" s="1967"/>
      <c r="AA850" s="1967"/>
      <c r="AB850" s="1967"/>
      <c r="AC850" s="1967"/>
      <c r="AD850" s="1967"/>
      <c r="AE850" s="1967"/>
      <c r="AF850" s="1967"/>
      <c r="AG850" s="1967"/>
    </row>
    <row r="851" spans="4:33" ht="18.75" customHeight="1" thickBot="1">
      <c r="D851" s="2583"/>
      <c r="E851" s="2583"/>
      <c r="F851" s="2583"/>
      <c r="G851" s="2583"/>
      <c r="H851" s="2583"/>
      <c r="I851" s="2583"/>
      <c r="J851" s="2583"/>
      <c r="K851" s="2583"/>
      <c r="L851" s="2583"/>
      <c r="M851" s="2583"/>
      <c r="N851" s="2583"/>
      <c r="O851" s="2583"/>
      <c r="P851" s="2583"/>
      <c r="Q851" s="2583"/>
      <c r="R851" s="2341"/>
      <c r="S851" s="2341"/>
      <c r="T851" s="2341"/>
      <c r="U851" s="2341"/>
      <c r="V851" s="2341"/>
      <c r="W851" s="2341"/>
      <c r="X851" s="2341"/>
      <c r="Y851" s="2341"/>
      <c r="Z851" s="2341"/>
      <c r="AA851" s="2341"/>
      <c r="AB851" s="2341"/>
      <c r="AC851" s="2341"/>
      <c r="AD851" s="2341"/>
      <c r="AE851" s="2341"/>
      <c r="AF851" s="2341"/>
      <c r="AG851" s="2341"/>
    </row>
    <row r="854" spans="4:33" ht="14.25" customHeight="1">
      <c r="D854" s="2582" t="s">
        <v>2987</v>
      </c>
      <c r="E854" s="2582"/>
      <c r="F854" s="2582"/>
      <c r="G854" s="2582"/>
      <c r="H854" s="2582"/>
      <c r="I854" s="2582"/>
      <c r="J854" s="2582"/>
      <c r="K854" s="2582"/>
      <c r="L854" s="2582"/>
      <c r="M854" s="2582"/>
      <c r="N854" s="2582"/>
      <c r="O854" s="2582"/>
      <c r="P854" s="2582"/>
      <c r="Q854" s="2582"/>
      <c r="R854" s="2582"/>
      <c r="S854" s="2582"/>
      <c r="T854" s="2582"/>
      <c r="U854" s="2582"/>
      <c r="V854" s="2582"/>
      <c r="W854" s="2582"/>
      <c r="X854" s="2582"/>
      <c r="Y854" s="2582"/>
      <c r="Z854" s="2582"/>
      <c r="AA854" s="2582"/>
      <c r="AB854" s="2582"/>
      <c r="AC854" s="2582"/>
      <c r="AD854" s="2582"/>
      <c r="AE854" s="2582"/>
      <c r="AF854" s="2582"/>
      <c r="AG854" s="2582"/>
    </row>
    <row r="855" spans="4:33" ht="14.25" customHeight="1" thickBot="1"/>
    <row r="856" spans="4:33" ht="14.25" customHeight="1" thickBot="1">
      <c r="D856" s="1921" t="s">
        <v>2020</v>
      </c>
      <c r="E856" s="1921"/>
      <c r="F856" s="1921"/>
      <c r="G856" s="1921"/>
      <c r="H856" s="1921"/>
      <c r="I856" s="1921"/>
      <c r="J856" s="1921"/>
      <c r="K856" s="1921"/>
      <c r="L856" s="1921"/>
      <c r="M856" s="1921"/>
      <c r="N856" s="1921" t="s">
        <v>1740</v>
      </c>
      <c r="O856" s="1921"/>
      <c r="P856" s="1921"/>
      <c r="Q856" s="1921"/>
      <c r="R856" s="1921"/>
      <c r="S856" s="1921"/>
      <c r="T856" s="1921"/>
      <c r="U856" s="1921"/>
      <c r="V856" s="1921"/>
      <c r="W856" s="1921"/>
      <c r="X856" s="1921"/>
      <c r="Y856" s="1921"/>
      <c r="Z856" s="1921"/>
      <c r="AA856" s="1921"/>
      <c r="AB856" s="1921"/>
      <c r="AC856" s="1921"/>
      <c r="AD856" s="1921"/>
      <c r="AE856" s="1921"/>
      <c r="AF856" s="1921"/>
      <c r="AG856" s="1921"/>
    </row>
    <row r="857" spans="4:33" ht="14.25" customHeight="1" thickBot="1">
      <c r="D857" s="1921"/>
      <c r="E857" s="1921"/>
      <c r="F857" s="1921"/>
      <c r="G857" s="1921"/>
      <c r="H857" s="1921"/>
      <c r="I857" s="1921"/>
      <c r="J857" s="1921"/>
      <c r="K857" s="1921"/>
      <c r="L857" s="1921"/>
      <c r="M857" s="1921"/>
      <c r="N857" s="1851" t="s">
        <v>1790</v>
      </c>
      <c r="O857" s="1851"/>
      <c r="P857" s="1851"/>
      <c r="Q857" s="1851"/>
      <c r="R857" s="1851" t="s">
        <v>1791</v>
      </c>
      <c r="S857" s="1851"/>
      <c r="T857" s="1851"/>
      <c r="U857" s="1851"/>
      <c r="V857" s="1851" t="s">
        <v>1792</v>
      </c>
      <c r="W857" s="1851"/>
      <c r="X857" s="1851"/>
      <c r="Y857" s="1851"/>
      <c r="Z857" s="1851" t="s">
        <v>1793</v>
      </c>
      <c r="AA857" s="1851"/>
      <c r="AB857" s="1851"/>
      <c r="AC857" s="1851"/>
      <c r="AD857" s="1851" t="s">
        <v>1794</v>
      </c>
      <c r="AE857" s="1851"/>
      <c r="AF857" s="1851"/>
      <c r="AG857" s="1851"/>
    </row>
    <row r="858" spans="4:33" ht="14.25" customHeight="1">
      <c r="D858" s="2129" t="s">
        <v>1984</v>
      </c>
      <c r="E858" s="2129"/>
      <c r="F858" s="2129"/>
      <c r="G858" s="2129"/>
      <c r="H858" s="2129"/>
      <c r="I858" s="2129"/>
      <c r="J858" s="2129"/>
      <c r="K858" s="2129"/>
      <c r="L858" s="2129"/>
      <c r="M858" s="2129"/>
      <c r="N858" s="2578">
        <f>'Notes- SK Template'!N871</f>
        <v>2506390</v>
      </c>
      <c r="O858" s="2578" t="e">
        <f>'Notes- SK Template'!#REF!</f>
        <v>#REF!</v>
      </c>
      <c r="P858" s="2578" t="e">
        <f>'Notes- SK Template'!#REF!</f>
        <v>#REF!</v>
      </c>
      <c r="Q858" s="2578" t="e">
        <f>'Notes- SK Template'!#REF!</f>
        <v>#REF!</v>
      </c>
      <c r="R858" s="2074">
        <f>'Notes- SK Template'!R871</f>
        <v>0</v>
      </c>
      <c r="S858" s="2075" t="e">
        <f>'Notes- SK Template'!#REF!</f>
        <v>#REF!</v>
      </c>
      <c r="T858" s="2075" t="e">
        <f>'Notes- SK Template'!#REF!</f>
        <v>#REF!</v>
      </c>
      <c r="U858" s="2075" t="e">
        <f>'Notes- SK Template'!#REF!</f>
        <v>#REF!</v>
      </c>
      <c r="V858" s="2075">
        <f>'Notes- SK Template'!V871</f>
        <v>0</v>
      </c>
      <c r="W858" s="2075" t="e">
        <f>'Notes- SK Template'!#REF!</f>
        <v>#REF!</v>
      </c>
      <c r="X858" s="2075" t="e">
        <f>'Notes- SK Template'!#REF!</f>
        <v>#REF!</v>
      </c>
      <c r="Y858" s="2075" t="e">
        <f>'Notes- SK Template'!#REF!</f>
        <v>#REF!</v>
      </c>
      <c r="Z858" s="2075">
        <f>'Notes- SK Template'!Z871</f>
        <v>0</v>
      </c>
      <c r="AA858" s="2075" t="e">
        <f>'Notes- SK Template'!#REF!</f>
        <v>#REF!</v>
      </c>
      <c r="AB858" s="2075" t="e">
        <f>'Notes- SK Template'!#REF!</f>
        <v>#REF!</v>
      </c>
      <c r="AC858" s="2579" t="e">
        <f>'Notes- SK Template'!#REF!</f>
        <v>#REF!</v>
      </c>
      <c r="AD858" s="2578">
        <f>'Notes- SK Template'!AD871</f>
        <v>2506390</v>
      </c>
      <c r="AE858" s="2578" t="e">
        <f>'Notes- SK Template'!#REF!</f>
        <v>#REF!</v>
      </c>
      <c r="AF858" s="2578" t="e">
        <f>'Notes- SK Template'!#REF!</f>
        <v>#REF!</v>
      </c>
      <c r="AG858" s="2578" t="e">
        <f>'Notes- SK Template'!#REF!</f>
        <v>#REF!</v>
      </c>
    </row>
    <row r="859" spans="4:33" ht="14.25" customHeight="1">
      <c r="D859" s="1822" t="s">
        <v>1985</v>
      </c>
      <c r="E859" s="1822"/>
      <c r="F859" s="1822"/>
      <c r="G859" s="1822"/>
      <c r="H859" s="1822"/>
      <c r="I859" s="1822"/>
      <c r="J859" s="1822"/>
      <c r="K859" s="1822"/>
      <c r="L859" s="1822"/>
      <c r="M859" s="1822"/>
      <c r="N859" s="1967">
        <f>'Notes- SK Template'!N872</f>
        <v>0</v>
      </c>
      <c r="O859" s="1967" t="e">
        <f>'Notes- SK Template'!#REF!</f>
        <v>#REF!</v>
      </c>
      <c r="P859" s="1967" t="e">
        <f>'Notes- SK Template'!#REF!</f>
        <v>#REF!</v>
      </c>
      <c r="Q859" s="1967" t="e">
        <f>'Notes- SK Template'!#REF!</f>
        <v>#REF!</v>
      </c>
      <c r="R859" s="1804">
        <f>'Notes- SK Template'!R872</f>
        <v>0</v>
      </c>
      <c r="S859" s="1805" t="e">
        <f>'Notes- SK Template'!#REF!</f>
        <v>#REF!</v>
      </c>
      <c r="T859" s="1805" t="e">
        <f>'Notes- SK Template'!#REF!</f>
        <v>#REF!</v>
      </c>
      <c r="U859" s="1805" t="e">
        <f>'Notes- SK Template'!#REF!</f>
        <v>#REF!</v>
      </c>
      <c r="V859" s="1805">
        <f>'Notes- SK Template'!V872</f>
        <v>0</v>
      </c>
      <c r="W859" s="1805" t="e">
        <f>'Notes- SK Template'!#REF!</f>
        <v>#REF!</v>
      </c>
      <c r="X859" s="1805" t="e">
        <f>'Notes- SK Template'!#REF!</f>
        <v>#REF!</v>
      </c>
      <c r="Y859" s="1805" t="e">
        <f>'Notes- SK Template'!#REF!</f>
        <v>#REF!</v>
      </c>
      <c r="Z859" s="1805">
        <f>'Notes- SK Template'!Z872</f>
        <v>0</v>
      </c>
      <c r="AA859" s="1805" t="e">
        <f>'Notes- SK Template'!#REF!</f>
        <v>#REF!</v>
      </c>
      <c r="AB859" s="1805" t="e">
        <f>'Notes- SK Template'!#REF!</f>
        <v>#REF!</v>
      </c>
      <c r="AC859" s="1821" t="e">
        <f>'Notes- SK Template'!#REF!</f>
        <v>#REF!</v>
      </c>
      <c r="AD859" s="1794">
        <f>'Notes- SK Template'!AD872</f>
        <v>0</v>
      </c>
      <c r="AE859" s="1794" t="e">
        <f>'Notes- SK Template'!#REF!</f>
        <v>#REF!</v>
      </c>
      <c r="AF859" s="1794" t="e">
        <f>'Notes- SK Template'!#REF!</f>
        <v>#REF!</v>
      </c>
      <c r="AG859" s="1794" t="e">
        <f>'Notes- SK Template'!#REF!</f>
        <v>#REF!</v>
      </c>
    </row>
    <row r="860" spans="4:33" ht="14.25" customHeight="1">
      <c r="D860" s="1822" t="s">
        <v>1986</v>
      </c>
      <c r="E860" s="1822"/>
      <c r="F860" s="1822"/>
      <c r="G860" s="1822"/>
      <c r="H860" s="1822"/>
      <c r="I860" s="1822"/>
      <c r="J860" s="1822"/>
      <c r="K860" s="1822"/>
      <c r="L860" s="1822"/>
      <c r="M860" s="1822"/>
      <c r="N860" s="1967">
        <f>'Notes- SK Template'!N873</f>
        <v>0</v>
      </c>
      <c r="O860" s="1967" t="e">
        <f>'Notes- SK Template'!#REF!</f>
        <v>#REF!</v>
      </c>
      <c r="P860" s="1967" t="e">
        <f>'Notes- SK Template'!#REF!</f>
        <v>#REF!</v>
      </c>
      <c r="Q860" s="1967" t="e">
        <f>'Notes- SK Template'!#REF!</f>
        <v>#REF!</v>
      </c>
      <c r="R860" s="1804">
        <f>'Notes- SK Template'!R873</f>
        <v>0</v>
      </c>
      <c r="S860" s="1805" t="e">
        <f>'Notes- SK Template'!#REF!</f>
        <v>#REF!</v>
      </c>
      <c r="T860" s="1805" t="e">
        <f>'Notes- SK Template'!#REF!</f>
        <v>#REF!</v>
      </c>
      <c r="U860" s="1805" t="e">
        <f>'Notes- SK Template'!#REF!</f>
        <v>#REF!</v>
      </c>
      <c r="V860" s="1805">
        <f>'Notes- SK Template'!V873</f>
        <v>0</v>
      </c>
      <c r="W860" s="1805" t="e">
        <f>'Notes- SK Template'!#REF!</f>
        <v>#REF!</v>
      </c>
      <c r="X860" s="1805" t="e">
        <f>'Notes- SK Template'!#REF!</f>
        <v>#REF!</v>
      </c>
      <c r="Y860" s="1805" t="e">
        <f>'Notes- SK Template'!#REF!</f>
        <v>#REF!</v>
      </c>
      <c r="Z860" s="1805">
        <f>'Notes- SK Template'!Z873</f>
        <v>0</v>
      </c>
      <c r="AA860" s="1805" t="e">
        <f>'Notes- SK Template'!#REF!</f>
        <v>#REF!</v>
      </c>
      <c r="AB860" s="1805" t="e">
        <f>'Notes- SK Template'!#REF!</f>
        <v>#REF!</v>
      </c>
      <c r="AC860" s="1821" t="e">
        <f>'Notes- SK Template'!#REF!</f>
        <v>#REF!</v>
      </c>
      <c r="AD860" s="1794">
        <f>'Notes- SK Template'!AD873</f>
        <v>0</v>
      </c>
      <c r="AE860" s="1794" t="e">
        <f>'Notes- SK Template'!#REF!</f>
        <v>#REF!</v>
      </c>
      <c r="AF860" s="1794" t="e">
        <f>'Notes- SK Template'!#REF!</f>
        <v>#REF!</v>
      </c>
      <c r="AG860" s="1794" t="e">
        <f>'Notes- SK Template'!#REF!</f>
        <v>#REF!</v>
      </c>
    </row>
    <row r="861" spans="4:33" ht="14.25" customHeight="1">
      <c r="D861" s="1822" t="s">
        <v>1987</v>
      </c>
      <c r="E861" s="1822"/>
      <c r="F861" s="1822"/>
      <c r="G861" s="1822"/>
      <c r="H861" s="1822"/>
      <c r="I861" s="1822"/>
      <c r="J861" s="1822"/>
      <c r="K861" s="1822"/>
      <c r="L861" s="1822"/>
      <c r="M861" s="1822"/>
      <c r="N861" s="1967">
        <f>'Notes- SK Template'!N874</f>
        <v>0</v>
      </c>
      <c r="O861" s="1967" t="e">
        <f>'Notes- SK Template'!#REF!</f>
        <v>#REF!</v>
      </c>
      <c r="P861" s="1967" t="e">
        <f>'Notes- SK Template'!#REF!</f>
        <v>#REF!</v>
      </c>
      <c r="Q861" s="1967" t="e">
        <f>'Notes- SK Template'!#REF!</f>
        <v>#REF!</v>
      </c>
      <c r="R861" s="1804">
        <f>'Notes- SK Template'!R874</f>
        <v>0</v>
      </c>
      <c r="S861" s="1805" t="e">
        <f>'Notes- SK Template'!#REF!</f>
        <v>#REF!</v>
      </c>
      <c r="T861" s="1805" t="e">
        <f>'Notes- SK Template'!#REF!</f>
        <v>#REF!</v>
      </c>
      <c r="U861" s="1805" t="e">
        <f>'Notes- SK Template'!#REF!</f>
        <v>#REF!</v>
      </c>
      <c r="V861" s="1805">
        <f>'Notes- SK Template'!V874</f>
        <v>0</v>
      </c>
      <c r="W861" s="1805" t="e">
        <f>'Notes- SK Template'!#REF!</f>
        <v>#REF!</v>
      </c>
      <c r="X861" s="1805" t="e">
        <f>'Notes- SK Template'!#REF!</f>
        <v>#REF!</v>
      </c>
      <c r="Y861" s="1805" t="e">
        <f>'Notes- SK Template'!#REF!</f>
        <v>#REF!</v>
      </c>
      <c r="Z861" s="1805">
        <f>'Notes- SK Template'!Z874</f>
        <v>0</v>
      </c>
      <c r="AA861" s="1805" t="e">
        <f>'Notes- SK Template'!#REF!</f>
        <v>#REF!</v>
      </c>
      <c r="AB861" s="1805" t="e">
        <f>'Notes- SK Template'!#REF!</f>
        <v>#REF!</v>
      </c>
      <c r="AC861" s="1821" t="e">
        <f>'Notes- SK Template'!#REF!</f>
        <v>#REF!</v>
      </c>
      <c r="AD861" s="1794">
        <f>'Notes- SK Template'!AD874</f>
        <v>0</v>
      </c>
      <c r="AE861" s="1794" t="e">
        <f>'Notes- SK Template'!#REF!</f>
        <v>#REF!</v>
      </c>
      <c r="AF861" s="1794" t="e">
        <f>'Notes- SK Template'!#REF!</f>
        <v>#REF!</v>
      </c>
      <c r="AG861" s="1794" t="e">
        <f>'Notes- SK Template'!#REF!</f>
        <v>#REF!</v>
      </c>
    </row>
    <row r="862" spans="4:33" ht="14.25" customHeight="1">
      <c r="D862" s="1822" t="s">
        <v>1988</v>
      </c>
      <c r="E862" s="1822"/>
      <c r="F862" s="1822"/>
      <c r="G862" s="1822"/>
      <c r="H862" s="1822"/>
      <c r="I862" s="1822"/>
      <c r="J862" s="1822"/>
      <c r="K862" s="1822"/>
      <c r="L862" s="1822"/>
      <c r="M862" s="1822"/>
      <c r="N862" s="1791">
        <f>'Notes- SK Template'!N875</f>
        <v>0</v>
      </c>
      <c r="O862" s="1791" t="e">
        <f>'Notes- SK Template'!#REF!</f>
        <v>#REF!</v>
      </c>
      <c r="P862" s="1791" t="e">
        <f>'Notes- SK Template'!#REF!</f>
        <v>#REF!</v>
      </c>
      <c r="Q862" s="1791" t="e">
        <f>'Notes- SK Template'!#REF!</f>
        <v>#REF!</v>
      </c>
      <c r="R862" s="1804">
        <f>'Notes- SK Template'!R875</f>
        <v>0</v>
      </c>
      <c r="S862" s="1805" t="e">
        <f>'Notes- SK Template'!#REF!</f>
        <v>#REF!</v>
      </c>
      <c r="T862" s="1805" t="e">
        <f>'Notes- SK Template'!#REF!</f>
        <v>#REF!</v>
      </c>
      <c r="U862" s="1805" t="e">
        <f>'Notes- SK Template'!#REF!</f>
        <v>#REF!</v>
      </c>
      <c r="V862" s="1805">
        <f>'Notes- SK Template'!V875</f>
        <v>0</v>
      </c>
      <c r="W862" s="1805" t="e">
        <f>'Notes- SK Template'!#REF!</f>
        <v>#REF!</v>
      </c>
      <c r="X862" s="1805" t="e">
        <f>'Notes- SK Template'!#REF!</f>
        <v>#REF!</v>
      </c>
      <c r="Y862" s="1805" t="e">
        <f>'Notes- SK Template'!#REF!</f>
        <v>#REF!</v>
      </c>
      <c r="Z862" s="1805">
        <f>'Notes- SK Template'!Z875</f>
        <v>0</v>
      </c>
      <c r="AA862" s="1805" t="e">
        <f>'Notes- SK Template'!#REF!</f>
        <v>#REF!</v>
      </c>
      <c r="AB862" s="1805" t="e">
        <f>'Notes- SK Template'!#REF!</f>
        <v>#REF!</v>
      </c>
      <c r="AC862" s="1821" t="e">
        <f>'Notes- SK Template'!#REF!</f>
        <v>#REF!</v>
      </c>
      <c r="AD862" s="1794">
        <f>'Notes- SK Template'!AD875</f>
        <v>0</v>
      </c>
      <c r="AE862" s="1794" t="e">
        <f>'Notes- SK Template'!#REF!</f>
        <v>#REF!</v>
      </c>
      <c r="AF862" s="1794" t="e">
        <f>'Notes- SK Template'!#REF!</f>
        <v>#REF!</v>
      </c>
      <c r="AG862" s="1794" t="e">
        <f>'Notes- SK Template'!#REF!</f>
        <v>#REF!</v>
      </c>
    </row>
    <row r="863" spans="4:33" ht="24.75" customHeight="1">
      <c r="D863" s="1822" t="s">
        <v>1989</v>
      </c>
      <c r="E863" s="1822"/>
      <c r="F863" s="1822"/>
      <c r="G863" s="1822"/>
      <c r="H863" s="1822"/>
      <c r="I863" s="1822"/>
      <c r="J863" s="1822"/>
      <c r="K863" s="1822"/>
      <c r="L863" s="1822"/>
      <c r="M863" s="1822"/>
      <c r="N863" s="1967">
        <f>'Notes- SK Template'!N876</f>
        <v>107571</v>
      </c>
      <c r="O863" s="1967" t="e">
        <f>'Notes- SK Template'!#REF!</f>
        <v>#REF!</v>
      </c>
      <c r="P863" s="1967" t="e">
        <f>'Notes- SK Template'!#REF!</f>
        <v>#REF!</v>
      </c>
      <c r="Q863" s="1967" t="e">
        <f>'Notes- SK Template'!#REF!</f>
        <v>#REF!</v>
      </c>
      <c r="R863" s="1804">
        <f>'Notes- SK Template'!R876</f>
        <v>0</v>
      </c>
      <c r="S863" s="1805" t="e">
        <f>'Notes- SK Template'!#REF!</f>
        <v>#REF!</v>
      </c>
      <c r="T863" s="1805" t="e">
        <f>'Notes- SK Template'!#REF!</f>
        <v>#REF!</v>
      </c>
      <c r="U863" s="1805" t="e">
        <f>'Notes- SK Template'!#REF!</f>
        <v>#REF!</v>
      </c>
      <c r="V863" s="1805">
        <f>'Notes- SK Template'!V876</f>
        <v>0</v>
      </c>
      <c r="W863" s="1805" t="e">
        <f>'Notes- SK Template'!#REF!</f>
        <v>#REF!</v>
      </c>
      <c r="X863" s="1805" t="e">
        <f>'Notes- SK Template'!#REF!</f>
        <v>#REF!</v>
      </c>
      <c r="Y863" s="1805" t="e">
        <f>'Notes- SK Template'!#REF!</f>
        <v>#REF!</v>
      </c>
      <c r="Z863" s="1805">
        <f>'Notes- SK Template'!Z876</f>
        <v>7979</v>
      </c>
      <c r="AA863" s="1805" t="e">
        <f>'Notes- SK Template'!#REF!</f>
        <v>#REF!</v>
      </c>
      <c r="AB863" s="1805" t="e">
        <f>'Notes- SK Template'!#REF!</f>
        <v>#REF!</v>
      </c>
      <c r="AC863" s="1821" t="e">
        <f>'Notes- SK Template'!#REF!</f>
        <v>#REF!</v>
      </c>
      <c r="AD863" s="1794">
        <f>'Notes- SK Template'!AD876</f>
        <v>115550</v>
      </c>
      <c r="AE863" s="1794" t="e">
        <f>'Notes- SK Template'!#REF!</f>
        <v>#REF!</v>
      </c>
      <c r="AF863" s="1794" t="e">
        <f>'Notes- SK Template'!#REF!</f>
        <v>#REF!</v>
      </c>
      <c r="AG863" s="1794" t="e">
        <f>'Notes- SK Template'!#REF!</f>
        <v>#REF!</v>
      </c>
    </row>
    <row r="864" spans="4:33" ht="30" customHeight="1">
      <c r="D864" s="1867" t="s">
        <v>2954</v>
      </c>
      <c r="E864" s="1822"/>
      <c r="F864" s="1822"/>
      <c r="G864" s="1822"/>
      <c r="H864" s="1822"/>
      <c r="I864" s="1822"/>
      <c r="J864" s="1822"/>
      <c r="K864" s="1822"/>
      <c r="L864" s="1822"/>
      <c r="M864" s="1822"/>
      <c r="N864" s="1967">
        <f>'Notes- SK Template'!N877</f>
        <v>0</v>
      </c>
      <c r="O864" s="1967" t="e">
        <f>'Notes- SK Template'!#REF!</f>
        <v>#REF!</v>
      </c>
      <c r="P864" s="1967" t="e">
        <f>'Notes- SK Template'!#REF!</f>
        <v>#REF!</v>
      </c>
      <c r="Q864" s="1967" t="e">
        <f>'Notes- SK Template'!#REF!</f>
        <v>#REF!</v>
      </c>
      <c r="R864" s="1804">
        <f>'Notes- SK Template'!R877</f>
        <v>0</v>
      </c>
      <c r="S864" s="1805" t="e">
        <f>'Notes- SK Template'!#REF!</f>
        <v>#REF!</v>
      </c>
      <c r="T864" s="1805" t="e">
        <f>'Notes- SK Template'!#REF!</f>
        <v>#REF!</v>
      </c>
      <c r="U864" s="1805" t="e">
        <f>'Notes- SK Template'!#REF!</f>
        <v>#REF!</v>
      </c>
      <c r="V864" s="1805">
        <f>'Notes- SK Template'!V877</f>
        <v>0</v>
      </c>
      <c r="W864" s="1805" t="e">
        <f>'Notes- SK Template'!#REF!</f>
        <v>#REF!</v>
      </c>
      <c r="X864" s="1805" t="e">
        <f>'Notes- SK Template'!#REF!</f>
        <v>#REF!</v>
      </c>
      <c r="Y864" s="1805" t="e">
        <f>'Notes- SK Template'!#REF!</f>
        <v>#REF!</v>
      </c>
      <c r="Z864" s="1805">
        <f>'Notes- SK Template'!Z877</f>
        <v>0</v>
      </c>
      <c r="AA864" s="1805" t="e">
        <f>'Notes- SK Template'!#REF!</f>
        <v>#REF!</v>
      </c>
      <c r="AB864" s="1805" t="e">
        <f>'Notes- SK Template'!#REF!</f>
        <v>#REF!</v>
      </c>
      <c r="AC864" s="1821" t="e">
        <f>'Notes- SK Template'!#REF!</f>
        <v>#REF!</v>
      </c>
      <c r="AD864" s="1794">
        <f>'Notes- SK Template'!AD877</f>
        <v>0</v>
      </c>
      <c r="AE864" s="1794" t="e">
        <f>'Notes- SK Template'!#REF!</f>
        <v>#REF!</v>
      </c>
      <c r="AF864" s="1794" t="e">
        <f>'Notes- SK Template'!#REF!</f>
        <v>#REF!</v>
      </c>
      <c r="AG864" s="1794" t="e">
        <f>'Notes- SK Template'!#REF!</f>
        <v>#REF!</v>
      </c>
    </row>
    <row r="865" spans="4:33" ht="15.75" customHeight="1">
      <c r="D865" s="1867" t="s">
        <v>2955</v>
      </c>
      <c r="E865" s="1822"/>
      <c r="F865" s="1822"/>
      <c r="G865" s="1822"/>
      <c r="H865" s="1822"/>
      <c r="I865" s="1822"/>
      <c r="J865" s="1822"/>
      <c r="K865" s="1822"/>
      <c r="L865" s="1822"/>
      <c r="M865" s="1822"/>
      <c r="N865" s="1967">
        <f>'Notes- SK Template'!N878</f>
        <v>0</v>
      </c>
      <c r="O865" s="1967" t="e">
        <f>'Notes- SK Template'!#REF!</f>
        <v>#REF!</v>
      </c>
      <c r="P865" s="1967" t="e">
        <f>'Notes- SK Template'!#REF!</f>
        <v>#REF!</v>
      </c>
      <c r="Q865" s="1967" t="e">
        <f>'Notes- SK Template'!#REF!</f>
        <v>#REF!</v>
      </c>
      <c r="R865" s="1804">
        <f>'Notes- SK Template'!R878</f>
        <v>0</v>
      </c>
      <c r="S865" s="1805" t="e">
        <f>'Notes- SK Template'!#REF!</f>
        <v>#REF!</v>
      </c>
      <c r="T865" s="1805" t="e">
        <f>'Notes- SK Template'!#REF!</f>
        <v>#REF!</v>
      </c>
      <c r="U865" s="1805" t="e">
        <f>'Notes- SK Template'!#REF!</f>
        <v>#REF!</v>
      </c>
      <c r="V865" s="1805">
        <f>'Notes- SK Template'!V878</f>
        <v>0</v>
      </c>
      <c r="W865" s="1805" t="e">
        <f>'Notes- SK Template'!#REF!</f>
        <v>#REF!</v>
      </c>
      <c r="X865" s="1805" t="e">
        <f>'Notes- SK Template'!#REF!</f>
        <v>#REF!</v>
      </c>
      <c r="Y865" s="1805" t="e">
        <f>'Notes- SK Template'!#REF!</f>
        <v>#REF!</v>
      </c>
      <c r="Z865" s="1805">
        <f>'Notes- SK Template'!Z878</f>
        <v>0</v>
      </c>
      <c r="AA865" s="1805" t="e">
        <f>'Notes- SK Template'!#REF!</f>
        <v>#REF!</v>
      </c>
      <c r="AB865" s="1805" t="e">
        <f>'Notes- SK Template'!#REF!</f>
        <v>#REF!</v>
      </c>
      <c r="AC865" s="1821" t="e">
        <f>'Notes- SK Template'!#REF!</f>
        <v>#REF!</v>
      </c>
      <c r="AD865" s="1794">
        <f>'Notes- SK Template'!AD878</f>
        <v>0</v>
      </c>
      <c r="AE865" s="1794" t="e">
        <f>'Notes- SK Template'!#REF!</f>
        <v>#REF!</v>
      </c>
      <c r="AF865" s="1794" t="e">
        <f>'Notes- SK Template'!#REF!</f>
        <v>#REF!</v>
      </c>
      <c r="AG865" s="1794" t="e">
        <f>'Notes- SK Template'!#REF!</f>
        <v>#REF!</v>
      </c>
    </row>
    <row r="866" spans="4:33" ht="14.25" customHeight="1">
      <c r="D866" s="1867" t="s">
        <v>2956</v>
      </c>
      <c r="E866" s="1822"/>
      <c r="F866" s="1822"/>
      <c r="G866" s="1822"/>
      <c r="H866" s="1822"/>
      <c r="I866" s="1822"/>
      <c r="J866" s="1822"/>
      <c r="K866" s="1822"/>
      <c r="L866" s="1822"/>
      <c r="M866" s="1822"/>
      <c r="N866" s="1967">
        <f>'Notes- SK Template'!N879</f>
        <v>0</v>
      </c>
      <c r="O866" s="1967" t="e">
        <f>'Notes- SK Template'!#REF!</f>
        <v>#REF!</v>
      </c>
      <c r="P866" s="1967" t="e">
        <f>'Notes- SK Template'!#REF!</f>
        <v>#REF!</v>
      </c>
      <c r="Q866" s="1967" t="e">
        <f>'Notes- SK Template'!#REF!</f>
        <v>#REF!</v>
      </c>
      <c r="R866" s="1804">
        <f>'Notes- SK Template'!R879</f>
        <v>0</v>
      </c>
      <c r="S866" s="1805" t="e">
        <f>'Notes- SK Template'!#REF!</f>
        <v>#REF!</v>
      </c>
      <c r="T866" s="1805" t="e">
        <f>'Notes- SK Template'!#REF!</f>
        <v>#REF!</v>
      </c>
      <c r="U866" s="1805" t="e">
        <f>'Notes- SK Template'!#REF!</f>
        <v>#REF!</v>
      </c>
      <c r="V866" s="1805">
        <f>'Notes- SK Template'!V879</f>
        <v>0</v>
      </c>
      <c r="W866" s="1805" t="e">
        <f>'Notes- SK Template'!#REF!</f>
        <v>#REF!</v>
      </c>
      <c r="X866" s="1805" t="e">
        <f>'Notes- SK Template'!#REF!</f>
        <v>#REF!</v>
      </c>
      <c r="Y866" s="1805" t="e">
        <f>'Notes- SK Template'!#REF!</f>
        <v>#REF!</v>
      </c>
      <c r="Z866" s="1805">
        <f>'Notes- SK Template'!Z879</f>
        <v>0</v>
      </c>
      <c r="AA866" s="1805" t="e">
        <f>'Notes- SK Template'!#REF!</f>
        <v>#REF!</v>
      </c>
      <c r="AB866" s="1805" t="e">
        <f>'Notes- SK Template'!#REF!</f>
        <v>#REF!</v>
      </c>
      <c r="AC866" s="1821" t="e">
        <f>'Notes- SK Template'!#REF!</f>
        <v>#REF!</v>
      </c>
      <c r="AD866" s="1794">
        <f>'Notes- SK Template'!AD879</f>
        <v>0</v>
      </c>
      <c r="AE866" s="1794" t="e">
        <f>'Notes- SK Template'!#REF!</f>
        <v>#REF!</v>
      </c>
      <c r="AF866" s="1794" t="e">
        <f>'Notes- SK Template'!#REF!</f>
        <v>#REF!</v>
      </c>
      <c r="AG866" s="1794" t="e">
        <f>'Notes- SK Template'!#REF!</f>
        <v>#REF!</v>
      </c>
    </row>
    <row r="867" spans="4:33" ht="21.75" customHeight="1">
      <c r="D867" s="1867" t="s">
        <v>2957</v>
      </c>
      <c r="E867" s="1822"/>
      <c r="F867" s="1822"/>
      <c r="G867" s="1822"/>
      <c r="H867" s="1822"/>
      <c r="I867" s="1822"/>
      <c r="J867" s="1822"/>
      <c r="K867" s="1822"/>
      <c r="L867" s="1822"/>
      <c r="M867" s="1822"/>
      <c r="N867" s="1967">
        <f>'Notes- SK Template'!N880</f>
        <v>0</v>
      </c>
      <c r="O867" s="1967" t="e">
        <f>'Notes- SK Template'!#REF!</f>
        <v>#REF!</v>
      </c>
      <c r="P867" s="1967" t="e">
        <f>'Notes- SK Template'!#REF!</f>
        <v>#REF!</v>
      </c>
      <c r="Q867" s="1967" t="e">
        <f>'Notes- SK Template'!#REF!</f>
        <v>#REF!</v>
      </c>
      <c r="R867" s="1804">
        <f>'Notes- SK Template'!R880</f>
        <v>0</v>
      </c>
      <c r="S867" s="1805" t="e">
        <f>'Notes- SK Template'!#REF!</f>
        <v>#REF!</v>
      </c>
      <c r="T867" s="1805" t="e">
        <f>'Notes- SK Template'!#REF!</f>
        <v>#REF!</v>
      </c>
      <c r="U867" s="1805" t="e">
        <f>'Notes- SK Template'!#REF!</f>
        <v>#REF!</v>
      </c>
      <c r="V867" s="1805">
        <f>'Notes- SK Template'!V880</f>
        <v>0</v>
      </c>
      <c r="W867" s="1805" t="e">
        <f>'Notes- SK Template'!#REF!</f>
        <v>#REF!</v>
      </c>
      <c r="X867" s="1805" t="e">
        <f>'Notes- SK Template'!#REF!</f>
        <v>#REF!</v>
      </c>
      <c r="Y867" s="1805" t="e">
        <f>'Notes- SK Template'!#REF!</f>
        <v>#REF!</v>
      </c>
      <c r="Z867" s="1805">
        <f>'Notes- SK Template'!Z880</f>
        <v>0</v>
      </c>
      <c r="AA867" s="1805" t="e">
        <f>'Notes- SK Template'!#REF!</f>
        <v>#REF!</v>
      </c>
      <c r="AB867" s="1805" t="e">
        <f>'Notes- SK Template'!#REF!</f>
        <v>#REF!</v>
      </c>
      <c r="AC867" s="1821" t="e">
        <f>'Notes- SK Template'!#REF!</f>
        <v>#REF!</v>
      </c>
      <c r="AD867" s="1794">
        <f>'Notes- SK Template'!AD880</f>
        <v>0</v>
      </c>
      <c r="AE867" s="1794" t="e">
        <f>'Notes- SK Template'!#REF!</f>
        <v>#REF!</v>
      </c>
      <c r="AF867" s="1794" t="e">
        <f>'Notes- SK Template'!#REF!</f>
        <v>#REF!</v>
      </c>
      <c r="AG867" s="1794" t="e">
        <f>'Notes- SK Template'!#REF!</f>
        <v>#REF!</v>
      </c>
    </row>
    <row r="868" spans="4:33" ht="23.25" customHeight="1">
      <c r="D868" s="1867" t="s">
        <v>2958</v>
      </c>
      <c r="E868" s="1822"/>
      <c r="F868" s="1822"/>
      <c r="G868" s="1822"/>
      <c r="H868" s="1822"/>
      <c r="I868" s="1822"/>
      <c r="J868" s="1822"/>
      <c r="K868" s="1822"/>
      <c r="L868" s="1822"/>
      <c r="M868" s="1822"/>
      <c r="N868" s="1967">
        <f>'Notes- SK Template'!N881</f>
        <v>0</v>
      </c>
      <c r="O868" s="1967" t="e">
        <f>'Notes- SK Template'!#REF!</f>
        <v>#REF!</v>
      </c>
      <c r="P868" s="1967" t="e">
        <f>'Notes- SK Template'!#REF!</f>
        <v>#REF!</v>
      </c>
      <c r="Q868" s="1967" t="e">
        <f>'Notes- SK Template'!#REF!</f>
        <v>#REF!</v>
      </c>
      <c r="R868" s="1804">
        <f>'Notes- SK Template'!R881</f>
        <v>0</v>
      </c>
      <c r="S868" s="1805" t="e">
        <f>'Notes- SK Template'!#REF!</f>
        <v>#REF!</v>
      </c>
      <c r="T868" s="1805" t="e">
        <f>'Notes- SK Template'!#REF!</f>
        <v>#REF!</v>
      </c>
      <c r="U868" s="1805" t="e">
        <f>'Notes- SK Template'!#REF!</f>
        <v>#REF!</v>
      </c>
      <c r="V868" s="1805">
        <f>'Notes- SK Template'!V881</f>
        <v>0</v>
      </c>
      <c r="W868" s="1805" t="e">
        <f>'Notes- SK Template'!#REF!</f>
        <v>#REF!</v>
      </c>
      <c r="X868" s="1805" t="e">
        <f>'Notes- SK Template'!#REF!</f>
        <v>#REF!</v>
      </c>
      <c r="Y868" s="1805" t="e">
        <f>'Notes- SK Template'!#REF!</f>
        <v>#REF!</v>
      </c>
      <c r="Z868" s="1805">
        <f>'Notes- SK Template'!Z881</f>
        <v>0</v>
      </c>
      <c r="AA868" s="1805" t="e">
        <f>'Notes- SK Template'!#REF!</f>
        <v>#REF!</v>
      </c>
      <c r="AB868" s="1805" t="e">
        <f>'Notes- SK Template'!#REF!</f>
        <v>#REF!</v>
      </c>
      <c r="AC868" s="1821" t="e">
        <f>'Notes- SK Template'!#REF!</f>
        <v>#REF!</v>
      </c>
      <c r="AD868" s="1794">
        <f>'Notes- SK Template'!AD881</f>
        <v>0</v>
      </c>
      <c r="AE868" s="1794" t="e">
        <f>'Notes- SK Template'!#REF!</f>
        <v>#REF!</v>
      </c>
      <c r="AF868" s="1794" t="e">
        <f>'Notes- SK Template'!#REF!</f>
        <v>#REF!</v>
      </c>
      <c r="AG868" s="1794" t="e">
        <f>'Notes- SK Template'!#REF!</f>
        <v>#REF!</v>
      </c>
    </row>
    <row r="869" spans="4:33" ht="27.75" customHeight="1">
      <c r="D869" s="1822" t="s">
        <v>1990</v>
      </c>
      <c r="E869" s="1822"/>
      <c r="F869" s="1822"/>
      <c r="G869" s="1822"/>
      <c r="H869" s="1822"/>
      <c r="I869" s="1822"/>
      <c r="J869" s="1822"/>
      <c r="K869" s="1822"/>
      <c r="L869" s="1822"/>
      <c r="M869" s="1822"/>
      <c r="N869" s="1967">
        <f>'Notes- SK Template'!N882</f>
        <v>0</v>
      </c>
      <c r="O869" s="1967" t="e">
        <f>'Notes- SK Template'!#REF!</f>
        <v>#REF!</v>
      </c>
      <c r="P869" s="1967" t="e">
        <f>'Notes- SK Template'!#REF!</f>
        <v>#REF!</v>
      </c>
      <c r="Q869" s="1967" t="e">
        <f>'Notes- SK Template'!#REF!</f>
        <v>#REF!</v>
      </c>
      <c r="R869" s="1804">
        <f>'Notes- SK Template'!R882</f>
        <v>0</v>
      </c>
      <c r="S869" s="1805" t="e">
        <f>'Notes- SK Template'!#REF!</f>
        <v>#REF!</v>
      </c>
      <c r="T869" s="1805" t="e">
        <f>'Notes- SK Template'!#REF!</f>
        <v>#REF!</v>
      </c>
      <c r="U869" s="1805" t="e">
        <f>'Notes- SK Template'!#REF!</f>
        <v>#REF!</v>
      </c>
      <c r="V869" s="1805">
        <f>'Notes- SK Template'!V882</f>
        <v>0</v>
      </c>
      <c r="W869" s="1805" t="e">
        <f>'Notes- SK Template'!#REF!</f>
        <v>#REF!</v>
      </c>
      <c r="X869" s="1805" t="e">
        <f>'Notes- SK Template'!#REF!</f>
        <v>#REF!</v>
      </c>
      <c r="Y869" s="1805" t="e">
        <f>'Notes- SK Template'!#REF!</f>
        <v>#REF!</v>
      </c>
      <c r="Z869" s="1805">
        <f>'Notes- SK Template'!Z882</f>
        <v>0</v>
      </c>
      <c r="AA869" s="1805" t="e">
        <f>'Notes- SK Template'!#REF!</f>
        <v>#REF!</v>
      </c>
      <c r="AB869" s="1805" t="e">
        <f>'Notes- SK Template'!#REF!</f>
        <v>#REF!</v>
      </c>
      <c r="AC869" s="1821" t="e">
        <f>'Notes- SK Template'!#REF!</f>
        <v>#REF!</v>
      </c>
      <c r="AD869" s="1794">
        <f>'Notes- SK Template'!AD882</f>
        <v>0</v>
      </c>
      <c r="AE869" s="1794" t="e">
        <f>'Notes- SK Template'!#REF!</f>
        <v>#REF!</v>
      </c>
      <c r="AF869" s="1794" t="e">
        <f>'Notes- SK Template'!#REF!</f>
        <v>#REF!</v>
      </c>
      <c r="AG869" s="1794" t="e">
        <f>'Notes- SK Template'!#REF!</f>
        <v>#REF!</v>
      </c>
    </row>
    <row r="870" spans="4:33" ht="14.25" customHeight="1">
      <c r="D870" s="1822" t="s">
        <v>1991</v>
      </c>
      <c r="E870" s="1822"/>
      <c r="F870" s="1822"/>
      <c r="G870" s="1822"/>
      <c r="H870" s="1822"/>
      <c r="I870" s="1822"/>
      <c r="J870" s="1822"/>
      <c r="K870" s="1822"/>
      <c r="L870" s="1822"/>
      <c r="M870" s="1822"/>
      <c r="N870" s="1967">
        <f>'Notes- SK Template'!N883</f>
        <v>418802</v>
      </c>
      <c r="O870" s="1967" t="e">
        <f>'Notes- SK Template'!#REF!</f>
        <v>#REF!</v>
      </c>
      <c r="P870" s="1967" t="e">
        <f>'Notes- SK Template'!#REF!</f>
        <v>#REF!</v>
      </c>
      <c r="Q870" s="1967" t="e">
        <f>'Notes- SK Template'!#REF!</f>
        <v>#REF!</v>
      </c>
      <c r="R870" s="1804">
        <f>'Notes- SK Template'!R883</f>
        <v>0</v>
      </c>
      <c r="S870" s="1805" t="e">
        <f>'Notes- SK Template'!#REF!</f>
        <v>#REF!</v>
      </c>
      <c r="T870" s="1805" t="e">
        <f>'Notes- SK Template'!#REF!</f>
        <v>#REF!</v>
      </c>
      <c r="U870" s="1805" t="e">
        <f>'Notes- SK Template'!#REF!</f>
        <v>#REF!</v>
      </c>
      <c r="V870" s="1805">
        <f>'Notes- SK Template'!V883</f>
        <v>-411359</v>
      </c>
      <c r="W870" s="1805" t="e">
        <f>'Notes- SK Template'!#REF!</f>
        <v>#REF!</v>
      </c>
      <c r="X870" s="1805" t="e">
        <f>'Notes- SK Template'!#REF!</f>
        <v>#REF!</v>
      </c>
      <c r="Y870" s="1805" t="e">
        <f>'Notes- SK Template'!#REF!</f>
        <v>#REF!</v>
      </c>
      <c r="Z870" s="1805">
        <f>'Notes- SK Template'!Z883</f>
        <v>151596</v>
      </c>
      <c r="AA870" s="1805" t="e">
        <f>'Notes- SK Template'!#REF!</f>
        <v>#REF!</v>
      </c>
      <c r="AB870" s="1805" t="e">
        <f>'Notes- SK Template'!#REF!</f>
        <v>#REF!</v>
      </c>
      <c r="AC870" s="1821" t="e">
        <f>'Notes- SK Template'!#REF!</f>
        <v>#REF!</v>
      </c>
      <c r="AD870" s="1794">
        <f>'Notes- SK Template'!AD883</f>
        <v>159039</v>
      </c>
      <c r="AE870" s="1794" t="e">
        <f>'Notes- SK Template'!#REF!</f>
        <v>#REF!</v>
      </c>
      <c r="AF870" s="1794" t="e">
        <f>'Notes- SK Template'!#REF!</f>
        <v>#REF!</v>
      </c>
      <c r="AG870" s="1794" t="e">
        <f>'Notes- SK Template'!#REF!</f>
        <v>#REF!</v>
      </c>
    </row>
    <row r="871" spans="4:33" ht="14.25" customHeight="1">
      <c r="D871" s="1822" t="s">
        <v>1992</v>
      </c>
      <c r="E871" s="1822"/>
      <c r="F871" s="1822"/>
      <c r="G871" s="1822"/>
      <c r="H871" s="1822"/>
      <c r="I871" s="1822"/>
      <c r="J871" s="1822"/>
      <c r="K871" s="1822"/>
      <c r="L871" s="1822"/>
      <c r="M871" s="1822"/>
      <c r="N871" s="1967">
        <f>'Notes- SK Template'!N884</f>
        <v>0</v>
      </c>
      <c r="O871" s="1967" t="e">
        <f>'Notes- SK Template'!#REF!</f>
        <v>#REF!</v>
      </c>
      <c r="P871" s="1967" t="e">
        <f>'Notes- SK Template'!#REF!</f>
        <v>#REF!</v>
      </c>
      <c r="Q871" s="1967" t="e">
        <f>'Notes- SK Template'!#REF!</f>
        <v>#REF!</v>
      </c>
      <c r="R871" s="1804">
        <f>'Notes- SK Template'!R884</f>
        <v>0</v>
      </c>
      <c r="S871" s="1805" t="e">
        <f>'Notes- SK Template'!#REF!</f>
        <v>#REF!</v>
      </c>
      <c r="T871" s="1805" t="e">
        <f>'Notes- SK Template'!#REF!</f>
        <v>#REF!</v>
      </c>
      <c r="U871" s="1805" t="e">
        <f>'Notes- SK Template'!#REF!</f>
        <v>#REF!</v>
      </c>
      <c r="V871" s="1805">
        <f>'Notes- SK Template'!V884</f>
        <v>0</v>
      </c>
      <c r="W871" s="1805" t="e">
        <f>'Notes- SK Template'!#REF!</f>
        <v>#REF!</v>
      </c>
      <c r="X871" s="1805" t="e">
        <f>'Notes- SK Template'!#REF!</f>
        <v>#REF!</v>
      </c>
      <c r="Y871" s="1805" t="e">
        <f>'Notes- SK Template'!#REF!</f>
        <v>#REF!</v>
      </c>
      <c r="Z871" s="1805">
        <f>'Notes- SK Template'!Z884</f>
        <v>0</v>
      </c>
      <c r="AA871" s="1805" t="e">
        <f>'Notes- SK Template'!#REF!</f>
        <v>#REF!</v>
      </c>
      <c r="AB871" s="1805" t="e">
        <f>'Notes- SK Template'!#REF!</f>
        <v>#REF!</v>
      </c>
      <c r="AC871" s="1821" t="e">
        <f>'Notes- SK Template'!#REF!</f>
        <v>#REF!</v>
      </c>
      <c r="AD871" s="1794">
        <f>'Notes- SK Template'!AD884</f>
        <v>0</v>
      </c>
      <c r="AE871" s="1794" t="e">
        <f>'Notes- SK Template'!#REF!</f>
        <v>#REF!</v>
      </c>
      <c r="AF871" s="1794" t="e">
        <f>'Notes- SK Template'!#REF!</f>
        <v>#REF!</v>
      </c>
      <c r="AG871" s="1794" t="e">
        <f>'Notes- SK Template'!#REF!</f>
        <v>#REF!</v>
      </c>
    </row>
    <row r="872" spans="4:33" ht="14.25" customHeight="1">
      <c r="D872" s="1822" t="s">
        <v>1993</v>
      </c>
      <c r="E872" s="1822"/>
      <c r="F872" s="1822"/>
      <c r="G872" s="1822"/>
      <c r="H872" s="1822"/>
      <c r="I872" s="1822"/>
      <c r="J872" s="1822"/>
      <c r="K872" s="1822"/>
      <c r="L872" s="1822"/>
      <c r="M872" s="1822"/>
      <c r="N872" s="1967">
        <f>'Notes- SK Template'!N885</f>
        <v>159575</v>
      </c>
      <c r="O872" s="1967" t="e">
        <f>'Notes- SK Template'!#REF!</f>
        <v>#REF!</v>
      </c>
      <c r="P872" s="1967" t="e">
        <f>'Notes- SK Template'!#REF!</f>
        <v>#REF!</v>
      </c>
      <c r="Q872" s="1967" t="e">
        <f>'Notes- SK Template'!#REF!</f>
        <v>#REF!</v>
      </c>
      <c r="R872" s="1804">
        <f>'Notes- SK Template'!R885</f>
        <v>392434</v>
      </c>
      <c r="S872" s="1805" t="e">
        <f>'Notes- SK Template'!#REF!</f>
        <v>#REF!</v>
      </c>
      <c r="T872" s="1805" t="e">
        <f>'Notes- SK Template'!#REF!</f>
        <v>#REF!</v>
      </c>
      <c r="U872" s="1805" t="e">
        <f>'Notes- SK Template'!#REF!</f>
        <v>#REF!</v>
      </c>
      <c r="V872" s="1805">
        <f>'Notes- SK Template'!V885</f>
        <v>0</v>
      </c>
      <c r="W872" s="1805" t="e">
        <f>'Notes- SK Template'!#REF!</f>
        <v>#REF!</v>
      </c>
      <c r="X872" s="1805" t="e">
        <f>'Notes- SK Template'!#REF!</f>
        <v>#REF!</v>
      </c>
      <c r="Y872" s="1805" t="e">
        <f>'Notes- SK Template'!#REF!</f>
        <v>#REF!</v>
      </c>
      <c r="Z872" s="1805">
        <f>'Notes- SK Template'!Z885</f>
        <v>-159575</v>
      </c>
      <c r="AA872" s="1805" t="e">
        <f>'Notes- SK Template'!#REF!</f>
        <v>#REF!</v>
      </c>
      <c r="AB872" s="1805" t="e">
        <f>'Notes- SK Template'!#REF!</f>
        <v>#REF!</v>
      </c>
      <c r="AC872" s="1821" t="e">
        <f>'Notes- SK Template'!#REF!</f>
        <v>#REF!</v>
      </c>
      <c r="AD872" s="1794">
        <f>'Notes- SK Template'!AD885</f>
        <v>392434</v>
      </c>
      <c r="AE872" s="1794" t="e">
        <f>'Notes- SK Template'!#REF!</f>
        <v>#REF!</v>
      </c>
      <c r="AF872" s="1794" t="e">
        <f>'Notes- SK Template'!#REF!</f>
        <v>#REF!</v>
      </c>
      <c r="AG872" s="1794" t="e">
        <f>'Notes- SK Template'!#REF!</f>
        <v>#REF!</v>
      </c>
    </row>
    <row r="873" spans="4:33" ht="25.5" customHeight="1" thickBot="1">
      <c r="D873" s="2572" t="s">
        <v>2959</v>
      </c>
      <c r="E873" s="2572"/>
      <c r="F873" s="2572"/>
      <c r="G873" s="2572"/>
      <c r="H873" s="2572"/>
      <c r="I873" s="2572"/>
      <c r="J873" s="2572"/>
      <c r="K873" s="2572"/>
      <c r="L873" s="2572"/>
      <c r="M873" s="2572"/>
      <c r="N873" s="2573">
        <f>'Notes- SK Template'!N886</f>
        <v>3192338</v>
      </c>
      <c r="O873" s="2573" t="e">
        <f>'Notes- SK Template'!#REF!</f>
        <v>#REF!</v>
      </c>
      <c r="P873" s="2573" t="e">
        <f>'Notes- SK Template'!#REF!</f>
        <v>#REF!</v>
      </c>
      <c r="Q873" s="2573" t="e">
        <f>'Notes- SK Template'!#REF!</f>
        <v>#REF!</v>
      </c>
      <c r="R873" s="2574">
        <f>'Notes- SK Template'!R886</f>
        <v>392434</v>
      </c>
      <c r="S873" s="2575" t="e">
        <f>'Notes- SK Template'!#REF!</f>
        <v>#REF!</v>
      </c>
      <c r="T873" s="2575" t="e">
        <f>'Notes- SK Template'!#REF!</f>
        <v>#REF!</v>
      </c>
      <c r="U873" s="2575" t="e">
        <f>'Notes- SK Template'!#REF!</f>
        <v>#REF!</v>
      </c>
      <c r="V873" s="2575">
        <f>'Notes- SK Template'!V886</f>
        <v>-411359</v>
      </c>
      <c r="W873" s="2575" t="e">
        <f>'Notes- SK Template'!#REF!</f>
        <v>#REF!</v>
      </c>
      <c r="X873" s="2575" t="e">
        <f>'Notes- SK Template'!#REF!</f>
        <v>#REF!</v>
      </c>
      <c r="Y873" s="2575" t="e">
        <f>'Notes- SK Template'!#REF!</f>
        <v>#REF!</v>
      </c>
      <c r="Z873" s="2575">
        <f>'Notes- SK Template'!Z886</f>
        <v>0</v>
      </c>
      <c r="AA873" s="2575" t="e">
        <f>'Notes- SK Template'!#REF!</f>
        <v>#REF!</v>
      </c>
      <c r="AB873" s="2575" t="e">
        <f>'Notes- SK Template'!#REF!</f>
        <v>#REF!</v>
      </c>
      <c r="AC873" s="2576" t="e">
        <f>'Notes- SK Template'!#REF!</f>
        <v>#REF!</v>
      </c>
      <c r="AD873" s="2577">
        <f>'Notes- SK Template'!AD886</f>
        <v>3173413</v>
      </c>
      <c r="AE873" s="2577" t="e">
        <f>'Notes- SK Template'!#REF!</f>
        <v>#REF!</v>
      </c>
      <c r="AF873" s="2577" t="e">
        <f>'Notes- SK Template'!#REF!</f>
        <v>#REF!</v>
      </c>
      <c r="AG873" s="2577" t="e">
        <f>'Notes- SK Template'!#REF!</f>
        <v>#REF!</v>
      </c>
    </row>
    <row r="875" spans="4:33" ht="14.25" customHeight="1" thickBot="1"/>
    <row r="876" spans="4:33" ht="14.25" customHeight="1" thickBot="1">
      <c r="D876" s="1921" t="s">
        <v>2020</v>
      </c>
      <c r="E876" s="1921"/>
      <c r="F876" s="1921"/>
      <c r="G876" s="1921"/>
      <c r="H876" s="1921"/>
      <c r="I876" s="1921"/>
      <c r="J876" s="1921"/>
      <c r="K876" s="1921"/>
      <c r="L876" s="1921"/>
      <c r="M876" s="1921"/>
      <c r="N876" s="1921" t="s">
        <v>1798</v>
      </c>
      <c r="O876" s="1921"/>
      <c r="P876" s="1921"/>
      <c r="Q876" s="1921"/>
      <c r="R876" s="1921"/>
      <c r="S876" s="1921"/>
      <c r="T876" s="1921"/>
      <c r="U876" s="1921"/>
      <c r="V876" s="1921"/>
      <c r="W876" s="1921"/>
      <c r="X876" s="1921"/>
      <c r="Y876" s="1921"/>
      <c r="Z876" s="1921"/>
      <c r="AA876" s="1921"/>
      <c r="AB876" s="1921"/>
      <c r="AC876" s="1921"/>
      <c r="AD876" s="1921"/>
      <c r="AE876" s="1921"/>
      <c r="AF876" s="1921"/>
      <c r="AG876" s="1921"/>
    </row>
    <row r="877" spans="4:33" ht="19.5" customHeight="1" thickBot="1">
      <c r="D877" s="1921"/>
      <c r="E877" s="1921"/>
      <c r="F877" s="1921"/>
      <c r="G877" s="1921"/>
      <c r="H877" s="1921"/>
      <c r="I877" s="1921"/>
      <c r="J877" s="1921"/>
      <c r="K877" s="1921"/>
      <c r="L877" s="1921"/>
      <c r="M877" s="1921"/>
      <c r="N877" s="1851" t="s">
        <v>1790</v>
      </c>
      <c r="O877" s="1851"/>
      <c r="P877" s="1851"/>
      <c r="Q877" s="1851"/>
      <c r="R877" s="1851" t="s">
        <v>1791</v>
      </c>
      <c r="S877" s="1851"/>
      <c r="T877" s="1851"/>
      <c r="U877" s="1851"/>
      <c r="V877" s="1851" t="s">
        <v>1792</v>
      </c>
      <c r="W877" s="1851"/>
      <c r="X877" s="1851"/>
      <c r="Y877" s="1851"/>
      <c r="Z877" s="1851" t="s">
        <v>1793</v>
      </c>
      <c r="AA877" s="1851"/>
      <c r="AB877" s="1851"/>
      <c r="AC877" s="1851"/>
      <c r="AD877" s="1851" t="s">
        <v>1794</v>
      </c>
      <c r="AE877" s="1851"/>
      <c r="AF877" s="1851"/>
      <c r="AG877" s="1851"/>
    </row>
    <row r="878" spans="4:33" ht="14.25" customHeight="1">
      <c r="D878" s="2129" t="s">
        <v>1984</v>
      </c>
      <c r="E878" s="2129"/>
      <c r="F878" s="2129"/>
      <c r="G878" s="2129"/>
      <c r="H878" s="2129"/>
      <c r="I878" s="2129"/>
      <c r="J878" s="2129"/>
      <c r="K878" s="2129"/>
      <c r="L878" s="2129"/>
      <c r="M878" s="2129"/>
      <c r="N878" s="2578">
        <f>'Notes- SK Template'!N891</f>
        <v>2506390</v>
      </c>
      <c r="O878" s="2578">
        <f>'Notes- SK Template'!O892</f>
        <v>0</v>
      </c>
      <c r="P878" s="2578">
        <f>'Notes- SK Template'!P892</f>
        <v>0</v>
      </c>
      <c r="Q878" s="2578">
        <f>'Notes- SK Template'!Q892</f>
        <v>0</v>
      </c>
      <c r="R878" s="2074">
        <f>'Notes- SK Template'!R891</f>
        <v>0</v>
      </c>
      <c r="S878" s="2075">
        <f>'Notes- SK Template'!S892</f>
        <v>0</v>
      </c>
      <c r="T878" s="2075">
        <f>'Notes- SK Template'!T892</f>
        <v>0</v>
      </c>
      <c r="U878" s="2075">
        <f>'Notes- SK Template'!U892</f>
        <v>0</v>
      </c>
      <c r="V878" s="2075">
        <f>'Notes- SK Template'!V891</f>
        <v>0</v>
      </c>
      <c r="W878" s="2075">
        <f>'Notes- SK Template'!W892</f>
        <v>0</v>
      </c>
      <c r="X878" s="2075">
        <f>'Notes- SK Template'!X892</f>
        <v>0</v>
      </c>
      <c r="Y878" s="2075">
        <f>'Notes- SK Template'!Y892</f>
        <v>0</v>
      </c>
      <c r="Z878" s="2075">
        <f>'Notes- SK Template'!Z891</f>
        <v>0</v>
      </c>
      <c r="AA878" s="2075">
        <f>'Notes- SK Template'!AA892</f>
        <v>0</v>
      </c>
      <c r="AB878" s="2075">
        <f>'Notes- SK Template'!AB892</f>
        <v>0</v>
      </c>
      <c r="AC878" s="2579">
        <f>'Notes- SK Template'!AC892</f>
        <v>0</v>
      </c>
      <c r="AD878" s="2578">
        <f>'Notes- SK Template'!AD891</f>
        <v>2506390</v>
      </c>
      <c r="AE878" s="2578">
        <f>'Notes- SK Template'!AE892</f>
        <v>0</v>
      </c>
      <c r="AF878" s="2578">
        <f>'Notes- SK Template'!AF892</f>
        <v>0</v>
      </c>
      <c r="AG878" s="2578">
        <f>'Notes- SK Template'!AG892</f>
        <v>0</v>
      </c>
    </row>
    <row r="879" spans="4:33" ht="14.25" customHeight="1">
      <c r="D879" s="1822" t="s">
        <v>1985</v>
      </c>
      <c r="E879" s="1822"/>
      <c r="F879" s="1822"/>
      <c r="G879" s="1822"/>
      <c r="H879" s="1822"/>
      <c r="I879" s="1822"/>
      <c r="J879" s="1822"/>
      <c r="K879" s="1822"/>
      <c r="L879" s="1822"/>
      <c r="M879" s="1822"/>
      <c r="N879" s="1967">
        <f>'Notes- SK Template'!N892</f>
        <v>0</v>
      </c>
      <c r="O879" s="1967">
        <f>'Notes- SK Template'!O893</f>
        <v>0</v>
      </c>
      <c r="P879" s="1967">
        <f>'Notes- SK Template'!P893</f>
        <v>0</v>
      </c>
      <c r="Q879" s="1967">
        <f>'Notes- SK Template'!Q893</f>
        <v>0</v>
      </c>
      <c r="R879" s="1804">
        <f>'Notes- SK Template'!R892</f>
        <v>0</v>
      </c>
      <c r="S879" s="1805">
        <f>'Notes- SK Template'!S893</f>
        <v>0</v>
      </c>
      <c r="T879" s="1805">
        <f>'Notes- SK Template'!T893</f>
        <v>0</v>
      </c>
      <c r="U879" s="1805">
        <f>'Notes- SK Template'!U893</f>
        <v>0</v>
      </c>
      <c r="V879" s="1805">
        <f>'Notes- SK Template'!V892</f>
        <v>0</v>
      </c>
      <c r="W879" s="1805">
        <f>'Notes- SK Template'!W893</f>
        <v>0</v>
      </c>
      <c r="X879" s="1805">
        <f>'Notes- SK Template'!X893</f>
        <v>0</v>
      </c>
      <c r="Y879" s="1805">
        <f>'Notes- SK Template'!Y893</f>
        <v>0</v>
      </c>
      <c r="Z879" s="1805">
        <f>'Notes- SK Template'!Z892</f>
        <v>0</v>
      </c>
      <c r="AA879" s="1805">
        <f>'Notes- SK Template'!AA893</f>
        <v>0</v>
      </c>
      <c r="AB879" s="1805">
        <f>'Notes- SK Template'!AB893</f>
        <v>0</v>
      </c>
      <c r="AC879" s="1821">
        <f>'Notes- SK Template'!AC893</f>
        <v>0</v>
      </c>
      <c r="AD879" s="1794">
        <f>'Notes- SK Template'!AD892</f>
        <v>0</v>
      </c>
      <c r="AE879" s="1794">
        <f>'Notes- SK Template'!AE893</f>
        <v>0</v>
      </c>
      <c r="AF879" s="1794">
        <f>'Notes- SK Template'!AF893</f>
        <v>0</v>
      </c>
      <c r="AG879" s="1794">
        <f>'Notes- SK Template'!AG893</f>
        <v>0</v>
      </c>
    </row>
    <row r="880" spans="4:33" ht="14.25" customHeight="1">
      <c r="D880" s="1822" t="s">
        <v>1986</v>
      </c>
      <c r="E880" s="1822"/>
      <c r="F880" s="1822"/>
      <c r="G880" s="1822"/>
      <c r="H880" s="1822"/>
      <c r="I880" s="1822"/>
      <c r="J880" s="1822"/>
      <c r="K880" s="1822"/>
      <c r="L880" s="1822"/>
      <c r="M880" s="1822"/>
      <c r="N880" s="1967">
        <f>'Notes- SK Template'!N893</f>
        <v>0</v>
      </c>
      <c r="O880" s="1967">
        <f>'Notes- SK Template'!O894</f>
        <v>0</v>
      </c>
      <c r="P880" s="1967">
        <f>'Notes- SK Template'!P894</f>
        <v>0</v>
      </c>
      <c r="Q880" s="1967">
        <f>'Notes- SK Template'!Q894</f>
        <v>0</v>
      </c>
      <c r="R880" s="1804">
        <f>'Notes- SK Template'!R893</f>
        <v>0</v>
      </c>
      <c r="S880" s="1805">
        <f>'Notes- SK Template'!S894</f>
        <v>0</v>
      </c>
      <c r="T880" s="1805">
        <f>'Notes- SK Template'!T894</f>
        <v>0</v>
      </c>
      <c r="U880" s="1805">
        <f>'Notes- SK Template'!U894</f>
        <v>0</v>
      </c>
      <c r="V880" s="1805">
        <f>'Notes- SK Template'!V893</f>
        <v>0</v>
      </c>
      <c r="W880" s="1805">
        <f>'Notes- SK Template'!W894</f>
        <v>0</v>
      </c>
      <c r="X880" s="1805">
        <f>'Notes- SK Template'!X894</f>
        <v>0</v>
      </c>
      <c r="Y880" s="1805">
        <f>'Notes- SK Template'!Y894</f>
        <v>0</v>
      </c>
      <c r="Z880" s="1805">
        <f>'Notes- SK Template'!Z893</f>
        <v>0</v>
      </c>
      <c r="AA880" s="1805">
        <f>'Notes- SK Template'!AA894</f>
        <v>0</v>
      </c>
      <c r="AB880" s="1805">
        <f>'Notes- SK Template'!AB894</f>
        <v>0</v>
      </c>
      <c r="AC880" s="1821">
        <f>'Notes- SK Template'!AC894</f>
        <v>0</v>
      </c>
      <c r="AD880" s="1794">
        <f>'Notes- SK Template'!AD893</f>
        <v>0</v>
      </c>
      <c r="AE880" s="1794">
        <f>'Notes- SK Template'!AE894</f>
        <v>0</v>
      </c>
      <c r="AF880" s="1794">
        <f>'Notes- SK Template'!AF894</f>
        <v>0</v>
      </c>
      <c r="AG880" s="1794">
        <f>'Notes- SK Template'!AG894</f>
        <v>0</v>
      </c>
    </row>
    <row r="881" spans="4:33" ht="14.25" customHeight="1">
      <c r="D881" s="1822" t="s">
        <v>1987</v>
      </c>
      <c r="E881" s="1822"/>
      <c r="F881" s="1822"/>
      <c r="G881" s="1822"/>
      <c r="H881" s="1822"/>
      <c r="I881" s="1822"/>
      <c r="J881" s="1822"/>
      <c r="K881" s="1822"/>
      <c r="L881" s="1822"/>
      <c r="M881" s="1822"/>
      <c r="N881" s="1967">
        <f>'Notes- SK Template'!N894</f>
        <v>0</v>
      </c>
      <c r="O881" s="1967">
        <f>'Notes- SK Template'!O895</f>
        <v>0</v>
      </c>
      <c r="P881" s="1967">
        <f>'Notes- SK Template'!P895</f>
        <v>0</v>
      </c>
      <c r="Q881" s="1967">
        <f>'Notes- SK Template'!Q895</f>
        <v>0</v>
      </c>
      <c r="R881" s="1804">
        <f>'Notes- SK Template'!R894</f>
        <v>0</v>
      </c>
      <c r="S881" s="1805">
        <f>'Notes- SK Template'!S895</f>
        <v>0</v>
      </c>
      <c r="T881" s="1805">
        <f>'Notes- SK Template'!T895</f>
        <v>0</v>
      </c>
      <c r="U881" s="1805">
        <f>'Notes- SK Template'!U895</f>
        <v>0</v>
      </c>
      <c r="V881" s="1805">
        <f>'Notes- SK Template'!V894</f>
        <v>0</v>
      </c>
      <c r="W881" s="1805">
        <f>'Notes- SK Template'!W895</f>
        <v>0</v>
      </c>
      <c r="X881" s="1805">
        <f>'Notes- SK Template'!X895</f>
        <v>0</v>
      </c>
      <c r="Y881" s="1805">
        <f>'Notes- SK Template'!Y895</f>
        <v>0</v>
      </c>
      <c r="Z881" s="1805">
        <f>'Notes- SK Template'!Z894</f>
        <v>0</v>
      </c>
      <c r="AA881" s="1805">
        <f>'Notes- SK Template'!AA895</f>
        <v>0</v>
      </c>
      <c r="AB881" s="1805">
        <f>'Notes- SK Template'!AB895</f>
        <v>0</v>
      </c>
      <c r="AC881" s="1821">
        <f>'Notes- SK Template'!AC895</f>
        <v>0</v>
      </c>
      <c r="AD881" s="1794">
        <f>'Notes- SK Template'!AD894</f>
        <v>0</v>
      </c>
      <c r="AE881" s="1794">
        <f>'Notes- SK Template'!AE895</f>
        <v>0</v>
      </c>
      <c r="AF881" s="1794">
        <f>'Notes- SK Template'!AF895</f>
        <v>0</v>
      </c>
      <c r="AG881" s="1794">
        <f>'Notes- SK Template'!AG895</f>
        <v>0</v>
      </c>
    </row>
    <row r="882" spans="4:33" ht="14.25" customHeight="1">
      <c r="D882" s="1822" t="s">
        <v>1988</v>
      </c>
      <c r="E882" s="1822"/>
      <c r="F882" s="1822"/>
      <c r="G882" s="1822"/>
      <c r="H882" s="1822"/>
      <c r="I882" s="1822"/>
      <c r="J882" s="1822"/>
      <c r="K882" s="1822"/>
      <c r="L882" s="1822"/>
      <c r="M882" s="1822"/>
      <c r="N882" s="1791">
        <f>'Notes- SK Template'!N895</f>
        <v>0</v>
      </c>
      <c r="O882" s="1791">
        <f>'Notes- SK Template'!O896</f>
        <v>0</v>
      </c>
      <c r="P882" s="1791">
        <f>'Notes- SK Template'!P896</f>
        <v>0</v>
      </c>
      <c r="Q882" s="1791">
        <f>'Notes- SK Template'!Q896</f>
        <v>0</v>
      </c>
      <c r="R882" s="1804">
        <f>'Notes- SK Template'!R895</f>
        <v>0</v>
      </c>
      <c r="S882" s="1805">
        <f>'Notes- SK Template'!S896</f>
        <v>0</v>
      </c>
      <c r="T882" s="1805">
        <f>'Notes- SK Template'!T896</f>
        <v>0</v>
      </c>
      <c r="U882" s="1805">
        <f>'Notes- SK Template'!U896</f>
        <v>0</v>
      </c>
      <c r="V882" s="1805">
        <f>'Notes- SK Template'!V895</f>
        <v>0</v>
      </c>
      <c r="W882" s="1805">
        <f>'Notes- SK Template'!W896</f>
        <v>0</v>
      </c>
      <c r="X882" s="1805">
        <f>'Notes- SK Template'!X896</f>
        <v>0</v>
      </c>
      <c r="Y882" s="1805">
        <f>'Notes- SK Template'!Y896</f>
        <v>0</v>
      </c>
      <c r="Z882" s="1805">
        <f>'Notes- SK Template'!Z895</f>
        <v>0</v>
      </c>
      <c r="AA882" s="1805">
        <f>'Notes- SK Template'!AA896</f>
        <v>0</v>
      </c>
      <c r="AB882" s="1805">
        <f>'Notes- SK Template'!AB896</f>
        <v>0</v>
      </c>
      <c r="AC882" s="1821">
        <f>'Notes- SK Template'!AC896</f>
        <v>0</v>
      </c>
      <c r="AD882" s="1794">
        <f>'Notes- SK Template'!AD895</f>
        <v>0</v>
      </c>
      <c r="AE882" s="1794">
        <f>'Notes- SK Template'!AE896</f>
        <v>0</v>
      </c>
      <c r="AF882" s="1794">
        <f>'Notes- SK Template'!AF896</f>
        <v>0</v>
      </c>
      <c r="AG882" s="1794">
        <f>'Notes- SK Template'!AG896</f>
        <v>0</v>
      </c>
    </row>
    <row r="883" spans="4:33" ht="23.25" customHeight="1">
      <c r="D883" s="1822" t="s">
        <v>1989</v>
      </c>
      <c r="E883" s="1822"/>
      <c r="F883" s="1822"/>
      <c r="G883" s="1822"/>
      <c r="H883" s="1822"/>
      <c r="I883" s="1822"/>
      <c r="J883" s="1822"/>
      <c r="K883" s="1822"/>
      <c r="L883" s="1822"/>
      <c r="M883" s="1822"/>
      <c r="N883" s="1967">
        <f>'Notes- SK Template'!N896</f>
        <v>87866</v>
      </c>
      <c r="O883" s="1967">
        <f>'Notes- SK Template'!O897</f>
        <v>0</v>
      </c>
      <c r="P883" s="1967">
        <f>'Notes- SK Template'!P897</f>
        <v>0</v>
      </c>
      <c r="Q883" s="1967">
        <f>'Notes- SK Template'!Q897</f>
        <v>0</v>
      </c>
      <c r="R883" s="1804">
        <f>'Notes- SK Template'!R896</f>
        <v>0</v>
      </c>
      <c r="S883" s="1805">
        <f>'Notes- SK Template'!S897</f>
        <v>0</v>
      </c>
      <c r="T883" s="1805">
        <f>'Notes- SK Template'!T897</f>
        <v>0</v>
      </c>
      <c r="U883" s="1805">
        <f>'Notes- SK Template'!U897</f>
        <v>0</v>
      </c>
      <c r="V883" s="1805">
        <f>'Notes- SK Template'!V896</f>
        <v>0</v>
      </c>
      <c r="W883" s="1805">
        <f>'Notes- SK Template'!W897</f>
        <v>0</v>
      </c>
      <c r="X883" s="1805">
        <f>'Notes- SK Template'!X897</f>
        <v>0</v>
      </c>
      <c r="Y883" s="1805">
        <f>'Notes- SK Template'!Y897</f>
        <v>0</v>
      </c>
      <c r="Z883" s="1805">
        <f>'Notes- SK Template'!Z896</f>
        <v>19705</v>
      </c>
      <c r="AA883" s="1805">
        <f>'Notes- SK Template'!AA897</f>
        <v>0</v>
      </c>
      <c r="AB883" s="1805">
        <f>'Notes- SK Template'!AB897</f>
        <v>0</v>
      </c>
      <c r="AC883" s="1821">
        <f>'Notes- SK Template'!AC897</f>
        <v>0</v>
      </c>
      <c r="AD883" s="1794">
        <f>'Notes- SK Template'!AD896</f>
        <v>107571</v>
      </c>
      <c r="AE883" s="1794">
        <f>'Notes- SK Template'!AE897</f>
        <v>0</v>
      </c>
      <c r="AF883" s="1794">
        <f>'Notes- SK Template'!AF897</f>
        <v>0</v>
      </c>
      <c r="AG883" s="1794">
        <f>'Notes- SK Template'!AG897</f>
        <v>0</v>
      </c>
    </row>
    <row r="884" spans="4:33" ht="24" customHeight="1">
      <c r="D884" s="1867" t="s">
        <v>2954</v>
      </c>
      <c r="E884" s="1822"/>
      <c r="F884" s="1822"/>
      <c r="G884" s="1822"/>
      <c r="H884" s="1822"/>
      <c r="I884" s="1822"/>
      <c r="J884" s="1822"/>
      <c r="K884" s="1822"/>
      <c r="L884" s="1822"/>
      <c r="M884" s="1822"/>
      <c r="N884" s="1967">
        <f>'Notes- SK Template'!N897</f>
        <v>0</v>
      </c>
      <c r="O884" s="1967">
        <f>'Notes- SK Template'!O898</f>
        <v>0</v>
      </c>
      <c r="P884" s="1967">
        <f>'Notes- SK Template'!P898</f>
        <v>0</v>
      </c>
      <c r="Q884" s="1967">
        <f>'Notes- SK Template'!Q898</f>
        <v>0</v>
      </c>
      <c r="R884" s="1804">
        <f>'Notes- SK Template'!R897</f>
        <v>0</v>
      </c>
      <c r="S884" s="1805">
        <f>'Notes- SK Template'!S898</f>
        <v>0</v>
      </c>
      <c r="T884" s="1805">
        <f>'Notes- SK Template'!T898</f>
        <v>0</v>
      </c>
      <c r="U884" s="1805">
        <f>'Notes- SK Template'!U898</f>
        <v>0</v>
      </c>
      <c r="V884" s="1805">
        <f>'Notes- SK Template'!V897</f>
        <v>0</v>
      </c>
      <c r="W884" s="1805">
        <f>'Notes- SK Template'!W898</f>
        <v>0</v>
      </c>
      <c r="X884" s="1805">
        <f>'Notes- SK Template'!X898</f>
        <v>0</v>
      </c>
      <c r="Y884" s="1805">
        <f>'Notes- SK Template'!Y898</f>
        <v>0</v>
      </c>
      <c r="Z884" s="1805">
        <f>'Notes- SK Template'!Z897</f>
        <v>0</v>
      </c>
      <c r="AA884" s="1805">
        <f>'Notes- SK Template'!AA898</f>
        <v>0</v>
      </c>
      <c r="AB884" s="1805">
        <f>'Notes- SK Template'!AB898</f>
        <v>0</v>
      </c>
      <c r="AC884" s="1821">
        <f>'Notes- SK Template'!AC898</f>
        <v>0</v>
      </c>
      <c r="AD884" s="1794">
        <f>'Notes- SK Template'!AD897</f>
        <v>0</v>
      </c>
      <c r="AE884" s="1794">
        <f>'Notes- SK Template'!AE898</f>
        <v>0</v>
      </c>
      <c r="AF884" s="1794">
        <f>'Notes- SK Template'!AF898</f>
        <v>0</v>
      </c>
      <c r="AG884" s="1794">
        <f>'Notes- SK Template'!AG898</f>
        <v>0</v>
      </c>
    </row>
    <row r="885" spans="4:33" ht="16.75" customHeight="1">
      <c r="D885" s="1867" t="s">
        <v>2955</v>
      </c>
      <c r="E885" s="1822"/>
      <c r="F885" s="1822"/>
      <c r="G885" s="1822"/>
      <c r="H885" s="1822"/>
      <c r="I885" s="1822"/>
      <c r="J885" s="1822"/>
      <c r="K885" s="1822"/>
      <c r="L885" s="1822"/>
      <c r="M885" s="1822"/>
      <c r="N885" s="1967">
        <f>'Notes- SK Template'!N898</f>
        <v>0</v>
      </c>
      <c r="O885" s="1967">
        <f>'Notes- SK Template'!O899</f>
        <v>0</v>
      </c>
      <c r="P885" s="1967">
        <f>'Notes- SK Template'!P899</f>
        <v>0</v>
      </c>
      <c r="Q885" s="1967">
        <f>'Notes- SK Template'!Q899</f>
        <v>0</v>
      </c>
      <c r="R885" s="1804">
        <f>'Notes- SK Template'!R898</f>
        <v>0</v>
      </c>
      <c r="S885" s="1805">
        <f>'Notes- SK Template'!S899</f>
        <v>0</v>
      </c>
      <c r="T885" s="1805">
        <f>'Notes- SK Template'!T899</f>
        <v>0</v>
      </c>
      <c r="U885" s="1805">
        <f>'Notes- SK Template'!U899</f>
        <v>0</v>
      </c>
      <c r="V885" s="1805">
        <f>'Notes- SK Template'!V898</f>
        <v>0</v>
      </c>
      <c r="W885" s="1805">
        <f>'Notes- SK Template'!W899</f>
        <v>0</v>
      </c>
      <c r="X885" s="1805">
        <f>'Notes- SK Template'!X899</f>
        <v>0</v>
      </c>
      <c r="Y885" s="1805">
        <f>'Notes- SK Template'!Y899</f>
        <v>0</v>
      </c>
      <c r="Z885" s="1805">
        <f>'Notes- SK Template'!Z898</f>
        <v>0</v>
      </c>
      <c r="AA885" s="1805">
        <f>'Notes- SK Template'!AA899</f>
        <v>0</v>
      </c>
      <c r="AB885" s="1805">
        <f>'Notes- SK Template'!AB899</f>
        <v>0</v>
      </c>
      <c r="AC885" s="1821">
        <f>'Notes- SK Template'!AC899</f>
        <v>0</v>
      </c>
      <c r="AD885" s="1794">
        <f>'Notes- SK Template'!AD898</f>
        <v>0</v>
      </c>
      <c r="AE885" s="1794">
        <f>'Notes- SK Template'!AE899</f>
        <v>0</v>
      </c>
      <c r="AF885" s="1794">
        <f>'Notes- SK Template'!AF899</f>
        <v>0</v>
      </c>
      <c r="AG885" s="1794">
        <f>'Notes- SK Template'!AG899</f>
        <v>0</v>
      </c>
    </row>
    <row r="886" spans="4:33" ht="14.25" customHeight="1">
      <c r="D886" s="1867" t="s">
        <v>2956</v>
      </c>
      <c r="E886" s="1822"/>
      <c r="F886" s="1822"/>
      <c r="G886" s="1822"/>
      <c r="H886" s="1822"/>
      <c r="I886" s="1822"/>
      <c r="J886" s="1822"/>
      <c r="K886" s="1822"/>
      <c r="L886" s="1822"/>
      <c r="M886" s="1822"/>
      <c r="N886" s="1967">
        <f>'Notes- SK Template'!N899</f>
        <v>0</v>
      </c>
      <c r="O886" s="1967">
        <f>'Notes- SK Template'!O900</f>
        <v>0</v>
      </c>
      <c r="P886" s="1967">
        <f>'Notes- SK Template'!P900</f>
        <v>0</v>
      </c>
      <c r="Q886" s="1967">
        <f>'Notes- SK Template'!Q900</f>
        <v>0</v>
      </c>
      <c r="R886" s="1804">
        <f>'Notes- SK Template'!R899</f>
        <v>0</v>
      </c>
      <c r="S886" s="1805">
        <f>'Notes- SK Template'!S900</f>
        <v>0</v>
      </c>
      <c r="T886" s="1805">
        <f>'Notes- SK Template'!T900</f>
        <v>0</v>
      </c>
      <c r="U886" s="1805">
        <f>'Notes- SK Template'!U900</f>
        <v>0</v>
      </c>
      <c r="V886" s="1805">
        <f>'Notes- SK Template'!V899</f>
        <v>0</v>
      </c>
      <c r="W886" s="1805">
        <f>'Notes- SK Template'!W900</f>
        <v>0</v>
      </c>
      <c r="X886" s="1805">
        <f>'Notes- SK Template'!X900</f>
        <v>0</v>
      </c>
      <c r="Y886" s="1805">
        <f>'Notes- SK Template'!Y900</f>
        <v>0</v>
      </c>
      <c r="Z886" s="1805">
        <f>'Notes- SK Template'!Z899</f>
        <v>0</v>
      </c>
      <c r="AA886" s="1805">
        <f>'Notes- SK Template'!AA900</f>
        <v>0</v>
      </c>
      <c r="AB886" s="1805">
        <f>'Notes- SK Template'!AB900</f>
        <v>0</v>
      </c>
      <c r="AC886" s="1821">
        <f>'Notes- SK Template'!AC900</f>
        <v>0</v>
      </c>
      <c r="AD886" s="1794">
        <f>'Notes- SK Template'!AD899</f>
        <v>0</v>
      </c>
      <c r="AE886" s="1794">
        <f>'Notes- SK Template'!AE900</f>
        <v>0</v>
      </c>
      <c r="AF886" s="1794">
        <f>'Notes- SK Template'!AF900</f>
        <v>0</v>
      </c>
      <c r="AG886" s="1794">
        <f>'Notes- SK Template'!AG900</f>
        <v>0</v>
      </c>
    </row>
    <row r="887" spans="4:33" ht="26.25" customHeight="1">
      <c r="D887" s="1867" t="s">
        <v>2957</v>
      </c>
      <c r="E887" s="1822"/>
      <c r="F887" s="1822"/>
      <c r="G887" s="1822"/>
      <c r="H887" s="1822"/>
      <c r="I887" s="1822"/>
      <c r="J887" s="1822"/>
      <c r="K887" s="1822"/>
      <c r="L887" s="1822"/>
      <c r="M887" s="1822"/>
      <c r="N887" s="1967">
        <f>'Notes- SK Template'!N900</f>
        <v>0</v>
      </c>
      <c r="O887" s="1967">
        <f>'Notes- SK Template'!O901</f>
        <v>0</v>
      </c>
      <c r="P887" s="1967">
        <f>'Notes- SK Template'!P901</f>
        <v>0</v>
      </c>
      <c r="Q887" s="1967">
        <f>'Notes- SK Template'!Q901</f>
        <v>0</v>
      </c>
      <c r="R887" s="1804">
        <f>'Notes- SK Template'!R900</f>
        <v>0</v>
      </c>
      <c r="S887" s="1805">
        <f>'Notes- SK Template'!S901</f>
        <v>0</v>
      </c>
      <c r="T887" s="1805">
        <f>'Notes- SK Template'!T901</f>
        <v>0</v>
      </c>
      <c r="U887" s="1805">
        <f>'Notes- SK Template'!U901</f>
        <v>0</v>
      </c>
      <c r="V887" s="1805">
        <f>'Notes- SK Template'!V900</f>
        <v>0</v>
      </c>
      <c r="W887" s="1805">
        <f>'Notes- SK Template'!W901</f>
        <v>0</v>
      </c>
      <c r="X887" s="1805">
        <f>'Notes- SK Template'!X901</f>
        <v>0</v>
      </c>
      <c r="Y887" s="1805">
        <f>'Notes- SK Template'!Y901</f>
        <v>0</v>
      </c>
      <c r="Z887" s="1805">
        <f>'Notes- SK Template'!Z900</f>
        <v>0</v>
      </c>
      <c r="AA887" s="1805">
        <f>'Notes- SK Template'!AA901</f>
        <v>0</v>
      </c>
      <c r="AB887" s="1805">
        <f>'Notes- SK Template'!AB901</f>
        <v>0</v>
      </c>
      <c r="AC887" s="1821">
        <f>'Notes- SK Template'!AC901</f>
        <v>0</v>
      </c>
      <c r="AD887" s="1794">
        <f>'Notes- SK Template'!AD900</f>
        <v>0</v>
      </c>
      <c r="AE887" s="1794">
        <f>'Notes- SK Template'!AE901</f>
        <v>0</v>
      </c>
      <c r="AF887" s="1794">
        <f>'Notes- SK Template'!AF901</f>
        <v>0</v>
      </c>
      <c r="AG887" s="1794">
        <f>'Notes- SK Template'!AG901</f>
        <v>0</v>
      </c>
    </row>
    <row r="888" spans="4:33" ht="21" customHeight="1">
      <c r="D888" s="1867" t="s">
        <v>2958</v>
      </c>
      <c r="E888" s="1822"/>
      <c r="F888" s="1822"/>
      <c r="G888" s="1822"/>
      <c r="H888" s="1822"/>
      <c r="I888" s="1822"/>
      <c r="J888" s="1822"/>
      <c r="K888" s="1822"/>
      <c r="L888" s="1822"/>
      <c r="M888" s="1822"/>
      <c r="N888" s="1967">
        <f>'Notes- SK Template'!N901</f>
        <v>0</v>
      </c>
      <c r="O888" s="1967">
        <f>'Notes- SK Template'!O902</f>
        <v>0</v>
      </c>
      <c r="P888" s="1967">
        <f>'Notes- SK Template'!P902</f>
        <v>0</v>
      </c>
      <c r="Q888" s="1967">
        <f>'Notes- SK Template'!Q902</f>
        <v>0</v>
      </c>
      <c r="R888" s="1804">
        <f>'Notes- SK Template'!R901</f>
        <v>0</v>
      </c>
      <c r="S888" s="1805">
        <f>'Notes- SK Template'!S902</f>
        <v>0</v>
      </c>
      <c r="T888" s="1805">
        <f>'Notes- SK Template'!T902</f>
        <v>0</v>
      </c>
      <c r="U888" s="1805">
        <f>'Notes- SK Template'!U902</f>
        <v>0</v>
      </c>
      <c r="V888" s="1805">
        <f>'Notes- SK Template'!V901</f>
        <v>0</v>
      </c>
      <c r="W888" s="1805">
        <f>'Notes- SK Template'!W902</f>
        <v>0</v>
      </c>
      <c r="X888" s="1805">
        <f>'Notes- SK Template'!X902</f>
        <v>0</v>
      </c>
      <c r="Y888" s="1805">
        <f>'Notes- SK Template'!Y902</f>
        <v>0</v>
      </c>
      <c r="Z888" s="1805">
        <f>'Notes- SK Template'!Z901</f>
        <v>0</v>
      </c>
      <c r="AA888" s="1805">
        <f>'Notes- SK Template'!AA902</f>
        <v>0</v>
      </c>
      <c r="AB888" s="1805">
        <f>'Notes- SK Template'!AB902</f>
        <v>0</v>
      </c>
      <c r="AC888" s="1821">
        <f>'Notes- SK Template'!AC902</f>
        <v>0</v>
      </c>
      <c r="AD888" s="1794">
        <f>'Notes- SK Template'!AD901</f>
        <v>0</v>
      </c>
      <c r="AE888" s="1794">
        <f>'Notes- SK Template'!AE902</f>
        <v>0</v>
      </c>
      <c r="AF888" s="1794">
        <f>'Notes- SK Template'!AF902</f>
        <v>0</v>
      </c>
      <c r="AG888" s="1794">
        <f>'Notes- SK Template'!AG902</f>
        <v>0</v>
      </c>
    </row>
    <row r="889" spans="4:33" ht="24" customHeight="1">
      <c r="D889" s="1822" t="s">
        <v>1990</v>
      </c>
      <c r="E889" s="1822"/>
      <c r="F889" s="1822"/>
      <c r="G889" s="1822"/>
      <c r="H889" s="1822"/>
      <c r="I889" s="1822"/>
      <c r="J889" s="1822"/>
      <c r="K889" s="1822"/>
      <c r="L889" s="1822"/>
      <c r="M889" s="1822"/>
      <c r="N889" s="1967">
        <f>'Notes- SK Template'!N902</f>
        <v>0</v>
      </c>
      <c r="O889" s="1967">
        <f>'Notes- SK Template'!O903</f>
        <v>0</v>
      </c>
      <c r="P889" s="1967">
        <f>'Notes- SK Template'!P903</f>
        <v>0</v>
      </c>
      <c r="Q889" s="1967">
        <f>'Notes- SK Template'!Q903</f>
        <v>0</v>
      </c>
      <c r="R889" s="1804">
        <f>'Notes- SK Template'!R902</f>
        <v>0</v>
      </c>
      <c r="S889" s="1805">
        <f>'Notes- SK Template'!S903</f>
        <v>0</v>
      </c>
      <c r="T889" s="1805">
        <f>'Notes- SK Template'!T903</f>
        <v>0</v>
      </c>
      <c r="U889" s="1805">
        <f>'Notes- SK Template'!U903</f>
        <v>0</v>
      </c>
      <c r="V889" s="1805">
        <f>'Notes- SK Template'!V902</f>
        <v>0</v>
      </c>
      <c r="W889" s="1805">
        <f>'Notes- SK Template'!W903</f>
        <v>0</v>
      </c>
      <c r="X889" s="1805">
        <f>'Notes- SK Template'!X903</f>
        <v>0</v>
      </c>
      <c r="Y889" s="1805">
        <f>'Notes- SK Template'!Y903</f>
        <v>0</v>
      </c>
      <c r="Z889" s="1805">
        <f>'Notes- SK Template'!Z902</f>
        <v>0</v>
      </c>
      <c r="AA889" s="1805">
        <f>'Notes- SK Template'!AA903</f>
        <v>0</v>
      </c>
      <c r="AB889" s="1805">
        <f>'Notes- SK Template'!AB903</f>
        <v>0</v>
      </c>
      <c r="AC889" s="1821">
        <f>'Notes- SK Template'!AC903</f>
        <v>0</v>
      </c>
      <c r="AD889" s="1794">
        <f>'Notes- SK Template'!AD902</f>
        <v>0</v>
      </c>
      <c r="AE889" s="1794">
        <f>'Notes- SK Template'!AE903</f>
        <v>0</v>
      </c>
      <c r="AF889" s="1794">
        <f>'Notes- SK Template'!AF903</f>
        <v>0</v>
      </c>
      <c r="AG889" s="1794">
        <f>'Notes- SK Template'!AG903</f>
        <v>0</v>
      </c>
    </row>
    <row r="890" spans="4:33" ht="14.25" customHeight="1">
      <c r="D890" s="1822" t="s">
        <v>1991</v>
      </c>
      <c r="E890" s="1822"/>
      <c r="F890" s="1822"/>
      <c r="G890" s="1822"/>
      <c r="H890" s="1822"/>
      <c r="I890" s="1822"/>
      <c r="J890" s="1822"/>
      <c r="K890" s="1822"/>
      <c r="L890" s="1822"/>
      <c r="M890" s="1822"/>
      <c r="N890" s="1967">
        <f>'Notes- SK Template'!N903</f>
        <v>279707</v>
      </c>
      <c r="O890" s="1967">
        <f>'Notes- SK Template'!O904</f>
        <v>0</v>
      </c>
      <c r="P890" s="1967">
        <f>'Notes- SK Template'!P904</f>
        <v>0</v>
      </c>
      <c r="Q890" s="1967">
        <f>'Notes- SK Template'!Q904</f>
        <v>0</v>
      </c>
      <c r="R890" s="1804">
        <f>'Notes- SK Template'!R903</f>
        <v>0</v>
      </c>
      <c r="S890" s="1805">
        <f>'Notes- SK Template'!S904</f>
        <v>0</v>
      </c>
      <c r="T890" s="1805">
        <f>'Notes- SK Template'!T904</f>
        <v>0</v>
      </c>
      <c r="U890" s="1805">
        <f>'Notes- SK Template'!U904</f>
        <v>0</v>
      </c>
      <c r="V890" s="1805">
        <f>'Notes- SK Template'!V903</f>
        <v>-114636</v>
      </c>
      <c r="W890" s="1805">
        <f>'Notes- SK Template'!W904</f>
        <v>0</v>
      </c>
      <c r="X890" s="1805">
        <f>'Notes- SK Template'!X904</f>
        <v>0</v>
      </c>
      <c r="Y890" s="1805">
        <f>'Notes- SK Template'!Y904</f>
        <v>0</v>
      </c>
      <c r="Z890" s="1805">
        <f>'Notes- SK Template'!Z903</f>
        <v>253731</v>
      </c>
      <c r="AA890" s="1805">
        <f>'Notes- SK Template'!AA904</f>
        <v>0</v>
      </c>
      <c r="AB890" s="1805">
        <f>'Notes- SK Template'!AB904</f>
        <v>0</v>
      </c>
      <c r="AC890" s="1821">
        <f>'Notes- SK Template'!AC904</f>
        <v>0</v>
      </c>
      <c r="AD890" s="1794">
        <f>'Notes- SK Template'!AD903</f>
        <v>418802</v>
      </c>
      <c r="AE890" s="1794">
        <f>'Notes- SK Template'!AE904</f>
        <v>0</v>
      </c>
      <c r="AF890" s="1794">
        <f>'Notes- SK Template'!AF904</f>
        <v>0</v>
      </c>
      <c r="AG890" s="1794">
        <f>'Notes- SK Template'!AG904</f>
        <v>0</v>
      </c>
    </row>
    <row r="891" spans="4:33" ht="14.25" customHeight="1">
      <c r="D891" s="1822" t="s">
        <v>1992</v>
      </c>
      <c r="E891" s="1822"/>
      <c r="F891" s="1822"/>
      <c r="G891" s="1822"/>
      <c r="H891" s="1822"/>
      <c r="I891" s="1822"/>
      <c r="J891" s="1822"/>
      <c r="K891" s="1822"/>
      <c r="L891" s="1822"/>
      <c r="M891" s="1822"/>
      <c r="N891" s="1967">
        <f>'Notes- SK Template'!N904</f>
        <v>0</v>
      </c>
      <c r="O891" s="1967">
        <f>'Notes- SK Template'!O905</f>
        <v>0</v>
      </c>
      <c r="P891" s="1967">
        <f>'Notes- SK Template'!P905</f>
        <v>0</v>
      </c>
      <c r="Q891" s="1967">
        <f>'Notes- SK Template'!Q905</f>
        <v>0</v>
      </c>
      <c r="R891" s="1804">
        <f>'Notes- SK Template'!R904</f>
        <v>0</v>
      </c>
      <c r="S891" s="1805">
        <f>'Notes- SK Template'!S905</f>
        <v>0</v>
      </c>
      <c r="T891" s="1805">
        <f>'Notes- SK Template'!T905</f>
        <v>0</v>
      </c>
      <c r="U891" s="1805">
        <f>'Notes- SK Template'!U905</f>
        <v>0</v>
      </c>
      <c r="V891" s="1805">
        <f>'Notes- SK Template'!V904</f>
        <v>0</v>
      </c>
      <c r="W891" s="1805">
        <f>'Notes- SK Template'!W905</f>
        <v>0</v>
      </c>
      <c r="X891" s="1805">
        <f>'Notes- SK Template'!X905</f>
        <v>0</v>
      </c>
      <c r="Y891" s="1805">
        <f>'Notes- SK Template'!Y905</f>
        <v>0</v>
      </c>
      <c r="Z891" s="1805">
        <f>'Notes- SK Template'!Z904</f>
        <v>0</v>
      </c>
      <c r="AA891" s="1805">
        <f>'Notes- SK Template'!AA905</f>
        <v>0</v>
      </c>
      <c r="AB891" s="1805">
        <f>'Notes- SK Template'!AB905</f>
        <v>0</v>
      </c>
      <c r="AC891" s="1821">
        <f>'Notes- SK Template'!AC905</f>
        <v>0</v>
      </c>
      <c r="AD891" s="1794">
        <f>'Notes- SK Template'!AD904</f>
        <v>0</v>
      </c>
      <c r="AE891" s="1794">
        <f>'Notes- SK Template'!AE905</f>
        <v>0</v>
      </c>
      <c r="AF891" s="1794">
        <f>'Notes- SK Template'!AF905</f>
        <v>0</v>
      </c>
      <c r="AG891" s="1794">
        <f>'Notes- SK Template'!AG905</f>
        <v>0</v>
      </c>
    </row>
    <row r="892" spans="4:33" ht="14.25" customHeight="1">
      <c r="D892" s="1822" t="s">
        <v>1993</v>
      </c>
      <c r="E892" s="1822"/>
      <c r="F892" s="1822"/>
      <c r="G892" s="1822"/>
      <c r="H892" s="1822"/>
      <c r="I892" s="1822"/>
      <c r="J892" s="1822"/>
      <c r="K892" s="1822"/>
      <c r="L892" s="1822"/>
      <c r="M892" s="1822"/>
      <c r="N892" s="1967">
        <f>'Notes- SK Template'!N905</f>
        <v>273436</v>
      </c>
      <c r="O892" s="1967">
        <f>'Notes- SK Template'!O906</f>
        <v>0</v>
      </c>
      <c r="P892" s="1967">
        <f>'Notes- SK Template'!P906</f>
        <v>0</v>
      </c>
      <c r="Q892" s="1967">
        <f>'Notes- SK Template'!Q906</f>
        <v>0</v>
      </c>
      <c r="R892" s="1804">
        <f>'Notes- SK Template'!R905</f>
        <v>159575</v>
      </c>
      <c r="S892" s="1805">
        <f>'Notes- SK Template'!S906</f>
        <v>0</v>
      </c>
      <c r="T892" s="1805">
        <f>'Notes- SK Template'!T906</f>
        <v>0</v>
      </c>
      <c r="U892" s="1805">
        <f>'Notes- SK Template'!U906</f>
        <v>0</v>
      </c>
      <c r="V892" s="1805">
        <f>'Notes- SK Template'!V905</f>
        <v>0</v>
      </c>
      <c r="W892" s="1805">
        <f>'Notes- SK Template'!W906</f>
        <v>0</v>
      </c>
      <c r="X892" s="1805">
        <f>'Notes- SK Template'!X906</f>
        <v>0</v>
      </c>
      <c r="Y892" s="1805">
        <f>'Notes- SK Template'!Y906</f>
        <v>0</v>
      </c>
      <c r="Z892" s="1805">
        <f>'Notes- SK Template'!Z905</f>
        <v>-273436</v>
      </c>
      <c r="AA892" s="1805">
        <f>'Notes- SK Template'!AA906</f>
        <v>0</v>
      </c>
      <c r="AB892" s="1805">
        <f>'Notes- SK Template'!AB906</f>
        <v>0</v>
      </c>
      <c r="AC892" s="1821">
        <f>'Notes- SK Template'!AC906</f>
        <v>0</v>
      </c>
      <c r="AD892" s="1794">
        <f>'Notes- SK Template'!AD905</f>
        <v>159575</v>
      </c>
      <c r="AE892" s="1794">
        <f>'Notes- SK Template'!AE906</f>
        <v>0</v>
      </c>
      <c r="AF892" s="1794">
        <f>'Notes- SK Template'!AF906</f>
        <v>0</v>
      </c>
      <c r="AG892" s="1794">
        <f>'Notes- SK Template'!AG906</f>
        <v>0</v>
      </c>
    </row>
    <row r="893" spans="4:33" ht="14.25" customHeight="1" thickBot="1">
      <c r="D893" s="2572" t="s">
        <v>2959</v>
      </c>
      <c r="E893" s="2572"/>
      <c r="F893" s="2572"/>
      <c r="G893" s="2572"/>
      <c r="H893" s="2572"/>
      <c r="I893" s="2572"/>
      <c r="J893" s="2572"/>
      <c r="K893" s="2572"/>
      <c r="L893" s="2572"/>
      <c r="M893" s="2572"/>
      <c r="N893" s="2573">
        <f>'Notes- SK Template'!N906</f>
        <v>3147399</v>
      </c>
      <c r="O893" s="2573">
        <f>'Notes- SK Template'!O907</f>
        <v>0</v>
      </c>
      <c r="P893" s="2573">
        <f>'Notes- SK Template'!P907</f>
        <v>0</v>
      </c>
      <c r="Q893" s="2573">
        <f>'Notes- SK Template'!Q907</f>
        <v>0</v>
      </c>
      <c r="R893" s="2574">
        <f>'Notes- SK Template'!R906</f>
        <v>159575</v>
      </c>
      <c r="S893" s="2575">
        <f>'Notes- SK Template'!S907</f>
        <v>0</v>
      </c>
      <c r="T893" s="2575">
        <f>'Notes- SK Template'!T907</f>
        <v>0</v>
      </c>
      <c r="U893" s="2575">
        <f>'Notes- SK Template'!U907</f>
        <v>0</v>
      </c>
      <c r="V893" s="2575">
        <f>'Notes- SK Template'!V906</f>
        <v>-114636</v>
      </c>
      <c r="W893" s="2575">
        <f>'Notes- SK Template'!W907</f>
        <v>0</v>
      </c>
      <c r="X893" s="2575">
        <f>'Notes- SK Template'!X907</f>
        <v>0</v>
      </c>
      <c r="Y893" s="2575">
        <f>'Notes- SK Template'!Y907</f>
        <v>0</v>
      </c>
      <c r="Z893" s="2575">
        <f>'Notes- SK Template'!Z906</f>
        <v>0</v>
      </c>
      <c r="AA893" s="2575">
        <f>'Notes- SK Template'!AA907</f>
        <v>0</v>
      </c>
      <c r="AB893" s="2575">
        <f>'Notes- SK Template'!AB907</f>
        <v>0</v>
      </c>
      <c r="AC893" s="2576">
        <f>'Notes- SK Template'!AC907</f>
        <v>0</v>
      </c>
      <c r="AD893" s="2577">
        <f>'Notes- SK Template'!AD906</f>
        <v>3192338</v>
      </c>
      <c r="AE893" s="2577">
        <f>'Notes- SK Template'!AE907</f>
        <v>0</v>
      </c>
      <c r="AF893" s="2577">
        <f>'Notes- SK Template'!AF907</f>
        <v>0</v>
      </c>
      <c r="AG893" s="2577">
        <f>'Notes- SK Template'!AG907</f>
        <v>0</v>
      </c>
    </row>
    <row r="895" spans="4:33" ht="14.25" customHeight="1">
      <c r="D895" s="1521" t="s">
        <v>3024</v>
      </c>
      <c r="E895" s="786"/>
      <c r="F895" s="786"/>
      <c r="G895" s="786"/>
      <c r="H895" s="786"/>
      <c r="I895" s="786"/>
      <c r="J895" s="786"/>
      <c r="K895" s="786"/>
      <c r="L895" s="786"/>
      <c r="M895" s="786"/>
      <c r="N895" s="786"/>
      <c r="O895" s="786"/>
      <c r="P895" s="786"/>
      <c r="Q895" s="786"/>
      <c r="R895" s="786"/>
      <c r="S895" s="786"/>
      <c r="T895" s="786"/>
      <c r="U895" s="786"/>
      <c r="V895" s="786"/>
      <c r="W895" s="786"/>
      <c r="X895" s="786"/>
      <c r="Y895" s="786"/>
      <c r="Z895" s="786"/>
      <c r="AA895" s="786"/>
      <c r="AB895" s="786"/>
      <c r="AC895" s="786"/>
      <c r="AD895" s="786"/>
      <c r="AE895" s="786"/>
      <c r="AF895" s="786"/>
      <c r="AG895" s="786"/>
    </row>
    <row r="896" spans="4:33" ht="14.25" customHeight="1">
      <c r="D896" s="2028" t="s">
        <v>3025</v>
      </c>
      <c r="E896" s="2028"/>
      <c r="F896" s="2028"/>
      <c r="G896" s="2028"/>
      <c r="H896" s="2028"/>
      <c r="I896" s="2028"/>
      <c r="J896" s="2028"/>
      <c r="K896" s="2028"/>
      <c r="L896" s="2028"/>
      <c r="M896" s="2028"/>
      <c r="N896" s="2028"/>
      <c r="O896" s="2028"/>
      <c r="P896" s="2028"/>
      <c r="Q896" s="2028"/>
      <c r="R896" s="2028"/>
      <c r="S896" s="2028"/>
      <c r="T896" s="2028"/>
      <c r="U896" s="2028"/>
      <c r="V896" s="2028"/>
      <c r="W896" s="2028"/>
      <c r="X896" s="2028"/>
      <c r="Y896" s="2028"/>
      <c r="Z896" s="2028"/>
      <c r="AA896" s="2028"/>
      <c r="AB896" s="2028"/>
      <c r="AC896" s="2028"/>
      <c r="AD896" s="2028"/>
      <c r="AE896" s="2028"/>
      <c r="AF896" s="2028"/>
      <c r="AG896" s="2028"/>
    </row>
    <row r="898" spans="4:33" ht="14.25" customHeight="1">
      <c r="D898" s="582" t="s">
        <v>2988</v>
      </c>
    </row>
    <row r="900" spans="4:33" ht="14.25" customHeight="1">
      <c r="D900" s="2005" t="s">
        <v>2833</v>
      </c>
      <c r="E900" s="1886"/>
      <c r="F900" s="1886"/>
      <c r="G900" s="1886"/>
      <c r="H900" s="1886"/>
      <c r="I900" s="1886"/>
      <c r="J900" s="1886"/>
      <c r="K900" s="1886"/>
      <c r="L900" s="1886"/>
      <c r="M900" s="1886"/>
      <c r="N900" s="1886"/>
      <c r="O900" s="1886"/>
      <c r="P900" s="1886"/>
      <c r="Q900" s="1886"/>
      <c r="R900" s="1886"/>
      <c r="S900" s="1886"/>
      <c r="T900" s="1886"/>
      <c r="U900" s="1886"/>
      <c r="V900" s="1886"/>
      <c r="W900" s="1886"/>
      <c r="X900" s="1886"/>
      <c r="Y900" s="1886"/>
      <c r="Z900" s="1886"/>
      <c r="AA900" s="1886"/>
      <c r="AB900" s="1886"/>
      <c r="AC900" s="1886"/>
      <c r="AD900" s="1886"/>
      <c r="AE900" s="1886"/>
      <c r="AF900" s="1886"/>
      <c r="AG900" s="1886"/>
    </row>
    <row r="902" spans="4:33" ht="14.25" customHeight="1">
      <c r="D902" s="582" t="s">
        <v>2989</v>
      </c>
    </row>
    <row r="904" spans="4:33" ht="14.25" customHeight="1">
      <c r="D904" s="2100" t="s">
        <v>3026</v>
      </c>
      <c r="E904" s="2101"/>
      <c r="F904" s="2101"/>
      <c r="G904" s="2101"/>
      <c r="H904" s="2101"/>
      <c r="I904" s="2101"/>
      <c r="J904" s="2101"/>
      <c r="K904" s="2101"/>
      <c r="L904" s="2101"/>
      <c r="M904" s="2101"/>
      <c r="N904" s="2101"/>
      <c r="O904" s="2101"/>
      <c r="P904" s="2101"/>
      <c r="Q904" s="2101"/>
      <c r="R904" s="2101"/>
      <c r="S904" s="2101"/>
      <c r="T904" s="2101"/>
      <c r="U904" s="2101"/>
      <c r="V904" s="2101"/>
      <c r="W904" s="2101"/>
      <c r="X904" s="2101"/>
      <c r="Y904" s="2101"/>
      <c r="Z904" s="2101"/>
      <c r="AA904" s="2101"/>
      <c r="AB904" s="2101"/>
      <c r="AC904" s="2101"/>
      <c r="AD904" s="2101"/>
      <c r="AE904" s="2101"/>
      <c r="AF904" s="2101"/>
      <c r="AG904" s="2101"/>
    </row>
    <row r="905" spans="4:33" ht="14.25" customHeight="1">
      <c r="D905" s="2101"/>
      <c r="E905" s="2101"/>
      <c r="F905" s="2101"/>
      <c r="G905" s="2101"/>
      <c r="H905" s="2101"/>
      <c r="I905" s="2101"/>
      <c r="J905" s="2101"/>
      <c r="K905" s="2101"/>
      <c r="L905" s="2101"/>
      <c r="M905" s="2101"/>
      <c r="N905" s="2101"/>
      <c r="O905" s="2101"/>
      <c r="P905" s="2101"/>
      <c r="Q905" s="2101"/>
      <c r="R905" s="2101"/>
      <c r="S905" s="2101"/>
      <c r="T905" s="2101"/>
      <c r="U905" s="2101"/>
      <c r="V905" s="2101"/>
      <c r="W905" s="2101"/>
      <c r="X905" s="2101"/>
      <c r="Y905" s="2101"/>
      <c r="Z905" s="2101"/>
      <c r="AA905" s="2101"/>
      <c r="AB905" s="2101"/>
      <c r="AC905" s="2101"/>
      <c r="AD905" s="2101"/>
      <c r="AE905" s="2101"/>
      <c r="AF905" s="2101"/>
      <c r="AG905" s="2101"/>
    </row>
  </sheetData>
  <mergeCells count="2229">
    <mergeCell ref="D40:AG42"/>
    <mergeCell ref="D61:AG63"/>
    <mergeCell ref="D65:AG65"/>
    <mergeCell ref="D98:AG98"/>
    <mergeCell ref="D149:AG151"/>
    <mergeCell ref="D214:AG214"/>
    <mergeCell ref="D209:AG213"/>
    <mergeCell ref="D223:AG225"/>
    <mergeCell ref="D682:M682"/>
    <mergeCell ref="N682:W682"/>
    <mergeCell ref="X682:AG682"/>
    <mergeCell ref="D482:L482"/>
    <mergeCell ref="M482:S482"/>
    <mergeCell ref="T482:Z482"/>
    <mergeCell ref="AA482:AG482"/>
    <mergeCell ref="D483:L483"/>
    <mergeCell ref="M483:S483"/>
    <mergeCell ref="T483:Z483"/>
    <mergeCell ref="AA483:AG483"/>
    <mergeCell ref="D484:L484"/>
    <mergeCell ref="M484:S484"/>
    <mergeCell ref="T484:Z484"/>
    <mergeCell ref="AA484:AG484"/>
    <mergeCell ref="S555:W555"/>
    <mergeCell ref="X555:AB555"/>
    <mergeCell ref="AC555:AG555"/>
    <mergeCell ref="I556:M556"/>
    <mergeCell ref="D507:AG507"/>
    <mergeCell ref="D516:O516"/>
    <mergeCell ref="P519:X519"/>
    <mergeCell ref="Y519:AG519"/>
    <mergeCell ref="D524:O524"/>
    <mergeCell ref="AD867:AG867"/>
    <mergeCell ref="D696:I696"/>
    <mergeCell ref="J696:M696"/>
    <mergeCell ref="N696:Q696"/>
    <mergeCell ref="R696:U696"/>
    <mergeCell ref="V696:Y696"/>
    <mergeCell ref="Z696:AC696"/>
    <mergeCell ref="D705:M705"/>
    <mergeCell ref="N705:Q705"/>
    <mergeCell ref="R705:U705"/>
    <mergeCell ref="V705:Y705"/>
    <mergeCell ref="Z705:AC705"/>
    <mergeCell ref="AD705:AG705"/>
    <mergeCell ref="I560:M560"/>
    <mergeCell ref="N560:R560"/>
    <mergeCell ref="S560:W560"/>
    <mergeCell ref="D528:AG529"/>
    <mergeCell ref="D530:AG530"/>
    <mergeCell ref="D532:Q532"/>
    <mergeCell ref="R532:AG532"/>
    <mergeCell ref="D533:Q533"/>
    <mergeCell ref="R533:AG533"/>
    <mergeCell ref="D551:AG551"/>
    <mergeCell ref="D553:H554"/>
    <mergeCell ref="I553:AG553"/>
    <mergeCell ref="I554:M554"/>
    <mergeCell ref="N554:R554"/>
    <mergeCell ref="S554:W554"/>
    <mergeCell ref="D556:H556"/>
    <mergeCell ref="X554:AB554"/>
    <mergeCell ref="AC554:AG554"/>
    <mergeCell ref="D555:H555"/>
    <mergeCell ref="D518:O518"/>
    <mergeCell ref="P518:X518"/>
    <mergeCell ref="Y518:AG518"/>
    <mergeCell ref="D519:O519"/>
    <mergeCell ref="D697:I697"/>
    <mergeCell ref="J697:M697"/>
    <mergeCell ref="N697:Q697"/>
    <mergeCell ref="R697:U697"/>
    <mergeCell ref="V697:Y697"/>
    <mergeCell ref="Z697:AC697"/>
    <mergeCell ref="AD697:AG697"/>
    <mergeCell ref="AD696:AG696"/>
    <mergeCell ref="D864:M864"/>
    <mergeCell ref="N864:Q864"/>
    <mergeCell ref="R864:U864"/>
    <mergeCell ref="V864:Y864"/>
    <mergeCell ref="Z864:AC864"/>
    <mergeCell ref="AD864:AG864"/>
    <mergeCell ref="X560:AB560"/>
    <mergeCell ref="Z645:AC645"/>
    <mergeCell ref="D566:H566"/>
    <mergeCell ref="I566:M566"/>
    <mergeCell ref="N566:R566"/>
    <mergeCell ref="S566:W566"/>
    <mergeCell ref="X566:AB566"/>
    <mergeCell ref="AC566:AG566"/>
    <mergeCell ref="D564:H565"/>
    <mergeCell ref="I564:AG564"/>
    <mergeCell ref="I565:M565"/>
    <mergeCell ref="N565:R565"/>
    <mergeCell ref="D536:Q536"/>
    <mergeCell ref="R536:AG536"/>
    <mergeCell ref="D477:L477"/>
    <mergeCell ref="M477:S477"/>
    <mergeCell ref="T477:Z477"/>
    <mergeCell ref="AA477:AG477"/>
    <mergeCell ref="D478:L478"/>
    <mergeCell ref="M478:S478"/>
    <mergeCell ref="T478:Z478"/>
    <mergeCell ref="AA478:AG478"/>
    <mergeCell ref="D479:L479"/>
    <mergeCell ref="M479:S479"/>
    <mergeCell ref="T479:Z479"/>
    <mergeCell ref="AA479:AG479"/>
    <mergeCell ref="D480:L480"/>
    <mergeCell ref="M480:S480"/>
    <mergeCell ref="T480:Z480"/>
    <mergeCell ref="AA480:AG480"/>
    <mergeCell ref="D481:L481"/>
    <mergeCell ref="M481:S481"/>
    <mergeCell ref="T481:Z481"/>
    <mergeCell ref="AA481:AG481"/>
    <mergeCell ref="D472:L472"/>
    <mergeCell ref="M472:S472"/>
    <mergeCell ref="T472:Z472"/>
    <mergeCell ref="AA472:AG472"/>
    <mergeCell ref="D473:L473"/>
    <mergeCell ref="M473:S473"/>
    <mergeCell ref="T473:Z473"/>
    <mergeCell ref="AA473:AG473"/>
    <mergeCell ref="D474:L474"/>
    <mergeCell ref="M474:S474"/>
    <mergeCell ref="T474:Z474"/>
    <mergeCell ref="AA474:AG474"/>
    <mergeCell ref="D475:L475"/>
    <mergeCell ref="M475:S475"/>
    <mergeCell ref="T475:Z475"/>
    <mergeCell ref="AA475:AG475"/>
    <mergeCell ref="D476:AG476"/>
    <mergeCell ref="D439:H439"/>
    <mergeCell ref="I439:M439"/>
    <mergeCell ref="N439:R439"/>
    <mergeCell ref="S439:W439"/>
    <mergeCell ref="X439:AB439"/>
    <mergeCell ref="AC439:AG439"/>
    <mergeCell ref="D466:AG466"/>
    <mergeCell ref="D468:L468"/>
    <mergeCell ref="M468:S468"/>
    <mergeCell ref="T468:Z468"/>
    <mergeCell ref="AA468:AG468"/>
    <mergeCell ref="D441:AG441"/>
    <mergeCell ref="D443:AG443"/>
    <mergeCell ref="D445:AG445"/>
    <mergeCell ref="D447:L447"/>
    <mergeCell ref="M447:S447"/>
    <mergeCell ref="T447:Z447"/>
    <mergeCell ref="AA447:AG447"/>
    <mergeCell ref="D458:L458"/>
    <mergeCell ref="M458:S458"/>
    <mergeCell ref="T458:Z458"/>
    <mergeCell ref="AA458:AG458"/>
    <mergeCell ref="D459:L459"/>
    <mergeCell ref="M459:S459"/>
    <mergeCell ref="T459:Z459"/>
    <mergeCell ref="AA459:AG459"/>
    <mergeCell ref="D454:L454"/>
    <mergeCell ref="M454:S454"/>
    <mergeCell ref="T454:Z454"/>
    <mergeCell ref="AA454:AG454"/>
    <mergeCell ref="T450:Z450"/>
    <mergeCell ref="AA450:AG450"/>
    <mergeCell ref="I436:M436"/>
    <mergeCell ref="N436:R436"/>
    <mergeCell ref="S436:W436"/>
    <mergeCell ref="X436:AB436"/>
    <mergeCell ref="AC436:AG436"/>
    <mergeCell ref="D437:H437"/>
    <mergeCell ref="I437:M437"/>
    <mergeCell ref="N437:R437"/>
    <mergeCell ref="S437:W437"/>
    <mergeCell ref="X437:AB437"/>
    <mergeCell ref="AC437:AG437"/>
    <mergeCell ref="D438:H438"/>
    <mergeCell ref="I438:M438"/>
    <mergeCell ref="N438:R438"/>
    <mergeCell ref="S438:W438"/>
    <mergeCell ref="X438:AB438"/>
    <mergeCell ref="AC438:AG438"/>
    <mergeCell ref="D436:H436"/>
    <mergeCell ref="D406:H406"/>
    <mergeCell ref="I406:M406"/>
    <mergeCell ref="N406:R406"/>
    <mergeCell ref="S406:W406"/>
    <mergeCell ref="X406:AB406"/>
    <mergeCell ref="AC406:AG406"/>
    <mergeCell ref="T411:Z411"/>
    <mergeCell ref="AA411:AG411"/>
    <mergeCell ref="T412:Z412"/>
    <mergeCell ref="T413:Z413"/>
    <mergeCell ref="AA412:AG412"/>
    <mergeCell ref="AA413:AG413"/>
    <mergeCell ref="D409:AG409"/>
    <mergeCell ref="D411:S411"/>
    <mergeCell ref="D412:S412"/>
    <mergeCell ref="D413:S413"/>
    <mergeCell ref="D435:H435"/>
    <mergeCell ref="I435:M435"/>
    <mergeCell ref="N435:R435"/>
    <mergeCell ref="S435:W435"/>
    <mergeCell ref="X435:AB435"/>
    <mergeCell ref="AC435:AG435"/>
    <mergeCell ref="D428:H428"/>
    <mergeCell ref="I428:M428"/>
    <mergeCell ref="N428:R428"/>
    <mergeCell ref="S428:W428"/>
    <mergeCell ref="X428:AB428"/>
    <mergeCell ref="AC428:AG428"/>
    <mergeCell ref="D427:H427"/>
    <mergeCell ref="I427:M427"/>
    <mergeCell ref="N427:R427"/>
    <mergeCell ref="S427:W427"/>
    <mergeCell ref="D403:H403"/>
    <mergeCell ref="I403:M403"/>
    <mergeCell ref="N403:R403"/>
    <mergeCell ref="S403:W403"/>
    <mergeCell ref="X403:AB403"/>
    <mergeCell ref="AC403:AG403"/>
    <mergeCell ref="D404:H404"/>
    <mergeCell ref="I404:M404"/>
    <mergeCell ref="N404:R404"/>
    <mergeCell ref="S404:W404"/>
    <mergeCell ref="X404:AB404"/>
    <mergeCell ref="AC404:AG404"/>
    <mergeCell ref="D405:H405"/>
    <mergeCell ref="I405:M405"/>
    <mergeCell ref="N405:R405"/>
    <mergeCell ref="S405:W405"/>
    <mergeCell ref="X405:AB405"/>
    <mergeCell ref="AC405:AG405"/>
    <mergeCell ref="D400:H400"/>
    <mergeCell ref="I400:M400"/>
    <mergeCell ref="N400:R400"/>
    <mergeCell ref="S400:W400"/>
    <mergeCell ref="X400:AB400"/>
    <mergeCell ref="AC400:AG400"/>
    <mergeCell ref="D401:H401"/>
    <mergeCell ref="I401:M401"/>
    <mergeCell ref="N401:R401"/>
    <mergeCell ref="S401:W401"/>
    <mergeCell ref="X401:AB401"/>
    <mergeCell ref="AC401:AG401"/>
    <mergeCell ref="D402:H402"/>
    <mergeCell ref="I402:M402"/>
    <mergeCell ref="N402:R402"/>
    <mergeCell ref="S402:W402"/>
    <mergeCell ref="X402:AB402"/>
    <mergeCell ref="AC402:AG402"/>
    <mergeCell ref="B1:AH1"/>
    <mergeCell ref="S34:W34"/>
    <mergeCell ref="D26:O26"/>
    <mergeCell ref="P26:X26"/>
    <mergeCell ref="Y26:AG26"/>
    <mergeCell ref="D27:O27"/>
    <mergeCell ref="P27:X27"/>
    <mergeCell ref="Y27:AG27"/>
    <mergeCell ref="D111:AG112"/>
    <mergeCell ref="D100:AG101"/>
    <mergeCell ref="D105:AG106"/>
    <mergeCell ref="D91:AG92"/>
    <mergeCell ref="D96:AG97"/>
    <mergeCell ref="D59:AG60"/>
    <mergeCell ref="D80:AG81"/>
    <mergeCell ref="D85:AG86"/>
    <mergeCell ref="X399:AB399"/>
    <mergeCell ref="AC399:AG399"/>
    <mergeCell ref="D44:AG47"/>
    <mergeCell ref="D48:AG49"/>
    <mergeCell ref="D52:O52"/>
    <mergeCell ref="D55:AG56"/>
    <mergeCell ref="D35:M35"/>
    <mergeCell ref="N35:R35"/>
    <mergeCell ref="S35:W35"/>
    <mergeCell ref="X35:AB35"/>
    <mergeCell ref="AC35:AG35"/>
    <mergeCell ref="D36:M36"/>
    <mergeCell ref="N36:R36"/>
    <mergeCell ref="S36:W36"/>
    <mergeCell ref="X36:AB36"/>
    <mergeCell ref="D9:AG12"/>
    <mergeCell ref="D13:AG13"/>
    <mergeCell ref="D25:O25"/>
    <mergeCell ref="P25:X25"/>
    <mergeCell ref="Y25:AG25"/>
    <mergeCell ref="AD643:AG643"/>
    <mergeCell ref="AD645:AG645"/>
    <mergeCell ref="D28:O28"/>
    <mergeCell ref="P28:X28"/>
    <mergeCell ref="Y28:AG28"/>
    <mergeCell ref="D30:AG31"/>
    <mergeCell ref="D33:M34"/>
    <mergeCell ref="N33:W33"/>
    <mergeCell ref="X33:AB34"/>
    <mergeCell ref="AC33:AG34"/>
    <mergeCell ref="N571:R571"/>
    <mergeCell ref="S571:W571"/>
    <mergeCell ref="X571:AB571"/>
    <mergeCell ref="AC571:AG571"/>
    <mergeCell ref="N34:R34"/>
    <mergeCell ref="Y517:AG517"/>
    <mergeCell ref="D514:O514"/>
    <mergeCell ref="P514:X514"/>
    <mergeCell ref="Y514:AG514"/>
    <mergeCell ref="D522:O522"/>
    <mergeCell ref="P522:X522"/>
    <mergeCell ref="Y522:AG522"/>
    <mergeCell ref="P516:X516"/>
    <mergeCell ref="Y516:AG516"/>
    <mergeCell ref="D517:O517"/>
    <mergeCell ref="P517:X517"/>
    <mergeCell ref="AC36:AG36"/>
    <mergeCell ref="D37:M37"/>
    <mergeCell ref="N37:R37"/>
    <mergeCell ref="S37:W37"/>
    <mergeCell ref="X37:AB37"/>
    <mergeCell ref="AC37:AG37"/>
    <mergeCell ref="D88:AG89"/>
    <mergeCell ref="D74:AG75"/>
    <mergeCell ref="D70:AG70"/>
    <mergeCell ref="D127:AG128"/>
    <mergeCell ref="D133:AG134"/>
    <mergeCell ref="D124:N124"/>
    <mergeCell ref="O124:S124"/>
    <mergeCell ref="T124:X124"/>
    <mergeCell ref="Y124:AC124"/>
    <mergeCell ref="D125:N125"/>
    <mergeCell ref="O125:S125"/>
    <mergeCell ref="T125:X125"/>
    <mergeCell ref="Y125:AC125"/>
    <mergeCell ref="D122:N122"/>
    <mergeCell ref="O122:S122"/>
    <mergeCell ref="T122:X122"/>
    <mergeCell ref="Y122:AC122"/>
    <mergeCell ref="D123:N123"/>
    <mergeCell ref="O123:S123"/>
    <mergeCell ref="T123:X123"/>
    <mergeCell ref="Y123:AC123"/>
    <mergeCell ref="D116:AG118"/>
    <mergeCell ref="O120:S120"/>
    <mergeCell ref="T120:X120"/>
    <mergeCell ref="Y120:AC120"/>
    <mergeCell ref="D121:N121"/>
    <mergeCell ref="O121:S121"/>
    <mergeCell ref="T121:X121"/>
    <mergeCell ref="Y121:AC121"/>
    <mergeCell ref="D108:AG109"/>
    <mergeCell ref="D186:AG189"/>
    <mergeCell ref="D190:AG190"/>
    <mergeCell ref="D194:AG195"/>
    <mergeCell ref="D197:AG198"/>
    <mergeCell ref="D200:AG200"/>
    <mergeCell ref="D204:AG205"/>
    <mergeCell ref="D166:AG167"/>
    <mergeCell ref="D169:AG170"/>
    <mergeCell ref="D174:AG175"/>
    <mergeCell ref="D179:AG180"/>
    <mergeCell ref="D183:AG184"/>
    <mergeCell ref="D155:AG157"/>
    <mergeCell ref="D162:AG163"/>
    <mergeCell ref="D145:AG145"/>
    <mergeCell ref="D138:AG141"/>
    <mergeCell ref="D142:AG143"/>
    <mergeCell ref="S240:U240"/>
    <mergeCell ref="V240:X240"/>
    <mergeCell ref="Y240:AA240"/>
    <mergeCell ref="AB240:AD240"/>
    <mergeCell ref="AE240:AG240"/>
    <mergeCell ref="D241:AG241"/>
    <mergeCell ref="D227:AG227"/>
    <mergeCell ref="D239:I240"/>
    <mergeCell ref="J239:AG239"/>
    <mergeCell ref="J240:L240"/>
    <mergeCell ref="M240:O240"/>
    <mergeCell ref="P240:R240"/>
    <mergeCell ref="E216:AG217"/>
    <mergeCell ref="E219:AG220"/>
    <mergeCell ref="E221:AG221"/>
    <mergeCell ref="D229:AG230"/>
    <mergeCell ref="D231:AG231"/>
    <mergeCell ref="AB243:AD243"/>
    <mergeCell ref="AE243:AG243"/>
    <mergeCell ref="D244:I244"/>
    <mergeCell ref="J244:L244"/>
    <mergeCell ref="M244:O244"/>
    <mergeCell ref="P244:R244"/>
    <mergeCell ref="S244:U244"/>
    <mergeCell ref="V244:X244"/>
    <mergeCell ref="Y244:AA244"/>
    <mergeCell ref="AB244:AD244"/>
    <mergeCell ref="Y242:AA242"/>
    <mergeCell ref="AB242:AD242"/>
    <mergeCell ref="AE242:AG242"/>
    <mergeCell ref="D243:I243"/>
    <mergeCell ref="J243:L243"/>
    <mergeCell ref="M243:O243"/>
    <mergeCell ref="P243:R243"/>
    <mergeCell ref="S243:U243"/>
    <mergeCell ref="V243:X243"/>
    <mergeCell ref="Y243:AA243"/>
    <mergeCell ref="D242:I242"/>
    <mergeCell ref="J242:L242"/>
    <mergeCell ref="M242:O242"/>
    <mergeCell ref="P242:R242"/>
    <mergeCell ref="S242:U242"/>
    <mergeCell ref="V242:X242"/>
    <mergeCell ref="Y246:AA246"/>
    <mergeCell ref="AB246:AD246"/>
    <mergeCell ref="AE246:AG246"/>
    <mergeCell ref="D247:AG247"/>
    <mergeCell ref="D248:I248"/>
    <mergeCell ref="J248:L248"/>
    <mergeCell ref="M248:O248"/>
    <mergeCell ref="P248:R248"/>
    <mergeCell ref="S248:U248"/>
    <mergeCell ref="V248:X248"/>
    <mergeCell ref="D246:I246"/>
    <mergeCell ref="J246:L246"/>
    <mergeCell ref="M246:O246"/>
    <mergeCell ref="P246:R246"/>
    <mergeCell ref="S246:U246"/>
    <mergeCell ref="V246:X246"/>
    <mergeCell ref="AE244:AG244"/>
    <mergeCell ref="D245:I245"/>
    <mergeCell ref="J245:L245"/>
    <mergeCell ref="M245:O245"/>
    <mergeCell ref="P245:R245"/>
    <mergeCell ref="S245:U245"/>
    <mergeCell ref="V245:X245"/>
    <mergeCell ref="Y245:AA245"/>
    <mergeCell ref="AB245:AD245"/>
    <mergeCell ref="AE245:AG245"/>
    <mergeCell ref="AB249:AD249"/>
    <mergeCell ref="AE249:AG249"/>
    <mergeCell ref="D250:I250"/>
    <mergeCell ref="J250:L250"/>
    <mergeCell ref="M250:O250"/>
    <mergeCell ref="P250:R250"/>
    <mergeCell ref="S250:U250"/>
    <mergeCell ref="V250:X250"/>
    <mergeCell ref="Y250:AA250"/>
    <mergeCell ref="AB250:AD250"/>
    <mergeCell ref="Y248:AA248"/>
    <mergeCell ref="AB248:AD248"/>
    <mergeCell ref="AE248:AG248"/>
    <mergeCell ref="D249:I249"/>
    <mergeCell ref="J249:L249"/>
    <mergeCell ref="M249:O249"/>
    <mergeCell ref="P249:R249"/>
    <mergeCell ref="S249:U249"/>
    <mergeCell ref="V249:X249"/>
    <mergeCell ref="Y249:AA249"/>
    <mergeCell ref="D253:AG253"/>
    <mergeCell ref="D254:I254"/>
    <mergeCell ref="J254:L254"/>
    <mergeCell ref="M254:O254"/>
    <mergeCell ref="P254:R254"/>
    <mergeCell ref="S254:U254"/>
    <mergeCell ref="V254:X254"/>
    <mergeCell ref="Y254:AA254"/>
    <mergeCell ref="AB254:AD254"/>
    <mergeCell ref="AE254:AG254"/>
    <mergeCell ref="AE250:AG250"/>
    <mergeCell ref="D252:I252"/>
    <mergeCell ref="J252:L252"/>
    <mergeCell ref="M252:O252"/>
    <mergeCell ref="P252:R252"/>
    <mergeCell ref="S252:U252"/>
    <mergeCell ref="V252:X252"/>
    <mergeCell ref="Y252:AA252"/>
    <mergeCell ref="AB252:AD252"/>
    <mergeCell ref="AE252:AG252"/>
    <mergeCell ref="D251:I251"/>
    <mergeCell ref="J251:L251"/>
    <mergeCell ref="M251:O251"/>
    <mergeCell ref="P251:R251"/>
    <mergeCell ref="S251:U251"/>
    <mergeCell ref="V251:X251"/>
    <mergeCell ref="Y251:AA251"/>
    <mergeCell ref="AB251:AD251"/>
    <mergeCell ref="AE251:AG251"/>
    <mergeCell ref="Y255:AA255"/>
    <mergeCell ref="AB255:AD255"/>
    <mergeCell ref="AE255:AG255"/>
    <mergeCell ref="D256:I256"/>
    <mergeCell ref="J256:L256"/>
    <mergeCell ref="M256:O256"/>
    <mergeCell ref="P256:R256"/>
    <mergeCell ref="S256:U256"/>
    <mergeCell ref="V256:X256"/>
    <mergeCell ref="Y256:AA256"/>
    <mergeCell ref="D255:I255"/>
    <mergeCell ref="J255:L255"/>
    <mergeCell ref="M255:O255"/>
    <mergeCell ref="P255:R255"/>
    <mergeCell ref="S255:U255"/>
    <mergeCell ref="V255:X255"/>
    <mergeCell ref="D257:I257"/>
    <mergeCell ref="J257:L257"/>
    <mergeCell ref="M257:O257"/>
    <mergeCell ref="P257:R257"/>
    <mergeCell ref="S257:U257"/>
    <mergeCell ref="V257:X257"/>
    <mergeCell ref="AE258:AG258"/>
    <mergeCell ref="D259:AG259"/>
    <mergeCell ref="D260:I260"/>
    <mergeCell ref="J260:L260"/>
    <mergeCell ref="M260:O260"/>
    <mergeCell ref="P260:R260"/>
    <mergeCell ref="S260:U260"/>
    <mergeCell ref="V260:X260"/>
    <mergeCell ref="Y260:AA260"/>
    <mergeCell ref="AB260:AD260"/>
    <mergeCell ref="AB256:AD256"/>
    <mergeCell ref="AE256:AG256"/>
    <mergeCell ref="D258:I258"/>
    <mergeCell ref="J258:L258"/>
    <mergeCell ref="M258:O258"/>
    <mergeCell ref="P258:R258"/>
    <mergeCell ref="S258:U258"/>
    <mergeCell ref="V258:X258"/>
    <mergeCell ref="Y258:AA258"/>
    <mergeCell ref="AB258:AD258"/>
    <mergeCell ref="Y257:AA257"/>
    <mergeCell ref="AB257:AD257"/>
    <mergeCell ref="AE257:AG257"/>
    <mergeCell ref="D264:I265"/>
    <mergeCell ref="J264:AG264"/>
    <mergeCell ref="J265:L265"/>
    <mergeCell ref="M265:O265"/>
    <mergeCell ref="P265:R265"/>
    <mergeCell ref="S265:U265"/>
    <mergeCell ref="V265:X265"/>
    <mergeCell ref="Y265:AA265"/>
    <mergeCell ref="AB265:AD265"/>
    <mergeCell ref="AE265:AG265"/>
    <mergeCell ref="AE260:AG260"/>
    <mergeCell ref="D261:I261"/>
    <mergeCell ref="J261:L261"/>
    <mergeCell ref="M261:O261"/>
    <mergeCell ref="P261:R261"/>
    <mergeCell ref="S261:U261"/>
    <mergeCell ref="V261:X261"/>
    <mergeCell ref="Y261:AA261"/>
    <mergeCell ref="AB261:AD261"/>
    <mergeCell ref="AE261:AG261"/>
    <mergeCell ref="Y268:AA268"/>
    <mergeCell ref="AB268:AD268"/>
    <mergeCell ref="AE268:AG268"/>
    <mergeCell ref="D269:I269"/>
    <mergeCell ref="J269:L269"/>
    <mergeCell ref="M269:O269"/>
    <mergeCell ref="P269:R269"/>
    <mergeCell ref="S269:U269"/>
    <mergeCell ref="V269:X269"/>
    <mergeCell ref="Y269:AA269"/>
    <mergeCell ref="D268:I268"/>
    <mergeCell ref="J268:L268"/>
    <mergeCell ref="M268:O268"/>
    <mergeCell ref="P268:R268"/>
    <mergeCell ref="S268:U268"/>
    <mergeCell ref="V268:X268"/>
    <mergeCell ref="D266:AG266"/>
    <mergeCell ref="D267:I267"/>
    <mergeCell ref="J267:L267"/>
    <mergeCell ref="M267:O267"/>
    <mergeCell ref="P267:R267"/>
    <mergeCell ref="S267:U267"/>
    <mergeCell ref="V267:X267"/>
    <mergeCell ref="Y267:AA267"/>
    <mergeCell ref="AB267:AD267"/>
    <mergeCell ref="AE267:AG267"/>
    <mergeCell ref="AE270:AG270"/>
    <mergeCell ref="D271:I271"/>
    <mergeCell ref="J271:L271"/>
    <mergeCell ref="M271:O271"/>
    <mergeCell ref="P271:R271"/>
    <mergeCell ref="S271:U271"/>
    <mergeCell ref="V271:X271"/>
    <mergeCell ref="Y271:AA271"/>
    <mergeCell ref="AB271:AD271"/>
    <mergeCell ref="AE271:AG271"/>
    <mergeCell ref="AB269:AD269"/>
    <mergeCell ref="AE269:AG269"/>
    <mergeCell ref="D270:I270"/>
    <mergeCell ref="J270:L270"/>
    <mergeCell ref="M270:O270"/>
    <mergeCell ref="P270:R270"/>
    <mergeCell ref="S270:U270"/>
    <mergeCell ref="V270:X270"/>
    <mergeCell ref="Y270:AA270"/>
    <mergeCell ref="AB270:AD270"/>
    <mergeCell ref="Y274:AA274"/>
    <mergeCell ref="AB274:AD274"/>
    <mergeCell ref="AE274:AG274"/>
    <mergeCell ref="D275:I275"/>
    <mergeCell ref="J275:L275"/>
    <mergeCell ref="M275:O275"/>
    <mergeCell ref="P275:R275"/>
    <mergeCell ref="S275:U275"/>
    <mergeCell ref="V275:X275"/>
    <mergeCell ref="Y275:AA275"/>
    <mergeCell ref="D274:I274"/>
    <mergeCell ref="J274:L274"/>
    <mergeCell ref="M274:O274"/>
    <mergeCell ref="P274:R274"/>
    <mergeCell ref="S274:U274"/>
    <mergeCell ref="V274:X274"/>
    <mergeCell ref="D272:AG272"/>
    <mergeCell ref="D273:I273"/>
    <mergeCell ref="J273:L273"/>
    <mergeCell ref="M273:O273"/>
    <mergeCell ref="P273:R273"/>
    <mergeCell ref="S273:U273"/>
    <mergeCell ref="V273:X273"/>
    <mergeCell ref="Y273:AA273"/>
    <mergeCell ref="AB273:AD273"/>
    <mergeCell ref="AE273:AG273"/>
    <mergeCell ref="D278:AG278"/>
    <mergeCell ref="D279:I279"/>
    <mergeCell ref="J279:L279"/>
    <mergeCell ref="M279:O279"/>
    <mergeCell ref="P279:R279"/>
    <mergeCell ref="S279:U279"/>
    <mergeCell ref="V279:X279"/>
    <mergeCell ref="Y279:AA279"/>
    <mergeCell ref="AB279:AD279"/>
    <mergeCell ref="AB275:AD275"/>
    <mergeCell ref="AE275:AG275"/>
    <mergeCell ref="D277:I277"/>
    <mergeCell ref="J277:L277"/>
    <mergeCell ref="M277:O277"/>
    <mergeCell ref="P277:R277"/>
    <mergeCell ref="S277:U277"/>
    <mergeCell ref="V277:X277"/>
    <mergeCell ref="Y277:AA277"/>
    <mergeCell ref="AB277:AD277"/>
    <mergeCell ref="D276:I276"/>
    <mergeCell ref="J276:L276"/>
    <mergeCell ref="M276:O276"/>
    <mergeCell ref="P276:R276"/>
    <mergeCell ref="S276:U276"/>
    <mergeCell ref="V276:X276"/>
    <mergeCell ref="Y276:AA276"/>
    <mergeCell ref="AB276:AD276"/>
    <mergeCell ref="AE276:AG276"/>
    <mergeCell ref="AE277:AG277"/>
    <mergeCell ref="Y281:AA281"/>
    <mergeCell ref="AB281:AD281"/>
    <mergeCell ref="AE281:AG281"/>
    <mergeCell ref="D283:I283"/>
    <mergeCell ref="J283:L283"/>
    <mergeCell ref="M283:O283"/>
    <mergeCell ref="P283:R283"/>
    <mergeCell ref="S283:U283"/>
    <mergeCell ref="V283:X283"/>
    <mergeCell ref="Y283:AA283"/>
    <mergeCell ref="D281:I281"/>
    <mergeCell ref="J281:L281"/>
    <mergeCell ref="M281:O281"/>
    <mergeCell ref="P281:R281"/>
    <mergeCell ref="S281:U281"/>
    <mergeCell ref="V281:X281"/>
    <mergeCell ref="D282:I282"/>
    <mergeCell ref="J282:L282"/>
    <mergeCell ref="M282:O282"/>
    <mergeCell ref="P282:R282"/>
    <mergeCell ref="S282:U282"/>
    <mergeCell ref="V282:X282"/>
    <mergeCell ref="AB285:AD285"/>
    <mergeCell ref="AE285:AG285"/>
    <mergeCell ref="D286:I286"/>
    <mergeCell ref="J286:L286"/>
    <mergeCell ref="M286:O286"/>
    <mergeCell ref="P286:R286"/>
    <mergeCell ref="S286:U286"/>
    <mergeCell ref="V286:X286"/>
    <mergeCell ref="Y286:AA286"/>
    <mergeCell ref="AB286:AD286"/>
    <mergeCell ref="AB283:AD283"/>
    <mergeCell ref="AE283:AG283"/>
    <mergeCell ref="D284:AG284"/>
    <mergeCell ref="D285:I285"/>
    <mergeCell ref="J285:L285"/>
    <mergeCell ref="M285:O285"/>
    <mergeCell ref="P285:R285"/>
    <mergeCell ref="S285:U285"/>
    <mergeCell ref="V285:X285"/>
    <mergeCell ref="Y285:AA285"/>
    <mergeCell ref="Q309:S309"/>
    <mergeCell ref="T309:V309"/>
    <mergeCell ref="W309:Y309"/>
    <mergeCell ref="Z309:AB309"/>
    <mergeCell ref="AC309:AE309"/>
    <mergeCell ref="AF309:AH309"/>
    <mergeCell ref="D308:G309"/>
    <mergeCell ref="H308:AH308"/>
    <mergeCell ref="H309:J309"/>
    <mergeCell ref="K309:M309"/>
    <mergeCell ref="N309:P309"/>
    <mergeCell ref="AE286:AG286"/>
    <mergeCell ref="D291:R291"/>
    <mergeCell ref="S291:AG291"/>
    <mergeCell ref="D292:R292"/>
    <mergeCell ref="S292:AG292"/>
    <mergeCell ref="D293:R293"/>
    <mergeCell ref="S293:AG293"/>
    <mergeCell ref="AF311:AH311"/>
    <mergeCell ref="D312:G312"/>
    <mergeCell ref="H312:J312"/>
    <mergeCell ref="K312:M312"/>
    <mergeCell ref="N312:P312"/>
    <mergeCell ref="Q312:S312"/>
    <mergeCell ref="T312:V312"/>
    <mergeCell ref="W312:Y312"/>
    <mergeCell ref="Z312:AB312"/>
    <mergeCell ref="AC312:AE312"/>
    <mergeCell ref="D310:AH310"/>
    <mergeCell ref="D311:G311"/>
    <mergeCell ref="H311:J311"/>
    <mergeCell ref="K311:M311"/>
    <mergeCell ref="N311:P311"/>
    <mergeCell ref="Q311:S311"/>
    <mergeCell ref="T311:V311"/>
    <mergeCell ref="W311:Y311"/>
    <mergeCell ref="Z311:AB311"/>
    <mergeCell ref="AC311:AE311"/>
    <mergeCell ref="AF313:AH313"/>
    <mergeCell ref="D314:G314"/>
    <mergeCell ref="H314:J314"/>
    <mergeCell ref="K314:M314"/>
    <mergeCell ref="N314:P314"/>
    <mergeCell ref="Q314:S314"/>
    <mergeCell ref="T314:V314"/>
    <mergeCell ref="W314:Y314"/>
    <mergeCell ref="Z314:AB314"/>
    <mergeCell ref="AC314:AE314"/>
    <mergeCell ref="AF312:AH312"/>
    <mergeCell ref="D313:G313"/>
    <mergeCell ref="H313:J313"/>
    <mergeCell ref="K313:M313"/>
    <mergeCell ref="N313:P313"/>
    <mergeCell ref="Q313:S313"/>
    <mergeCell ref="T313:V313"/>
    <mergeCell ref="W313:Y313"/>
    <mergeCell ref="Z313:AB313"/>
    <mergeCell ref="AC313:AE313"/>
    <mergeCell ref="AF315:AH315"/>
    <mergeCell ref="D316:AH316"/>
    <mergeCell ref="D317:G317"/>
    <mergeCell ref="H317:J317"/>
    <mergeCell ref="K317:M317"/>
    <mergeCell ref="N317:P317"/>
    <mergeCell ref="Q317:S317"/>
    <mergeCell ref="T317:V317"/>
    <mergeCell ref="W317:Y317"/>
    <mergeCell ref="Z317:AB317"/>
    <mergeCell ref="AF314:AH314"/>
    <mergeCell ref="D315:G315"/>
    <mergeCell ref="H315:J315"/>
    <mergeCell ref="K315:M315"/>
    <mergeCell ref="N315:P315"/>
    <mergeCell ref="Q315:S315"/>
    <mergeCell ref="T315:V315"/>
    <mergeCell ref="W315:Y315"/>
    <mergeCell ref="Z315:AB315"/>
    <mergeCell ref="AC315:AE315"/>
    <mergeCell ref="AC318:AE318"/>
    <mergeCell ref="AF318:AH318"/>
    <mergeCell ref="D319:G319"/>
    <mergeCell ref="H319:J319"/>
    <mergeCell ref="K319:M319"/>
    <mergeCell ref="N319:P319"/>
    <mergeCell ref="Q319:S319"/>
    <mergeCell ref="T319:V319"/>
    <mergeCell ref="W319:Y319"/>
    <mergeCell ref="Z319:AB319"/>
    <mergeCell ref="AC317:AE317"/>
    <mergeCell ref="AF317:AH317"/>
    <mergeCell ref="D318:G318"/>
    <mergeCell ref="H318:J318"/>
    <mergeCell ref="K318:M318"/>
    <mergeCell ref="N318:P318"/>
    <mergeCell ref="Q318:S318"/>
    <mergeCell ref="T318:V318"/>
    <mergeCell ref="W318:Y318"/>
    <mergeCell ref="Z318:AB318"/>
    <mergeCell ref="AC321:AE321"/>
    <mergeCell ref="AF321:AH321"/>
    <mergeCell ref="D322:AH322"/>
    <mergeCell ref="D323:G323"/>
    <mergeCell ref="H323:J323"/>
    <mergeCell ref="K323:M323"/>
    <mergeCell ref="N323:P323"/>
    <mergeCell ref="Q323:S323"/>
    <mergeCell ref="T323:V323"/>
    <mergeCell ref="W323:Y323"/>
    <mergeCell ref="AC319:AE319"/>
    <mergeCell ref="AF319:AH319"/>
    <mergeCell ref="D321:G321"/>
    <mergeCell ref="H321:J321"/>
    <mergeCell ref="K321:M321"/>
    <mergeCell ref="N321:P321"/>
    <mergeCell ref="Q321:S321"/>
    <mergeCell ref="T321:V321"/>
    <mergeCell ref="W321:Y321"/>
    <mergeCell ref="Z321:AB321"/>
    <mergeCell ref="D320:G320"/>
    <mergeCell ref="H320:J320"/>
    <mergeCell ref="K320:M320"/>
    <mergeCell ref="N320:P320"/>
    <mergeCell ref="Q320:S320"/>
    <mergeCell ref="T320:V320"/>
    <mergeCell ref="W320:Y320"/>
    <mergeCell ref="Z320:AB320"/>
    <mergeCell ref="AC320:AE320"/>
    <mergeCell ref="AF320:AH320"/>
    <mergeCell ref="Z324:AB324"/>
    <mergeCell ref="AC324:AE324"/>
    <mergeCell ref="AF324:AH324"/>
    <mergeCell ref="D325:G325"/>
    <mergeCell ref="H325:J325"/>
    <mergeCell ref="K325:M325"/>
    <mergeCell ref="N325:P325"/>
    <mergeCell ref="Q325:S325"/>
    <mergeCell ref="T325:V325"/>
    <mergeCell ref="W325:Y325"/>
    <mergeCell ref="Z323:AB323"/>
    <mergeCell ref="AC323:AE323"/>
    <mergeCell ref="AF323:AH323"/>
    <mergeCell ref="D324:G324"/>
    <mergeCell ref="H324:J324"/>
    <mergeCell ref="K324:M324"/>
    <mergeCell ref="N324:P324"/>
    <mergeCell ref="Q324:S324"/>
    <mergeCell ref="T324:V324"/>
    <mergeCell ref="W324:Y324"/>
    <mergeCell ref="Z327:AB327"/>
    <mergeCell ref="AC327:AE327"/>
    <mergeCell ref="AF327:AH327"/>
    <mergeCell ref="D328:AH328"/>
    <mergeCell ref="D329:G329"/>
    <mergeCell ref="H329:J329"/>
    <mergeCell ref="K329:M329"/>
    <mergeCell ref="N329:P329"/>
    <mergeCell ref="Q329:S329"/>
    <mergeCell ref="T329:V329"/>
    <mergeCell ref="Z325:AB325"/>
    <mergeCell ref="AC325:AE325"/>
    <mergeCell ref="AF325:AH325"/>
    <mergeCell ref="D327:G327"/>
    <mergeCell ref="H327:J327"/>
    <mergeCell ref="K327:M327"/>
    <mergeCell ref="N327:P327"/>
    <mergeCell ref="Q327:S327"/>
    <mergeCell ref="T327:V327"/>
    <mergeCell ref="W327:Y327"/>
    <mergeCell ref="D326:G326"/>
    <mergeCell ref="H326:J326"/>
    <mergeCell ref="K326:M326"/>
    <mergeCell ref="N326:P326"/>
    <mergeCell ref="Q326:S326"/>
    <mergeCell ref="T326:V326"/>
    <mergeCell ref="W326:Y326"/>
    <mergeCell ref="Z326:AB326"/>
    <mergeCell ref="AC326:AE326"/>
    <mergeCell ref="AF326:AH326"/>
    <mergeCell ref="W330:Y330"/>
    <mergeCell ref="Z330:AB330"/>
    <mergeCell ref="AC330:AE330"/>
    <mergeCell ref="AF330:AH330"/>
    <mergeCell ref="D333:G334"/>
    <mergeCell ref="H333:AH333"/>
    <mergeCell ref="H334:J334"/>
    <mergeCell ref="K334:M334"/>
    <mergeCell ref="N334:P334"/>
    <mergeCell ref="Q334:S334"/>
    <mergeCell ref="W329:Y329"/>
    <mergeCell ref="Z329:AB329"/>
    <mergeCell ref="AC329:AE329"/>
    <mergeCell ref="AF329:AH329"/>
    <mergeCell ref="D330:G330"/>
    <mergeCell ref="H330:J330"/>
    <mergeCell ref="K330:M330"/>
    <mergeCell ref="N330:P330"/>
    <mergeCell ref="Q330:S330"/>
    <mergeCell ref="T330:V330"/>
    <mergeCell ref="W336:Y336"/>
    <mergeCell ref="Z336:AB336"/>
    <mergeCell ref="AC336:AE336"/>
    <mergeCell ref="AF336:AH336"/>
    <mergeCell ref="D337:G337"/>
    <mergeCell ref="H337:J337"/>
    <mergeCell ref="K337:M337"/>
    <mergeCell ref="N337:P337"/>
    <mergeCell ref="Q337:S337"/>
    <mergeCell ref="T337:V337"/>
    <mergeCell ref="D336:G336"/>
    <mergeCell ref="H336:J336"/>
    <mergeCell ref="K336:M336"/>
    <mergeCell ref="N336:P336"/>
    <mergeCell ref="Q336:S336"/>
    <mergeCell ref="T336:V336"/>
    <mergeCell ref="T334:V334"/>
    <mergeCell ref="W334:Y334"/>
    <mergeCell ref="Z334:AB334"/>
    <mergeCell ref="AC334:AE334"/>
    <mergeCell ref="AF334:AH334"/>
    <mergeCell ref="D335:AH335"/>
    <mergeCell ref="W338:Y338"/>
    <mergeCell ref="Z338:AB338"/>
    <mergeCell ref="AC338:AE338"/>
    <mergeCell ref="AF338:AH338"/>
    <mergeCell ref="D339:G339"/>
    <mergeCell ref="H339:J339"/>
    <mergeCell ref="K339:M339"/>
    <mergeCell ref="N339:P339"/>
    <mergeCell ref="Q339:S339"/>
    <mergeCell ref="T339:V339"/>
    <mergeCell ref="W337:Y337"/>
    <mergeCell ref="Z337:AB337"/>
    <mergeCell ref="AC337:AE337"/>
    <mergeCell ref="AF337:AH337"/>
    <mergeCell ref="D338:G338"/>
    <mergeCell ref="H338:J338"/>
    <mergeCell ref="K338:M338"/>
    <mergeCell ref="N338:P338"/>
    <mergeCell ref="Q338:S338"/>
    <mergeCell ref="T338:V338"/>
    <mergeCell ref="W340:Y340"/>
    <mergeCell ref="Z340:AB340"/>
    <mergeCell ref="AC340:AE340"/>
    <mergeCell ref="AF340:AH340"/>
    <mergeCell ref="D341:AH341"/>
    <mergeCell ref="D342:G342"/>
    <mergeCell ref="H342:J342"/>
    <mergeCell ref="K342:M342"/>
    <mergeCell ref="N342:P342"/>
    <mergeCell ref="Q342:S342"/>
    <mergeCell ref="T343:V343"/>
    <mergeCell ref="W343:Y343"/>
    <mergeCell ref="Z343:AB343"/>
    <mergeCell ref="AC343:AE343"/>
    <mergeCell ref="AF343:AH343"/>
    <mergeCell ref="W339:Y339"/>
    <mergeCell ref="Z339:AB339"/>
    <mergeCell ref="AC339:AE339"/>
    <mergeCell ref="AF339:AH339"/>
    <mergeCell ref="D340:G340"/>
    <mergeCell ref="H340:J340"/>
    <mergeCell ref="K340:M340"/>
    <mergeCell ref="N340:P340"/>
    <mergeCell ref="Q340:S340"/>
    <mergeCell ref="T340:V340"/>
    <mergeCell ref="T342:V342"/>
    <mergeCell ref="W342:Y342"/>
    <mergeCell ref="Z342:AB342"/>
    <mergeCell ref="AC342:AE342"/>
    <mergeCell ref="AF342:AH342"/>
    <mergeCell ref="D343:G343"/>
    <mergeCell ref="H343:J343"/>
    <mergeCell ref="D346:G346"/>
    <mergeCell ref="H346:J346"/>
    <mergeCell ref="W351:Y351"/>
    <mergeCell ref="Z351:AB351"/>
    <mergeCell ref="AC351:AE351"/>
    <mergeCell ref="K348:M348"/>
    <mergeCell ref="N348:P348"/>
    <mergeCell ref="Q348:S348"/>
    <mergeCell ref="D345:G345"/>
    <mergeCell ref="H345:J345"/>
    <mergeCell ref="K345:M345"/>
    <mergeCell ref="N345:P345"/>
    <mergeCell ref="Q345:S345"/>
    <mergeCell ref="T345:V345"/>
    <mergeCell ref="W345:Y345"/>
    <mergeCell ref="Z345:AB345"/>
    <mergeCell ref="AC345:AE345"/>
    <mergeCell ref="T346:V346"/>
    <mergeCell ref="W346:Y346"/>
    <mergeCell ref="Z346:AB346"/>
    <mergeCell ref="AC346:AE346"/>
    <mergeCell ref="D350:G350"/>
    <mergeCell ref="K346:M346"/>
    <mergeCell ref="N346:P346"/>
    <mergeCell ref="Q346:S346"/>
    <mergeCell ref="D348:G348"/>
    <mergeCell ref="H348:J348"/>
    <mergeCell ref="D351:G351"/>
    <mergeCell ref="H351:J351"/>
    <mergeCell ref="Q349:S349"/>
    <mergeCell ref="T349:V349"/>
    <mergeCell ref="AF351:AH351"/>
    <mergeCell ref="W352:Y352"/>
    <mergeCell ref="Z352:AB352"/>
    <mergeCell ref="AC352:AE352"/>
    <mergeCell ref="AF352:AH352"/>
    <mergeCell ref="W348:Y348"/>
    <mergeCell ref="Z348:AB348"/>
    <mergeCell ref="AC348:AE348"/>
    <mergeCell ref="AF348:AH348"/>
    <mergeCell ref="K343:M343"/>
    <mergeCell ref="N343:P343"/>
    <mergeCell ref="Q343:S343"/>
    <mergeCell ref="T344:V344"/>
    <mergeCell ref="W344:Y344"/>
    <mergeCell ref="Z344:AB344"/>
    <mergeCell ref="AC344:AE344"/>
    <mergeCell ref="AF344:AH344"/>
    <mergeCell ref="AF345:AH345"/>
    <mergeCell ref="AF346:AH346"/>
    <mergeCell ref="K351:M351"/>
    <mergeCell ref="N351:P351"/>
    <mergeCell ref="Q351:S351"/>
    <mergeCell ref="T351:V351"/>
    <mergeCell ref="D347:AH347"/>
    <mergeCell ref="W349:Y349"/>
    <mergeCell ref="Z349:AB349"/>
    <mergeCell ref="AC349:AE349"/>
    <mergeCell ref="AF349:AH349"/>
    <mergeCell ref="D349:G349"/>
    <mergeCell ref="H349:J349"/>
    <mergeCell ref="K349:M349"/>
    <mergeCell ref="N349:P349"/>
    <mergeCell ref="AF354:AH354"/>
    <mergeCell ref="D355:G355"/>
    <mergeCell ref="H355:J355"/>
    <mergeCell ref="K355:M355"/>
    <mergeCell ref="N355:P355"/>
    <mergeCell ref="Q355:S355"/>
    <mergeCell ref="H350:J350"/>
    <mergeCell ref="K350:M350"/>
    <mergeCell ref="N350:P350"/>
    <mergeCell ref="Q350:S350"/>
    <mergeCell ref="T350:V350"/>
    <mergeCell ref="D344:G344"/>
    <mergeCell ref="H344:J344"/>
    <mergeCell ref="K344:M344"/>
    <mergeCell ref="N344:P344"/>
    <mergeCell ref="Q344:S344"/>
    <mergeCell ref="D353:AH353"/>
    <mergeCell ref="D354:G354"/>
    <mergeCell ref="H354:J354"/>
    <mergeCell ref="K354:M354"/>
    <mergeCell ref="N354:P354"/>
    <mergeCell ref="Q354:S354"/>
    <mergeCell ref="W350:Y350"/>
    <mergeCell ref="Z350:AB350"/>
    <mergeCell ref="AC350:AE350"/>
    <mergeCell ref="AF350:AH350"/>
    <mergeCell ref="D352:G352"/>
    <mergeCell ref="H352:J352"/>
    <mergeCell ref="K352:M352"/>
    <mergeCell ref="N352:P352"/>
    <mergeCell ref="Q352:S352"/>
    <mergeCell ref="T352:V352"/>
    <mergeCell ref="D387:H387"/>
    <mergeCell ref="I387:M387"/>
    <mergeCell ref="N387:R387"/>
    <mergeCell ref="S387:W387"/>
    <mergeCell ref="X387:AB387"/>
    <mergeCell ref="AC387:AG387"/>
    <mergeCell ref="D380:AG381"/>
    <mergeCell ref="D383:AG383"/>
    <mergeCell ref="D385:H386"/>
    <mergeCell ref="I385:AG385"/>
    <mergeCell ref="I386:M386"/>
    <mergeCell ref="N386:R386"/>
    <mergeCell ref="S386:W386"/>
    <mergeCell ref="X386:AB386"/>
    <mergeCell ref="AC386:AG386"/>
    <mergeCell ref="D372:AG372"/>
    <mergeCell ref="D359:R359"/>
    <mergeCell ref="S359:AG359"/>
    <mergeCell ref="D360:R360"/>
    <mergeCell ref="S360:AG360"/>
    <mergeCell ref="D390:H390"/>
    <mergeCell ref="I390:M390"/>
    <mergeCell ref="N390:R390"/>
    <mergeCell ref="S390:W390"/>
    <mergeCell ref="X390:AB390"/>
    <mergeCell ref="AC390:AG390"/>
    <mergeCell ref="D389:H389"/>
    <mergeCell ref="I389:M389"/>
    <mergeCell ref="N389:R389"/>
    <mergeCell ref="S389:W389"/>
    <mergeCell ref="X389:AB389"/>
    <mergeCell ref="AC389:AG389"/>
    <mergeCell ref="D388:H388"/>
    <mergeCell ref="I388:M388"/>
    <mergeCell ref="N388:R388"/>
    <mergeCell ref="S388:W388"/>
    <mergeCell ref="X388:AB388"/>
    <mergeCell ref="AC388:AG388"/>
    <mergeCell ref="D393:H393"/>
    <mergeCell ref="I393:M393"/>
    <mergeCell ref="N393:R393"/>
    <mergeCell ref="S393:W393"/>
    <mergeCell ref="X393:AB393"/>
    <mergeCell ref="AC393:AG393"/>
    <mergeCell ref="D392:H392"/>
    <mergeCell ref="I392:M392"/>
    <mergeCell ref="N392:R392"/>
    <mergeCell ref="S392:W392"/>
    <mergeCell ref="X392:AB392"/>
    <mergeCell ref="AC392:AG392"/>
    <mergeCell ref="D391:H391"/>
    <mergeCell ref="I391:M391"/>
    <mergeCell ref="N391:R391"/>
    <mergeCell ref="S391:W391"/>
    <mergeCell ref="X391:AB391"/>
    <mergeCell ref="AC391:AG391"/>
    <mergeCell ref="D394:H394"/>
    <mergeCell ref="I394:M394"/>
    <mergeCell ref="N394:R394"/>
    <mergeCell ref="S394:W394"/>
    <mergeCell ref="X394:AB394"/>
    <mergeCell ref="AC394:AG394"/>
    <mergeCell ref="D425:H425"/>
    <mergeCell ref="I425:M425"/>
    <mergeCell ref="N425:R425"/>
    <mergeCell ref="S425:W425"/>
    <mergeCell ref="X425:AB425"/>
    <mergeCell ref="AC425:AG425"/>
    <mergeCell ref="D421:AG421"/>
    <mergeCell ref="D423:H424"/>
    <mergeCell ref="I423:AG423"/>
    <mergeCell ref="I424:M424"/>
    <mergeCell ref="N424:R424"/>
    <mergeCell ref="S424:W424"/>
    <mergeCell ref="X424:AB424"/>
    <mergeCell ref="AC424:AG424"/>
    <mergeCell ref="D415:AG417"/>
    <mergeCell ref="D397:H398"/>
    <mergeCell ref="I397:AG397"/>
    <mergeCell ref="I398:M398"/>
    <mergeCell ref="N398:R398"/>
    <mergeCell ref="S398:W398"/>
    <mergeCell ref="X398:AB398"/>
    <mergeCell ref="AC398:AG398"/>
    <mergeCell ref="D399:H399"/>
    <mergeCell ref="I399:M399"/>
    <mergeCell ref="N399:R399"/>
    <mergeCell ref="S399:W399"/>
    <mergeCell ref="X427:AB427"/>
    <mergeCell ref="AC427:AG427"/>
    <mergeCell ref="D426:H426"/>
    <mergeCell ref="I426:M426"/>
    <mergeCell ref="N426:R426"/>
    <mergeCell ref="S426:W426"/>
    <mergeCell ref="X426:AB426"/>
    <mergeCell ref="AC426:AG426"/>
    <mergeCell ref="D430:H430"/>
    <mergeCell ref="I430:M430"/>
    <mergeCell ref="N430:R430"/>
    <mergeCell ref="S430:W430"/>
    <mergeCell ref="X430:AB430"/>
    <mergeCell ref="AC430:AG430"/>
    <mergeCell ref="D429:H429"/>
    <mergeCell ref="I429:M429"/>
    <mergeCell ref="N429:R429"/>
    <mergeCell ref="S429:W429"/>
    <mergeCell ref="X429:AB429"/>
    <mergeCell ref="AC429:AG429"/>
    <mergeCell ref="D432:H433"/>
    <mergeCell ref="I432:AG432"/>
    <mergeCell ref="I433:M433"/>
    <mergeCell ref="N433:R433"/>
    <mergeCell ref="S433:W433"/>
    <mergeCell ref="X433:AB433"/>
    <mergeCell ref="AC433:AG433"/>
    <mergeCell ref="D434:H434"/>
    <mergeCell ref="I434:M434"/>
    <mergeCell ref="N434:R434"/>
    <mergeCell ref="S434:W434"/>
    <mergeCell ref="X434:AB434"/>
    <mergeCell ref="AC434:AG434"/>
    <mergeCell ref="D453:L453"/>
    <mergeCell ref="M453:S453"/>
    <mergeCell ref="T453:Z453"/>
    <mergeCell ref="AA453:AG453"/>
    <mergeCell ref="D451:L451"/>
    <mergeCell ref="M451:S451"/>
    <mergeCell ref="T451:Z451"/>
    <mergeCell ref="AA451:AG451"/>
    <mergeCell ref="D452:L452"/>
    <mergeCell ref="M452:S452"/>
    <mergeCell ref="T452:Z452"/>
    <mergeCell ref="AA452:AG452"/>
    <mergeCell ref="D448:AG448"/>
    <mergeCell ref="D449:L449"/>
    <mergeCell ref="M449:S449"/>
    <mergeCell ref="T449:Z449"/>
    <mergeCell ref="AA449:AG449"/>
    <mergeCell ref="D450:L450"/>
    <mergeCell ref="M450:S450"/>
    <mergeCell ref="D455:AG455"/>
    <mergeCell ref="D456:L456"/>
    <mergeCell ref="M456:S456"/>
    <mergeCell ref="T456:Z456"/>
    <mergeCell ref="AA456:AG456"/>
    <mergeCell ref="D457:L457"/>
    <mergeCell ref="M457:S457"/>
    <mergeCell ref="T457:Z457"/>
    <mergeCell ref="AA457:AG457"/>
    <mergeCell ref="D488:M489"/>
    <mergeCell ref="N488:AG488"/>
    <mergeCell ref="N489:W489"/>
    <mergeCell ref="X489:AG489"/>
    <mergeCell ref="D490:M490"/>
    <mergeCell ref="N490:W490"/>
    <mergeCell ref="X490:AG490"/>
    <mergeCell ref="D462:L462"/>
    <mergeCell ref="M462:S462"/>
    <mergeCell ref="T462:Z462"/>
    <mergeCell ref="AA462:AG462"/>
    <mergeCell ref="D463:L463"/>
    <mergeCell ref="M463:S463"/>
    <mergeCell ref="T463:Z463"/>
    <mergeCell ref="AA463:AG463"/>
    <mergeCell ref="D460:L460"/>
    <mergeCell ref="M460:S460"/>
    <mergeCell ref="T460:Z460"/>
    <mergeCell ref="AA460:AG460"/>
    <mergeCell ref="D461:L461"/>
    <mergeCell ref="M461:S461"/>
    <mergeCell ref="T461:Z461"/>
    <mergeCell ref="AA461:AG461"/>
    <mergeCell ref="D469:AG469"/>
    <mergeCell ref="D470:L470"/>
    <mergeCell ref="M470:S470"/>
    <mergeCell ref="T470:Z470"/>
    <mergeCell ref="AA470:AG470"/>
    <mergeCell ref="D471:L471"/>
    <mergeCell ref="M471:S471"/>
    <mergeCell ref="T471:Z471"/>
    <mergeCell ref="AA471:AG471"/>
    <mergeCell ref="D515:O515"/>
    <mergeCell ref="P515:X515"/>
    <mergeCell ref="Y515:AG515"/>
    <mergeCell ref="D510:AG510"/>
    <mergeCell ref="D512:O512"/>
    <mergeCell ref="P512:X512"/>
    <mergeCell ref="Y512:AG512"/>
    <mergeCell ref="D513:O513"/>
    <mergeCell ref="P513:X513"/>
    <mergeCell ref="Y513:AG513"/>
    <mergeCell ref="D491:M491"/>
    <mergeCell ref="N491:W491"/>
    <mergeCell ref="X491:AG491"/>
    <mergeCell ref="D492:M492"/>
    <mergeCell ref="N492:W492"/>
    <mergeCell ref="X492:AG492"/>
    <mergeCell ref="D486:AG486"/>
    <mergeCell ref="D501:M501"/>
    <mergeCell ref="N501:W501"/>
    <mergeCell ref="X501:AG501"/>
    <mergeCell ref="D502:M502"/>
    <mergeCell ref="N502:W502"/>
    <mergeCell ref="X502:AG502"/>
    <mergeCell ref="Y520:AG520"/>
    <mergeCell ref="D521:O521"/>
    <mergeCell ref="P521:X521"/>
    <mergeCell ref="Y521:AG521"/>
    <mergeCell ref="D543:Q543"/>
    <mergeCell ref="R543:AG543"/>
    <mergeCell ref="D540:Q540"/>
    <mergeCell ref="R540:AG540"/>
    <mergeCell ref="D541:Q541"/>
    <mergeCell ref="R541:AG541"/>
    <mergeCell ref="D542:Q542"/>
    <mergeCell ref="R542:AG542"/>
    <mergeCell ref="D537:Q537"/>
    <mergeCell ref="R537:AG537"/>
    <mergeCell ref="D538:Q538"/>
    <mergeCell ref="R538:AG538"/>
    <mergeCell ref="D539:Q539"/>
    <mergeCell ref="R539:AG539"/>
    <mergeCell ref="P524:X524"/>
    <mergeCell ref="Y524:AG524"/>
    <mergeCell ref="D534:Q534"/>
    <mergeCell ref="R534:AG534"/>
    <mergeCell ref="D535:Q535"/>
    <mergeCell ref="R535:AG535"/>
    <mergeCell ref="D523:O523"/>
    <mergeCell ref="P523:X523"/>
    <mergeCell ref="Y523:AG523"/>
    <mergeCell ref="D520:O520"/>
    <mergeCell ref="P520:X520"/>
    <mergeCell ref="N559:R559"/>
    <mergeCell ref="S559:W559"/>
    <mergeCell ref="X559:AB559"/>
    <mergeCell ref="AC559:AG559"/>
    <mergeCell ref="D558:H558"/>
    <mergeCell ref="I558:M558"/>
    <mergeCell ref="N558:R558"/>
    <mergeCell ref="S558:W558"/>
    <mergeCell ref="X558:AB558"/>
    <mergeCell ref="AC558:AG558"/>
    <mergeCell ref="D557:H557"/>
    <mergeCell ref="I557:M557"/>
    <mergeCell ref="N557:R557"/>
    <mergeCell ref="S557:W557"/>
    <mergeCell ref="X557:AB557"/>
    <mergeCell ref="AC557:AG557"/>
    <mergeCell ref="D560:H560"/>
    <mergeCell ref="I569:M569"/>
    <mergeCell ref="N569:R569"/>
    <mergeCell ref="S569:W569"/>
    <mergeCell ref="X569:AB569"/>
    <mergeCell ref="AC569:AG569"/>
    <mergeCell ref="S565:W565"/>
    <mergeCell ref="X565:AB565"/>
    <mergeCell ref="AC565:AG565"/>
    <mergeCell ref="D569:H569"/>
    <mergeCell ref="N594:W594"/>
    <mergeCell ref="X594:AG594"/>
    <mergeCell ref="I555:M555"/>
    <mergeCell ref="N555:R555"/>
    <mergeCell ref="N556:R556"/>
    <mergeCell ref="S556:W556"/>
    <mergeCell ref="X556:AB556"/>
    <mergeCell ref="AC556:AG556"/>
    <mergeCell ref="D567:H567"/>
    <mergeCell ref="I567:M567"/>
    <mergeCell ref="N567:R567"/>
    <mergeCell ref="S567:W567"/>
    <mergeCell ref="X567:AB567"/>
    <mergeCell ref="AC567:AG567"/>
    <mergeCell ref="D568:H568"/>
    <mergeCell ref="I568:M568"/>
    <mergeCell ref="N568:R568"/>
    <mergeCell ref="S568:W568"/>
    <mergeCell ref="X568:AB568"/>
    <mergeCell ref="AC568:AG568"/>
    <mergeCell ref="AC560:AG560"/>
    <mergeCell ref="D559:H559"/>
    <mergeCell ref="I559:M559"/>
    <mergeCell ref="X595:AG595"/>
    <mergeCell ref="D592:M592"/>
    <mergeCell ref="N592:W592"/>
    <mergeCell ref="X592:AG592"/>
    <mergeCell ref="D593:M593"/>
    <mergeCell ref="N593:W593"/>
    <mergeCell ref="X593:AG593"/>
    <mergeCell ref="D575:AG575"/>
    <mergeCell ref="D590:M590"/>
    <mergeCell ref="N590:W590"/>
    <mergeCell ref="X590:AG590"/>
    <mergeCell ref="D591:M591"/>
    <mergeCell ref="N591:W591"/>
    <mergeCell ref="X591:AG591"/>
    <mergeCell ref="D571:H571"/>
    <mergeCell ref="I571:M571"/>
    <mergeCell ref="D570:H570"/>
    <mergeCell ref="I570:M570"/>
    <mergeCell ref="N570:R570"/>
    <mergeCell ref="S570:W570"/>
    <mergeCell ref="X570:AB570"/>
    <mergeCell ref="AC570:AG570"/>
    <mergeCell ref="D604:M604"/>
    <mergeCell ref="N604:W604"/>
    <mergeCell ref="X604:AG604"/>
    <mergeCell ref="D605:M605"/>
    <mergeCell ref="N605:W605"/>
    <mergeCell ref="X605:AG605"/>
    <mergeCell ref="D601:AG601"/>
    <mergeCell ref="D603:M603"/>
    <mergeCell ref="N603:W603"/>
    <mergeCell ref="X603:AG603"/>
    <mergeCell ref="D596:M596"/>
    <mergeCell ref="N596:W596"/>
    <mergeCell ref="X596:AG596"/>
    <mergeCell ref="D610:M610"/>
    <mergeCell ref="N610:W610"/>
    <mergeCell ref="X610:AG610"/>
    <mergeCell ref="X577:AG577"/>
    <mergeCell ref="D578:M578"/>
    <mergeCell ref="N578:W578"/>
    <mergeCell ref="X578:AG578"/>
    <mergeCell ref="D579:M579"/>
    <mergeCell ref="N579:W579"/>
    <mergeCell ref="X579:AG579"/>
    <mergeCell ref="D580:M580"/>
    <mergeCell ref="N580:W580"/>
    <mergeCell ref="X580:AG580"/>
    <mergeCell ref="D581:M581"/>
    <mergeCell ref="N581:W581"/>
    <mergeCell ref="X581:AG581"/>
    <mergeCell ref="D594:M594"/>
    <mergeCell ref="D595:M595"/>
    <mergeCell ref="N595:W595"/>
    <mergeCell ref="D611:M611"/>
    <mergeCell ref="N611:W611"/>
    <mergeCell ref="X611:AG611"/>
    <mergeCell ref="D608:M608"/>
    <mergeCell ref="N608:W608"/>
    <mergeCell ref="X608:AG608"/>
    <mergeCell ref="D609:M609"/>
    <mergeCell ref="N609:W609"/>
    <mergeCell ref="X609:AG609"/>
    <mergeCell ref="D606:M606"/>
    <mergeCell ref="N606:W606"/>
    <mergeCell ref="X606:AG606"/>
    <mergeCell ref="D607:M607"/>
    <mergeCell ref="N607:W607"/>
    <mergeCell ref="X607:AG607"/>
    <mergeCell ref="D616:M616"/>
    <mergeCell ref="N616:W616"/>
    <mergeCell ref="X616:AG616"/>
    <mergeCell ref="D617:M617"/>
    <mergeCell ref="N617:W617"/>
    <mergeCell ref="X617:AG617"/>
    <mergeCell ref="D614:M614"/>
    <mergeCell ref="N614:W614"/>
    <mergeCell ref="X614:AG614"/>
    <mergeCell ref="D615:M615"/>
    <mergeCell ref="N615:W615"/>
    <mergeCell ref="X615:AG615"/>
    <mergeCell ref="D612:M612"/>
    <mergeCell ref="N612:W612"/>
    <mergeCell ref="X612:AG612"/>
    <mergeCell ref="D613:M613"/>
    <mergeCell ref="N613:W613"/>
    <mergeCell ref="X613:AG613"/>
    <mergeCell ref="D621:M621"/>
    <mergeCell ref="N621:W621"/>
    <mergeCell ref="X621:AG621"/>
    <mergeCell ref="D624:AG624"/>
    <mergeCell ref="D627:M627"/>
    <mergeCell ref="N627:W627"/>
    <mergeCell ref="X627:AG627"/>
    <mergeCell ref="D632:M632"/>
    <mergeCell ref="N632:W632"/>
    <mergeCell ref="X632:AG632"/>
    <mergeCell ref="D633:M633"/>
    <mergeCell ref="N633:W633"/>
    <mergeCell ref="X633:AG633"/>
    <mergeCell ref="D618:M618"/>
    <mergeCell ref="N618:W618"/>
    <mergeCell ref="X618:AG618"/>
    <mergeCell ref="D619:M619"/>
    <mergeCell ref="N619:W619"/>
    <mergeCell ref="X619:AG619"/>
    <mergeCell ref="D620:M620"/>
    <mergeCell ref="N620:W620"/>
    <mergeCell ref="X620:AG620"/>
    <mergeCell ref="D625:AG625"/>
    <mergeCell ref="N653:W653"/>
    <mergeCell ref="X653:AG653"/>
    <mergeCell ref="D630:M630"/>
    <mergeCell ref="N630:W630"/>
    <mergeCell ref="X630:AG630"/>
    <mergeCell ref="D631:M631"/>
    <mergeCell ref="N631:W631"/>
    <mergeCell ref="X631:AG631"/>
    <mergeCell ref="D639:AG639"/>
    <mergeCell ref="D641:J641"/>
    <mergeCell ref="K641:M641"/>
    <mergeCell ref="AD641:AG641"/>
    <mergeCell ref="D628:M628"/>
    <mergeCell ref="N628:W628"/>
    <mergeCell ref="X628:AG628"/>
    <mergeCell ref="D629:M629"/>
    <mergeCell ref="N629:W629"/>
    <mergeCell ref="X629:AG629"/>
    <mergeCell ref="D642:AG642"/>
    <mergeCell ref="D643:J643"/>
    <mergeCell ref="K643:M643"/>
    <mergeCell ref="N641:Q641"/>
    <mergeCell ref="R641:U641"/>
    <mergeCell ref="V641:Y641"/>
    <mergeCell ref="Z641:AC641"/>
    <mergeCell ref="N643:Q643"/>
    <mergeCell ref="R643:U643"/>
    <mergeCell ref="V643:Y643"/>
    <mergeCell ref="Z643:AC643"/>
    <mergeCell ref="N645:Q645"/>
    <mergeCell ref="R645:U645"/>
    <mergeCell ref="V645:Y645"/>
    <mergeCell ref="D657:M657"/>
    <mergeCell ref="N657:W657"/>
    <mergeCell ref="X657:AG657"/>
    <mergeCell ref="D634:M634"/>
    <mergeCell ref="N634:W634"/>
    <mergeCell ref="X634:AG634"/>
    <mergeCell ref="D658:M658"/>
    <mergeCell ref="N658:W658"/>
    <mergeCell ref="X658:AG658"/>
    <mergeCell ref="D659:M659"/>
    <mergeCell ref="N659:W659"/>
    <mergeCell ref="X659:AG659"/>
    <mergeCell ref="D656:M656"/>
    <mergeCell ref="N656:W656"/>
    <mergeCell ref="X656:AG656"/>
    <mergeCell ref="D644:AG644"/>
    <mergeCell ref="D645:J645"/>
    <mergeCell ref="K645:M645"/>
    <mergeCell ref="D649:AG649"/>
    <mergeCell ref="D651:M651"/>
    <mergeCell ref="N651:W651"/>
    <mergeCell ref="X651:AG651"/>
    <mergeCell ref="D655:M655"/>
    <mergeCell ref="N655:W655"/>
    <mergeCell ref="X655:AG655"/>
    <mergeCell ref="D654:M654"/>
    <mergeCell ref="N654:W654"/>
    <mergeCell ref="X654:AG654"/>
    <mergeCell ref="D652:M652"/>
    <mergeCell ref="N652:W652"/>
    <mergeCell ref="X652:AG652"/>
    <mergeCell ref="D653:M653"/>
    <mergeCell ref="D663:AG663"/>
    <mergeCell ref="D667:AG667"/>
    <mergeCell ref="Z694:AC694"/>
    <mergeCell ref="AD694:AG694"/>
    <mergeCell ref="D695:I695"/>
    <mergeCell ref="J695:M695"/>
    <mergeCell ref="N695:Q695"/>
    <mergeCell ref="R695:U695"/>
    <mergeCell ref="V695:Y695"/>
    <mergeCell ref="Z695:AC695"/>
    <mergeCell ref="AD695:AG695"/>
    <mergeCell ref="D689:AG689"/>
    <mergeCell ref="D691:AG691"/>
    <mergeCell ref="D693:I694"/>
    <mergeCell ref="J693:Q693"/>
    <mergeCell ref="R693:Y693"/>
    <mergeCell ref="Z693:AG693"/>
    <mergeCell ref="J694:M694"/>
    <mergeCell ref="D671:AG671"/>
    <mergeCell ref="D674:AG674"/>
    <mergeCell ref="D675:AG678"/>
    <mergeCell ref="N694:Q694"/>
    <mergeCell ref="R694:U694"/>
    <mergeCell ref="V694:Y694"/>
    <mergeCell ref="D683:M683"/>
    <mergeCell ref="N683:W683"/>
    <mergeCell ref="X683:AG683"/>
    <mergeCell ref="N704:Q704"/>
    <mergeCell ref="R704:U704"/>
    <mergeCell ref="V704:Y704"/>
    <mergeCell ref="Z704:AC704"/>
    <mergeCell ref="AD704:AG704"/>
    <mergeCell ref="D699:AG699"/>
    <mergeCell ref="D703:M704"/>
    <mergeCell ref="N703:Q703"/>
    <mergeCell ref="R703:Y703"/>
    <mergeCell ref="Z703:AG703"/>
    <mergeCell ref="D708:M708"/>
    <mergeCell ref="N708:Q708"/>
    <mergeCell ref="R708:U708"/>
    <mergeCell ref="V708:Y708"/>
    <mergeCell ref="Z708:AC708"/>
    <mergeCell ref="AD708:AG708"/>
    <mergeCell ref="D707:M707"/>
    <mergeCell ref="N707:Q707"/>
    <mergeCell ref="R707:U707"/>
    <mergeCell ref="V707:Y707"/>
    <mergeCell ref="Z707:AC707"/>
    <mergeCell ref="AD707:AG707"/>
    <mergeCell ref="D706:M706"/>
    <mergeCell ref="N706:Q706"/>
    <mergeCell ref="R706:U706"/>
    <mergeCell ref="V706:Y706"/>
    <mergeCell ref="Z706:AC706"/>
    <mergeCell ref="AD706:AG706"/>
    <mergeCell ref="D711:M711"/>
    <mergeCell ref="N711:Q711"/>
    <mergeCell ref="R711:U711"/>
    <mergeCell ref="V711:Y711"/>
    <mergeCell ref="Z711:AC711"/>
    <mergeCell ref="AD711:AG711"/>
    <mergeCell ref="D710:M710"/>
    <mergeCell ref="N710:Q710"/>
    <mergeCell ref="R710:U710"/>
    <mergeCell ref="V710:Y710"/>
    <mergeCell ref="Z710:AC710"/>
    <mergeCell ref="AD710:AG710"/>
    <mergeCell ref="D709:M709"/>
    <mergeCell ref="N709:Q709"/>
    <mergeCell ref="R709:U709"/>
    <mergeCell ref="V709:Y709"/>
    <mergeCell ref="Z709:AC709"/>
    <mergeCell ref="AD709:AG709"/>
    <mergeCell ref="D716:AG716"/>
    <mergeCell ref="D718:AG719"/>
    <mergeCell ref="D721:M722"/>
    <mergeCell ref="N721:W722"/>
    <mergeCell ref="X721:AG722"/>
    <mergeCell ref="D723:M723"/>
    <mergeCell ref="N723:W723"/>
    <mergeCell ref="X723:AG723"/>
    <mergeCell ref="D713:M713"/>
    <mergeCell ref="N713:Q713"/>
    <mergeCell ref="R713:U713"/>
    <mergeCell ref="V713:Y713"/>
    <mergeCell ref="Z713:AC713"/>
    <mergeCell ref="AD713:AG713"/>
    <mergeCell ref="D712:M712"/>
    <mergeCell ref="N712:Q712"/>
    <mergeCell ref="R712:U712"/>
    <mergeCell ref="V712:Y712"/>
    <mergeCell ref="Z712:AC712"/>
    <mergeCell ref="AD712:AG712"/>
    <mergeCell ref="D728:M728"/>
    <mergeCell ref="N728:W728"/>
    <mergeCell ref="X728:AG728"/>
    <mergeCell ref="D726:M726"/>
    <mergeCell ref="N726:W726"/>
    <mergeCell ref="X726:AG726"/>
    <mergeCell ref="D727:M727"/>
    <mergeCell ref="N727:W727"/>
    <mergeCell ref="X727:AG727"/>
    <mergeCell ref="D724:M724"/>
    <mergeCell ref="N724:W724"/>
    <mergeCell ref="X724:AG724"/>
    <mergeCell ref="D725:M725"/>
    <mergeCell ref="N725:W725"/>
    <mergeCell ref="X725:AG725"/>
    <mergeCell ref="D733:M733"/>
    <mergeCell ref="N733:W733"/>
    <mergeCell ref="X733:AG733"/>
    <mergeCell ref="D731:M731"/>
    <mergeCell ref="N731:W731"/>
    <mergeCell ref="X731:AG731"/>
    <mergeCell ref="D732:M732"/>
    <mergeCell ref="N732:W732"/>
    <mergeCell ref="X732:AG732"/>
    <mergeCell ref="D729:M729"/>
    <mergeCell ref="N729:W729"/>
    <mergeCell ref="X729:AG729"/>
    <mergeCell ref="D730:M730"/>
    <mergeCell ref="N730:W730"/>
    <mergeCell ref="X730:AG730"/>
    <mergeCell ref="D737:AG737"/>
    <mergeCell ref="D739:M740"/>
    <mergeCell ref="N739:W740"/>
    <mergeCell ref="X739:AG740"/>
    <mergeCell ref="D741:M741"/>
    <mergeCell ref="N741:W741"/>
    <mergeCell ref="X741:AG741"/>
    <mergeCell ref="D734:M734"/>
    <mergeCell ref="N734:W734"/>
    <mergeCell ref="X734:AG734"/>
    <mergeCell ref="D735:M735"/>
    <mergeCell ref="N735:W735"/>
    <mergeCell ref="X735:AG735"/>
    <mergeCell ref="D746:M746"/>
    <mergeCell ref="N746:W746"/>
    <mergeCell ref="X746:AG746"/>
    <mergeCell ref="D747:M747"/>
    <mergeCell ref="N747:W747"/>
    <mergeCell ref="X747:AG747"/>
    <mergeCell ref="D744:M744"/>
    <mergeCell ref="N744:W744"/>
    <mergeCell ref="X744:AG744"/>
    <mergeCell ref="D745:M745"/>
    <mergeCell ref="N745:W745"/>
    <mergeCell ref="X745:AG745"/>
    <mergeCell ref="D742:M742"/>
    <mergeCell ref="N742:W742"/>
    <mergeCell ref="X742:AG742"/>
    <mergeCell ref="D743:M743"/>
    <mergeCell ref="N743:W743"/>
    <mergeCell ref="X743:AG743"/>
    <mergeCell ref="D762:M762"/>
    <mergeCell ref="N762:W762"/>
    <mergeCell ref="X762:AG762"/>
    <mergeCell ref="D768:M768"/>
    <mergeCell ref="D769:M769"/>
    <mergeCell ref="D757:M757"/>
    <mergeCell ref="N757:W757"/>
    <mergeCell ref="X757:AG757"/>
    <mergeCell ref="D758:M758"/>
    <mergeCell ref="N758:W758"/>
    <mergeCell ref="X758:AG758"/>
    <mergeCell ref="D750:AG750"/>
    <mergeCell ref="D752:AG752"/>
    <mergeCell ref="D754:M755"/>
    <mergeCell ref="N754:W755"/>
    <mergeCell ref="X754:AG755"/>
    <mergeCell ref="D756:M756"/>
    <mergeCell ref="N756:W756"/>
    <mergeCell ref="X756:AG756"/>
    <mergeCell ref="D775:M775"/>
    <mergeCell ref="D776:M776"/>
    <mergeCell ref="N775:W775"/>
    <mergeCell ref="N776:W776"/>
    <mergeCell ref="X775:AG775"/>
    <mergeCell ref="X776:AG776"/>
    <mergeCell ref="D765:M765"/>
    <mergeCell ref="D766:M766"/>
    <mergeCell ref="D767:M767"/>
    <mergeCell ref="D773:M773"/>
    <mergeCell ref="N773:W773"/>
    <mergeCell ref="X773:AG773"/>
    <mergeCell ref="D759:M759"/>
    <mergeCell ref="N759:W759"/>
    <mergeCell ref="X759:AG759"/>
    <mergeCell ref="D760:M760"/>
    <mergeCell ref="N760:W760"/>
    <mergeCell ref="X760:AG760"/>
    <mergeCell ref="X768:AG768"/>
    <mergeCell ref="X769:AG769"/>
    <mergeCell ref="X770:AG770"/>
    <mergeCell ref="X771:AG771"/>
    <mergeCell ref="X772:AG772"/>
    <mergeCell ref="D763:M763"/>
    <mergeCell ref="N763:W763"/>
    <mergeCell ref="X763:AG763"/>
    <mergeCell ref="D764:M764"/>
    <mergeCell ref="N764:W764"/>
    <mergeCell ref="X764:AG764"/>
    <mergeCell ref="D761:M761"/>
    <mergeCell ref="N761:W761"/>
    <mergeCell ref="X761:AG761"/>
    <mergeCell ref="D770:M770"/>
    <mergeCell ref="D771:M771"/>
    <mergeCell ref="D772:M772"/>
    <mergeCell ref="N765:W765"/>
    <mergeCell ref="N766:W766"/>
    <mergeCell ref="N767:W767"/>
    <mergeCell ref="N768:W768"/>
    <mergeCell ref="N769:W769"/>
    <mergeCell ref="N770:W770"/>
    <mergeCell ref="N771:W771"/>
    <mergeCell ref="N772:W772"/>
    <mergeCell ref="X765:AG765"/>
    <mergeCell ref="X766:AG766"/>
    <mergeCell ref="X767:AG767"/>
    <mergeCell ref="D774:M774"/>
    <mergeCell ref="N774:W774"/>
    <mergeCell ref="X774:AG774"/>
    <mergeCell ref="N792:W792"/>
    <mergeCell ref="X792:AG792"/>
    <mergeCell ref="D790:M790"/>
    <mergeCell ref="N790:W790"/>
    <mergeCell ref="X790:AG790"/>
    <mergeCell ref="D791:M791"/>
    <mergeCell ref="N791:W791"/>
    <mergeCell ref="X791:AG791"/>
    <mergeCell ref="N780:W780"/>
    <mergeCell ref="X780:AG780"/>
    <mergeCell ref="D780:M780"/>
    <mergeCell ref="D778:M778"/>
    <mergeCell ref="N778:W778"/>
    <mergeCell ref="X778:AG778"/>
    <mergeCell ref="D779:M779"/>
    <mergeCell ref="N779:W779"/>
    <mergeCell ref="X779:AG779"/>
    <mergeCell ref="D784:M784"/>
    <mergeCell ref="N784:W784"/>
    <mergeCell ref="X784:AG784"/>
    <mergeCell ref="D781:M781"/>
    <mergeCell ref="N781:W781"/>
    <mergeCell ref="X781:AG781"/>
    <mergeCell ref="D782:M782"/>
    <mergeCell ref="N782:W782"/>
    <mergeCell ref="X782:AG782"/>
    <mergeCell ref="D783:M783"/>
    <mergeCell ref="N783:W783"/>
    <mergeCell ref="X783:AG783"/>
    <mergeCell ref="D777:M777"/>
    <mergeCell ref="N777:W777"/>
    <mergeCell ref="X777:AG777"/>
    <mergeCell ref="D816:AG816"/>
    <mergeCell ref="D818:I820"/>
    <mergeCell ref="J818:U819"/>
    <mergeCell ref="V818:AG819"/>
    <mergeCell ref="J820:M820"/>
    <mergeCell ref="N820:Q820"/>
    <mergeCell ref="R820:U820"/>
    <mergeCell ref="V820:Y820"/>
    <mergeCell ref="Z820:AC820"/>
    <mergeCell ref="AD820:AG820"/>
    <mergeCell ref="AD823:AG823"/>
    <mergeCell ref="D824:I824"/>
    <mergeCell ref="J824:M824"/>
    <mergeCell ref="N824:Q824"/>
    <mergeCell ref="R824:U824"/>
    <mergeCell ref="V824:Y824"/>
    <mergeCell ref="Z824:AC824"/>
    <mergeCell ref="AD824:AG824"/>
    <mergeCell ref="D823:I823"/>
    <mergeCell ref="J823:M823"/>
    <mergeCell ref="N823:Q823"/>
    <mergeCell ref="R823:U823"/>
    <mergeCell ref="V823:Y823"/>
    <mergeCell ref="Z823:AC823"/>
    <mergeCell ref="AD821:AG821"/>
    <mergeCell ref="D822:I822"/>
    <mergeCell ref="J822:M822"/>
    <mergeCell ref="N822:Q822"/>
    <mergeCell ref="R822:U822"/>
    <mergeCell ref="V822:Y822"/>
    <mergeCell ref="Z822:AC822"/>
    <mergeCell ref="AD822:AG822"/>
    <mergeCell ref="D821:I821"/>
    <mergeCell ref="J821:M821"/>
    <mergeCell ref="N821:Q821"/>
    <mergeCell ref="R821:U821"/>
    <mergeCell ref="V821:Y821"/>
    <mergeCell ref="Z821:AC821"/>
    <mergeCell ref="AD827:AG827"/>
    <mergeCell ref="D828:I828"/>
    <mergeCell ref="J828:M828"/>
    <mergeCell ref="N828:Q828"/>
    <mergeCell ref="R828:U828"/>
    <mergeCell ref="V828:Y828"/>
    <mergeCell ref="Z828:AC828"/>
    <mergeCell ref="AD828:AG828"/>
    <mergeCell ref="D827:I827"/>
    <mergeCell ref="J827:M827"/>
    <mergeCell ref="N827:Q827"/>
    <mergeCell ref="R827:U827"/>
    <mergeCell ref="V827:Y827"/>
    <mergeCell ref="Z827:AC827"/>
    <mergeCell ref="AD825:AG825"/>
    <mergeCell ref="D826:I826"/>
    <mergeCell ref="J826:M826"/>
    <mergeCell ref="N826:Q826"/>
    <mergeCell ref="R826:U826"/>
    <mergeCell ref="V826:Y826"/>
    <mergeCell ref="Z826:AC826"/>
    <mergeCell ref="AD826:AG826"/>
    <mergeCell ref="D825:I825"/>
    <mergeCell ref="J825:M825"/>
    <mergeCell ref="N825:Q825"/>
    <mergeCell ref="R825:U825"/>
    <mergeCell ref="V825:Y825"/>
    <mergeCell ref="Z825:AC825"/>
    <mergeCell ref="AD831:AG831"/>
    <mergeCell ref="D832:I832"/>
    <mergeCell ref="J832:M832"/>
    <mergeCell ref="N832:Q832"/>
    <mergeCell ref="R832:U832"/>
    <mergeCell ref="V832:Y832"/>
    <mergeCell ref="Z832:AC832"/>
    <mergeCell ref="AD832:AG832"/>
    <mergeCell ref="D831:I831"/>
    <mergeCell ref="J831:M831"/>
    <mergeCell ref="N831:Q831"/>
    <mergeCell ref="R831:U831"/>
    <mergeCell ref="V831:Y831"/>
    <mergeCell ref="Z831:AC831"/>
    <mergeCell ref="AD829:AG829"/>
    <mergeCell ref="D830:I830"/>
    <mergeCell ref="J830:M830"/>
    <mergeCell ref="N830:Q830"/>
    <mergeCell ref="R830:U830"/>
    <mergeCell ref="V830:Y830"/>
    <mergeCell ref="Z830:AC830"/>
    <mergeCell ref="AD830:AG830"/>
    <mergeCell ref="D829:I829"/>
    <mergeCell ref="J829:M829"/>
    <mergeCell ref="N829:Q829"/>
    <mergeCell ref="R829:U829"/>
    <mergeCell ref="V829:Y829"/>
    <mergeCell ref="Z829:AC829"/>
    <mergeCell ref="D835:AG835"/>
    <mergeCell ref="D837:AG837"/>
    <mergeCell ref="N859:Q859"/>
    <mergeCell ref="R859:U859"/>
    <mergeCell ref="V859:Y859"/>
    <mergeCell ref="Z859:AC859"/>
    <mergeCell ref="R858:U858"/>
    <mergeCell ref="V858:Y858"/>
    <mergeCell ref="Z858:AC858"/>
    <mergeCell ref="AD858:AG858"/>
    <mergeCell ref="N863:Q863"/>
    <mergeCell ref="R863:U863"/>
    <mergeCell ref="V863:Y863"/>
    <mergeCell ref="Z863:AC863"/>
    <mergeCell ref="N862:Q862"/>
    <mergeCell ref="R862:U862"/>
    <mergeCell ref="V862:Y862"/>
    <mergeCell ref="Z862:AC862"/>
    <mergeCell ref="N861:Q861"/>
    <mergeCell ref="R861:U861"/>
    <mergeCell ref="V861:Y861"/>
    <mergeCell ref="Z861:AC861"/>
    <mergeCell ref="N860:Q860"/>
    <mergeCell ref="R860:U860"/>
    <mergeCell ref="V860:Y860"/>
    <mergeCell ref="Z860:AC860"/>
    <mergeCell ref="D841:AG841"/>
    <mergeCell ref="D843:L844"/>
    <mergeCell ref="M843:Q844"/>
    <mergeCell ref="R843:AG843"/>
    <mergeCell ref="R844:Y844"/>
    <mergeCell ref="Z844:AG844"/>
    <mergeCell ref="N866:Q866"/>
    <mergeCell ref="R866:U866"/>
    <mergeCell ref="V866:Y866"/>
    <mergeCell ref="Z866:AC866"/>
    <mergeCell ref="N865:Q865"/>
    <mergeCell ref="R865:U865"/>
    <mergeCell ref="V865:Y865"/>
    <mergeCell ref="Z865:AC865"/>
    <mergeCell ref="D849:L849"/>
    <mergeCell ref="M849:Q849"/>
    <mergeCell ref="R849:Y849"/>
    <mergeCell ref="Z849:AG849"/>
    <mergeCell ref="D850:L850"/>
    <mergeCell ref="M850:Q850"/>
    <mergeCell ref="R850:Y850"/>
    <mergeCell ref="Z850:AG850"/>
    <mergeCell ref="D847:L847"/>
    <mergeCell ref="M847:Q847"/>
    <mergeCell ref="R847:Y847"/>
    <mergeCell ref="Z847:AG847"/>
    <mergeCell ref="D848:L848"/>
    <mergeCell ref="M848:Q848"/>
    <mergeCell ref="R848:Y848"/>
    <mergeCell ref="Z848:AG848"/>
    <mergeCell ref="D860:M860"/>
    <mergeCell ref="AD860:AG860"/>
    <mergeCell ref="D866:M866"/>
    <mergeCell ref="AD866:AG866"/>
    <mergeCell ref="D863:M863"/>
    <mergeCell ref="AD863:AG863"/>
    <mergeCell ref="D865:M865"/>
    <mergeCell ref="D845:L845"/>
    <mergeCell ref="M845:Q845"/>
    <mergeCell ref="R845:Y845"/>
    <mergeCell ref="Z845:AG845"/>
    <mergeCell ref="R869:U869"/>
    <mergeCell ref="V869:Y869"/>
    <mergeCell ref="Z869:AC869"/>
    <mergeCell ref="AD869:AG869"/>
    <mergeCell ref="D846:L846"/>
    <mergeCell ref="M846:Q846"/>
    <mergeCell ref="R846:Y846"/>
    <mergeCell ref="Z846:AG846"/>
    <mergeCell ref="D854:AG854"/>
    <mergeCell ref="D856:M857"/>
    <mergeCell ref="N856:AG856"/>
    <mergeCell ref="N857:Q857"/>
    <mergeCell ref="R857:U857"/>
    <mergeCell ref="V857:Y857"/>
    <mergeCell ref="Z857:AC857"/>
    <mergeCell ref="AD857:AG857"/>
    <mergeCell ref="D851:L851"/>
    <mergeCell ref="M851:Q851"/>
    <mergeCell ref="R851:Y851"/>
    <mergeCell ref="Z851:AG851"/>
    <mergeCell ref="D859:M859"/>
    <mergeCell ref="AD859:AG859"/>
    <mergeCell ref="D858:M858"/>
    <mergeCell ref="N858:Q858"/>
    <mergeCell ref="D862:M862"/>
    <mergeCell ref="AD862:AG862"/>
    <mergeCell ref="D861:M861"/>
    <mergeCell ref="D868:M868"/>
    <mergeCell ref="AD861:AG861"/>
    <mergeCell ref="D869:M869"/>
    <mergeCell ref="N869:Q869"/>
    <mergeCell ref="D872:M872"/>
    <mergeCell ref="N872:Q872"/>
    <mergeCell ref="R872:U872"/>
    <mergeCell ref="V872:Y872"/>
    <mergeCell ref="Z872:AC872"/>
    <mergeCell ref="AD872:AG872"/>
    <mergeCell ref="D871:M871"/>
    <mergeCell ref="N871:Q871"/>
    <mergeCell ref="R871:U871"/>
    <mergeCell ref="V871:Y871"/>
    <mergeCell ref="Z871:AC871"/>
    <mergeCell ref="AD871:AG871"/>
    <mergeCell ref="D870:M870"/>
    <mergeCell ref="N870:Q870"/>
    <mergeCell ref="R870:U870"/>
    <mergeCell ref="V870:Y870"/>
    <mergeCell ref="Z870:AC870"/>
    <mergeCell ref="AD870:AG870"/>
    <mergeCell ref="AD865:AG865"/>
    <mergeCell ref="N868:Q868"/>
    <mergeCell ref="R868:U868"/>
    <mergeCell ref="V868:Y868"/>
    <mergeCell ref="Z868:AC868"/>
    <mergeCell ref="AD868:AG868"/>
    <mergeCell ref="D867:M867"/>
    <mergeCell ref="N867:Q867"/>
    <mergeCell ref="R867:U867"/>
    <mergeCell ref="V867:Y867"/>
    <mergeCell ref="Z867:AC867"/>
    <mergeCell ref="D873:M873"/>
    <mergeCell ref="N873:Q873"/>
    <mergeCell ref="R873:U873"/>
    <mergeCell ref="V873:Y873"/>
    <mergeCell ref="Z873:AC873"/>
    <mergeCell ref="AD873:AG873"/>
    <mergeCell ref="D879:M879"/>
    <mergeCell ref="N879:Q879"/>
    <mergeCell ref="R879:U879"/>
    <mergeCell ref="V879:Y879"/>
    <mergeCell ref="Z879:AC879"/>
    <mergeCell ref="AD879:AG879"/>
    <mergeCell ref="D878:M878"/>
    <mergeCell ref="N878:Q878"/>
    <mergeCell ref="R878:U878"/>
    <mergeCell ref="V878:Y878"/>
    <mergeCell ref="Z878:AC878"/>
    <mergeCell ref="AD878:AG878"/>
    <mergeCell ref="D876:M877"/>
    <mergeCell ref="N876:AG876"/>
    <mergeCell ref="N877:Q877"/>
    <mergeCell ref="R877:U877"/>
    <mergeCell ref="V877:Y877"/>
    <mergeCell ref="Z877:AC877"/>
    <mergeCell ref="AD877:AG877"/>
    <mergeCell ref="D882:M882"/>
    <mergeCell ref="N882:Q882"/>
    <mergeCell ref="R882:U882"/>
    <mergeCell ref="V882:Y882"/>
    <mergeCell ref="Z882:AC882"/>
    <mergeCell ref="AD882:AG882"/>
    <mergeCell ref="D881:M881"/>
    <mergeCell ref="N881:Q881"/>
    <mergeCell ref="R881:U881"/>
    <mergeCell ref="V881:Y881"/>
    <mergeCell ref="Z881:AC881"/>
    <mergeCell ref="AD881:AG881"/>
    <mergeCell ref="D880:M880"/>
    <mergeCell ref="N880:Q880"/>
    <mergeCell ref="R880:U880"/>
    <mergeCell ref="V880:Y880"/>
    <mergeCell ref="Z880:AC880"/>
    <mergeCell ref="AD880:AG880"/>
    <mergeCell ref="D884:M884"/>
    <mergeCell ref="N884:Q884"/>
    <mergeCell ref="R884:U884"/>
    <mergeCell ref="V884:Y884"/>
    <mergeCell ref="Z884:AC884"/>
    <mergeCell ref="AD884:AG884"/>
    <mergeCell ref="D883:M883"/>
    <mergeCell ref="N883:Q883"/>
    <mergeCell ref="R883:U883"/>
    <mergeCell ref="V883:Y883"/>
    <mergeCell ref="Z883:AC883"/>
    <mergeCell ref="AD883:AG883"/>
    <mergeCell ref="D885:M885"/>
    <mergeCell ref="N885:Q885"/>
    <mergeCell ref="R885:U885"/>
    <mergeCell ref="V885:Y885"/>
    <mergeCell ref="Z885:AC885"/>
    <mergeCell ref="AD885:AG885"/>
    <mergeCell ref="Z889:AC889"/>
    <mergeCell ref="AD889:AG889"/>
    <mergeCell ref="D892:M892"/>
    <mergeCell ref="N892:Q892"/>
    <mergeCell ref="R892:U892"/>
    <mergeCell ref="V892:Y892"/>
    <mergeCell ref="Z892:AC892"/>
    <mergeCell ref="AD892:AG892"/>
    <mergeCell ref="D891:M891"/>
    <mergeCell ref="N891:Q891"/>
    <mergeCell ref="R891:U891"/>
    <mergeCell ref="V891:Y891"/>
    <mergeCell ref="Z891:AC891"/>
    <mergeCell ref="AD891:AG891"/>
    <mergeCell ref="N886:Q886"/>
    <mergeCell ref="R886:U886"/>
    <mergeCell ref="V886:Y886"/>
    <mergeCell ref="Z886:AC886"/>
    <mergeCell ref="AD886:AG886"/>
    <mergeCell ref="D900:AG900"/>
    <mergeCell ref="D904:AG905"/>
    <mergeCell ref="D896:AG896"/>
    <mergeCell ref="D888:M888"/>
    <mergeCell ref="N888:Q888"/>
    <mergeCell ref="R888:U888"/>
    <mergeCell ref="V888:Y888"/>
    <mergeCell ref="Z888:AC888"/>
    <mergeCell ref="AD888:AG888"/>
    <mergeCell ref="D887:M887"/>
    <mergeCell ref="N887:Q887"/>
    <mergeCell ref="R887:U887"/>
    <mergeCell ref="V887:Y887"/>
    <mergeCell ref="Z887:AC887"/>
    <mergeCell ref="AD887:AG887"/>
    <mergeCell ref="D886:M886"/>
    <mergeCell ref="D893:M893"/>
    <mergeCell ref="N893:Q893"/>
    <mergeCell ref="R893:U893"/>
    <mergeCell ref="V893:Y893"/>
    <mergeCell ref="Z893:AC893"/>
    <mergeCell ref="AD893:AG893"/>
    <mergeCell ref="D890:M890"/>
    <mergeCell ref="N890:Q890"/>
    <mergeCell ref="R890:U890"/>
    <mergeCell ref="V890:Y890"/>
    <mergeCell ref="Z890:AC890"/>
    <mergeCell ref="AD890:AG890"/>
    <mergeCell ref="D889:M889"/>
    <mergeCell ref="N889:Q889"/>
    <mergeCell ref="R889:U889"/>
    <mergeCell ref="V889:Y889"/>
    <mergeCell ref="D15:AG15"/>
    <mergeCell ref="D295:AG296"/>
    <mergeCell ref="D297:AG301"/>
    <mergeCell ref="D302:AG302"/>
    <mergeCell ref="D368:I368"/>
    <mergeCell ref="D369:I369"/>
    <mergeCell ref="J368:N368"/>
    <mergeCell ref="J369:N369"/>
    <mergeCell ref="D367:I367"/>
    <mergeCell ref="O367:R367"/>
    <mergeCell ref="O368:R368"/>
    <mergeCell ref="O369:R369"/>
    <mergeCell ref="J367:N367"/>
    <mergeCell ref="D366:R366"/>
    <mergeCell ref="Y282:AA282"/>
    <mergeCell ref="AB282:AD282"/>
    <mergeCell ref="AE282:AG282"/>
    <mergeCell ref="AE279:AG279"/>
    <mergeCell ref="D280:I280"/>
    <mergeCell ref="J280:L280"/>
    <mergeCell ref="M280:O280"/>
    <mergeCell ref="P280:R280"/>
    <mergeCell ref="S280:U280"/>
    <mergeCell ref="V280:X280"/>
    <mergeCell ref="Y280:AA280"/>
    <mergeCell ref="AF355:AH355"/>
    <mergeCell ref="D358:R358"/>
    <mergeCell ref="S358:AG358"/>
    <mergeCell ref="T354:V354"/>
    <mergeCell ref="W354:Y354"/>
    <mergeCell ref="Z354:AB354"/>
    <mergeCell ref="AC354:AE354"/>
    <mergeCell ref="AB280:AD280"/>
    <mergeCell ref="AE280:AG280"/>
    <mergeCell ref="T348:V348"/>
    <mergeCell ref="T355:V355"/>
    <mergeCell ref="W355:Y355"/>
    <mergeCell ref="Z355:AB355"/>
    <mergeCell ref="AC355:AE355"/>
    <mergeCell ref="D813:O813"/>
    <mergeCell ref="P813:X813"/>
    <mergeCell ref="Y813:AG813"/>
    <mergeCell ref="D814:O814"/>
    <mergeCell ref="P814:X814"/>
    <mergeCell ref="Y814:AG814"/>
    <mergeCell ref="D804:AG804"/>
    <mergeCell ref="D806:AG806"/>
    <mergeCell ref="D808:O808"/>
    <mergeCell ref="P808:X808"/>
    <mergeCell ref="Y808:AG808"/>
    <mergeCell ref="D809:O809"/>
    <mergeCell ref="P809:X809"/>
    <mergeCell ref="Y809:AG809"/>
    <mergeCell ref="D810:O810"/>
    <mergeCell ref="P810:X810"/>
    <mergeCell ref="Y810:AG810"/>
    <mergeCell ref="D811:O811"/>
    <mergeCell ref="P811:X811"/>
    <mergeCell ref="Y811:AG811"/>
    <mergeCell ref="D812:O812"/>
    <mergeCell ref="P812:X812"/>
    <mergeCell ref="Y812:AG812"/>
    <mergeCell ref="D577:M577"/>
    <mergeCell ref="N577:W577"/>
    <mergeCell ref="D802:M802"/>
    <mergeCell ref="N802:W802"/>
    <mergeCell ref="X802:AG802"/>
    <mergeCell ref="D788:M788"/>
    <mergeCell ref="N788:W788"/>
    <mergeCell ref="X788:AG788"/>
    <mergeCell ref="D789:M789"/>
    <mergeCell ref="N789:W789"/>
    <mergeCell ref="X789:AG789"/>
    <mergeCell ref="D785:M786"/>
    <mergeCell ref="N785:W786"/>
    <mergeCell ref="X785:AG786"/>
    <mergeCell ref="D787:M787"/>
    <mergeCell ref="N787:W787"/>
    <mergeCell ref="X787:AG787"/>
    <mergeCell ref="D792:M792"/>
    <mergeCell ref="N582:W582"/>
    <mergeCell ref="X582:AG582"/>
    <mergeCell ref="D583:M583"/>
    <mergeCell ref="N583:W583"/>
    <mergeCell ref="X583:AG583"/>
    <mergeCell ref="D584:M584"/>
    <mergeCell ref="N584:W584"/>
    <mergeCell ref="X584:AG584"/>
    <mergeCell ref="D585:M585"/>
    <mergeCell ref="N585:W585"/>
    <mergeCell ref="X585:AG585"/>
    <mergeCell ref="D586:M586"/>
    <mergeCell ref="N586:W586"/>
    <mergeCell ref="X586:AG586"/>
    <mergeCell ref="D587:M587"/>
    <mergeCell ref="N587:W587"/>
    <mergeCell ref="D408:AG408"/>
    <mergeCell ref="D588:M588"/>
    <mergeCell ref="N588:W588"/>
    <mergeCell ref="X588:AG588"/>
    <mergeCell ref="D795:AG795"/>
    <mergeCell ref="D797:M798"/>
    <mergeCell ref="N797:W798"/>
    <mergeCell ref="X797:AG798"/>
    <mergeCell ref="D799:M799"/>
    <mergeCell ref="N799:W799"/>
    <mergeCell ref="X799:AG799"/>
    <mergeCell ref="D800:M800"/>
    <mergeCell ref="N800:W800"/>
    <mergeCell ref="X800:AG800"/>
    <mergeCell ref="D801:M801"/>
    <mergeCell ref="N801:W801"/>
    <mergeCell ref="X801:AG801"/>
    <mergeCell ref="X587:AG587"/>
    <mergeCell ref="D582:M582"/>
    <mergeCell ref="D497:AG497"/>
    <mergeCell ref="D499:M499"/>
    <mergeCell ref="N499:W499"/>
    <mergeCell ref="X499:AG499"/>
    <mergeCell ref="D500:M500"/>
    <mergeCell ref="N500:W500"/>
    <mergeCell ref="X500:AG500"/>
    <mergeCell ref="D503:M503"/>
    <mergeCell ref="N503:W503"/>
    <mergeCell ref="X503:AG503"/>
    <mergeCell ref="D504:M504"/>
    <mergeCell ref="N504:W504"/>
    <mergeCell ref="X504:AG504"/>
  </mergeCells>
  <pageMargins left="0.70866141732283472" right="0.23622047244094491" top="0.31496062992125984" bottom="0.98425196850393704" header="0.31496062992125984" footer="0.15748031496062992"/>
  <pageSetup paperSize="9" scale="81" firstPageNumber="13" fitToHeight="0" orientation="portrait" blackAndWhite="1" useFirstPageNumber="1" r:id="rId1"/>
  <headerFooter>
    <oddFooter>&amp;C&amp;P
The accompanying balance sheet, income statement and notes are an integral part of these financial statements.
THIS IS A TRANSLATION OF THE ORIGINAL SLOVAK DOCUMENT.</oddFooter>
  </headerFooter>
  <rowBreaks count="20" manualBreakCount="20">
    <brk id="66" min="1" max="33" man="1"/>
    <brk id="158" min="1" max="33" man="1"/>
    <brk id="200" min="1" max="33" man="1"/>
    <brk id="261" min="1" max="33" man="1"/>
    <brk id="303" min="1" max="33" man="1"/>
    <brk id="360" min="1" max="33" man="1"/>
    <brk id="396" min="1" max="33" man="1"/>
    <brk id="417" min="1" max="33" man="1"/>
    <brk id="444" min="1" max="33" man="1"/>
    <brk id="463" min="1" max="33" man="1"/>
    <brk id="485" min="1" max="33" man="1"/>
    <brk id="531" min="1" max="33" man="1"/>
    <brk id="572" min="1" max="33" man="1"/>
    <brk id="597" min="1" max="33" man="1"/>
    <brk id="636" min="1" max="33" man="1"/>
    <brk id="660" min="1" max="33" man="1"/>
    <brk id="700" min="1" max="33" man="1"/>
    <brk id="772" min="1" max="33" man="1"/>
    <brk id="813" min="1" max="33" man="1"/>
    <brk id="875" min="1" max="3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796875" defaultRowHeight="9.5"/>
  <cols>
    <col min="1" max="1" width="4.453125" style="535" customWidth="1"/>
    <col min="2" max="2" width="35" style="535" customWidth="1"/>
    <col min="3" max="3" width="3.54296875" style="535" customWidth="1"/>
    <col min="4" max="4" width="6.81640625" style="535" customWidth="1"/>
    <col min="5" max="6" width="29.54296875" style="535" customWidth="1"/>
    <col min="7" max="16384" width="9.1796875" style="535"/>
  </cols>
  <sheetData>
    <row r="1" spans="1:10" s="502" customFormat="1" ht="7.5" customHeight="1">
      <c r="A1" s="501"/>
      <c r="H1" s="445"/>
      <c r="I1" s="445"/>
    </row>
    <row r="2" spans="1:10" s="502" customFormat="1" ht="17.25" customHeight="1">
      <c r="A2" s="501"/>
      <c r="B2" s="526" t="s">
        <v>2583</v>
      </c>
      <c r="C2" s="850"/>
      <c r="D2" s="851" t="s">
        <v>1445</v>
      </c>
      <c r="E2" s="852"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row>
    <row r="3" spans="1:10" s="502" customFormat="1" ht="7.5" customHeight="1" thickBot="1">
      <c r="A3" s="501"/>
      <c r="B3" s="580"/>
      <c r="C3" s="445"/>
      <c r="D3" s="445"/>
    </row>
    <row r="4" spans="1:10" s="560" customFormat="1" ht="11.25" customHeight="1">
      <c r="A4" s="579"/>
      <c r="B4" s="578"/>
      <c r="C4" s="577"/>
      <c r="D4" s="576"/>
      <c r="E4" s="2416" t="s">
        <v>1526</v>
      </c>
      <c r="F4" s="2440"/>
    </row>
    <row r="5" spans="1:10" s="560" customFormat="1" ht="33.75" customHeight="1">
      <c r="A5" s="795" t="s">
        <v>1446</v>
      </c>
      <c r="B5" s="793" t="s">
        <v>1298</v>
      </c>
      <c r="C5" s="573"/>
      <c r="D5" s="801" t="s">
        <v>1527</v>
      </c>
      <c r="E5" s="799" t="s">
        <v>1528</v>
      </c>
      <c r="F5" s="570" t="s">
        <v>1529</v>
      </c>
    </row>
    <row r="6" spans="1:10" s="560" customFormat="1" ht="29.65" customHeight="1">
      <c r="A6" s="803" t="s">
        <v>813</v>
      </c>
      <c r="B6" s="541" t="s">
        <v>2218</v>
      </c>
      <c r="C6" s="540"/>
      <c r="D6" s="798" t="s">
        <v>814</v>
      </c>
      <c r="E6" s="802">
        <f>'P&amp;L old'!D9</f>
        <v>0</v>
      </c>
      <c r="F6" s="539">
        <f>'P&amp;L old'!E9</f>
        <v>0</v>
      </c>
    </row>
    <row r="7" spans="1:10" s="560" customFormat="1" ht="29.65" customHeight="1">
      <c r="A7" s="803" t="s">
        <v>815</v>
      </c>
      <c r="B7" s="541" t="s">
        <v>1530</v>
      </c>
      <c r="C7" s="540"/>
      <c r="D7" s="798" t="s">
        <v>817</v>
      </c>
      <c r="E7" s="802">
        <f>'P&amp;L old'!D10</f>
        <v>0</v>
      </c>
      <c r="F7" s="539">
        <f>'P&amp;L old'!E10</f>
        <v>0</v>
      </c>
    </row>
    <row r="8" spans="1:10" s="565" customFormat="1" ht="29.65" customHeight="1">
      <c r="A8" s="805" t="s">
        <v>818</v>
      </c>
      <c r="B8" s="543" t="s">
        <v>819</v>
      </c>
      <c r="C8" s="542"/>
      <c r="D8" s="804" t="s">
        <v>820</v>
      </c>
      <c r="E8" s="802">
        <f>'P&amp;L old'!D11</f>
        <v>0</v>
      </c>
      <c r="F8" s="539">
        <f>'P&amp;L old'!E11</f>
        <v>0</v>
      </c>
    </row>
    <row r="9" spans="1:10" s="565" customFormat="1" ht="29.65" customHeight="1">
      <c r="A9" s="805" t="s">
        <v>821</v>
      </c>
      <c r="B9" s="543" t="s">
        <v>822</v>
      </c>
      <c r="C9" s="542"/>
      <c r="D9" s="804" t="s">
        <v>823</v>
      </c>
      <c r="E9" s="802">
        <f>'P&amp;L old'!D12</f>
        <v>0</v>
      </c>
      <c r="F9" s="539">
        <f>'P&amp;L old'!E12</f>
        <v>0</v>
      </c>
    </row>
    <row r="10" spans="1:10" s="560" customFormat="1" ht="29.65" customHeight="1">
      <c r="A10" s="796" t="s">
        <v>824</v>
      </c>
      <c r="B10" s="541" t="s">
        <v>825</v>
      </c>
      <c r="C10" s="540"/>
      <c r="D10" s="798" t="s">
        <v>826</v>
      </c>
      <c r="E10" s="802">
        <f>'P&amp;L old'!D13</f>
        <v>0</v>
      </c>
      <c r="F10" s="539">
        <f>'P&amp;L old'!E13</f>
        <v>0</v>
      </c>
    </row>
    <row r="11" spans="1:10" s="560" customFormat="1" ht="29.65" customHeight="1">
      <c r="A11" s="796" t="s">
        <v>532</v>
      </c>
      <c r="B11" s="541" t="s">
        <v>827</v>
      </c>
      <c r="C11" s="540"/>
      <c r="D11" s="798" t="s">
        <v>828</v>
      </c>
      <c r="E11" s="802">
        <f>'P&amp;L old'!D14</f>
        <v>0</v>
      </c>
      <c r="F11" s="539">
        <f>'P&amp;L old'!E14</f>
        <v>0</v>
      </c>
    </row>
    <row r="12" spans="1:10" s="560" customFormat="1" ht="29.65" customHeight="1">
      <c r="A12" s="796" t="s">
        <v>535</v>
      </c>
      <c r="B12" s="541" t="s">
        <v>829</v>
      </c>
      <c r="C12" s="540"/>
      <c r="D12" s="798" t="s">
        <v>830</v>
      </c>
      <c r="E12" s="802">
        <f>'P&amp;L old'!D15</f>
        <v>0</v>
      </c>
      <c r="F12" s="539">
        <f>'P&amp;L old'!E15</f>
        <v>0</v>
      </c>
    </row>
    <row r="13" spans="1:10" s="565" customFormat="1" ht="29.65" customHeight="1">
      <c r="A13" s="805" t="s">
        <v>594</v>
      </c>
      <c r="B13" s="543" t="s">
        <v>831</v>
      </c>
      <c r="C13" s="542"/>
      <c r="D13" s="804" t="s">
        <v>832</v>
      </c>
      <c r="E13" s="802">
        <f>'P&amp;L old'!D16</f>
        <v>0</v>
      </c>
      <c r="F13" s="539">
        <f>'P&amp;L old'!E16</f>
        <v>0</v>
      </c>
      <c r="J13" s="560"/>
    </row>
    <row r="14" spans="1:10" s="560" customFormat="1" ht="29.65" customHeight="1">
      <c r="A14" s="803" t="s">
        <v>833</v>
      </c>
      <c r="B14" s="541" t="s">
        <v>834</v>
      </c>
      <c r="C14" s="540"/>
      <c r="D14" s="798" t="s">
        <v>835</v>
      </c>
      <c r="E14" s="802">
        <f>'P&amp;L old'!D17</f>
        <v>0</v>
      </c>
      <c r="F14" s="539">
        <f>'P&amp;L old'!E17</f>
        <v>0</v>
      </c>
    </row>
    <row r="15" spans="1:10" s="560" customFormat="1" ht="29.65" customHeight="1">
      <c r="A15" s="803" t="s">
        <v>836</v>
      </c>
      <c r="B15" s="541" t="s">
        <v>837</v>
      </c>
      <c r="C15" s="540"/>
      <c r="D15" s="798" t="s">
        <v>838</v>
      </c>
      <c r="E15" s="802">
        <f>'P&amp;L old'!D18</f>
        <v>0</v>
      </c>
      <c r="F15" s="539">
        <f>'P&amp;L old'!E18</f>
        <v>0</v>
      </c>
    </row>
    <row r="16" spans="1:10" s="565" customFormat="1" ht="29.65" customHeight="1">
      <c r="A16" s="805" t="s">
        <v>818</v>
      </c>
      <c r="B16" s="543" t="s">
        <v>839</v>
      </c>
      <c r="C16" s="542"/>
      <c r="D16" s="804" t="s">
        <v>840</v>
      </c>
      <c r="E16" s="802">
        <f>'P&amp;L old'!D19</f>
        <v>0</v>
      </c>
      <c r="F16" s="539">
        <f>'P&amp;L old'!E19</f>
        <v>0</v>
      </c>
    </row>
    <row r="17" spans="1:6" s="560" customFormat="1" ht="29.65" customHeight="1">
      <c r="A17" s="803" t="s">
        <v>663</v>
      </c>
      <c r="B17" s="541" t="s">
        <v>841</v>
      </c>
      <c r="C17" s="540"/>
      <c r="D17" s="798" t="s">
        <v>842</v>
      </c>
      <c r="E17" s="802">
        <f>'P&amp;L old'!D20</f>
        <v>0</v>
      </c>
      <c r="F17" s="539">
        <f>'P&amp;L old'!E20</f>
        <v>0</v>
      </c>
    </row>
    <row r="18" spans="1:6" s="560" customFormat="1" ht="29.65" customHeight="1">
      <c r="A18" s="803" t="s">
        <v>666</v>
      </c>
      <c r="B18" s="541" t="s">
        <v>843</v>
      </c>
      <c r="C18" s="540"/>
      <c r="D18" s="798" t="s">
        <v>844</v>
      </c>
      <c r="E18" s="802">
        <f>'P&amp;L old'!D21</f>
        <v>0</v>
      </c>
      <c r="F18" s="539">
        <f>'P&amp;L old'!E21</f>
        <v>0</v>
      </c>
    </row>
    <row r="19" spans="1:6" s="560" customFormat="1" ht="29.65" customHeight="1">
      <c r="A19" s="803" t="s">
        <v>836</v>
      </c>
      <c r="B19" s="541" t="s">
        <v>845</v>
      </c>
      <c r="C19" s="540"/>
      <c r="D19" s="798" t="s">
        <v>846</v>
      </c>
      <c r="E19" s="802">
        <f>'P&amp;L old'!D22</f>
        <v>0</v>
      </c>
      <c r="F19" s="539">
        <f>'P&amp;L old'!E22</f>
        <v>0</v>
      </c>
    </row>
    <row r="20" spans="1:6" s="560" customFormat="1" ht="29.65" customHeight="1">
      <c r="A20" s="803" t="s">
        <v>847</v>
      </c>
      <c r="B20" s="541" t="s">
        <v>848</v>
      </c>
      <c r="C20" s="540"/>
      <c r="D20" s="798" t="s">
        <v>849</v>
      </c>
      <c r="E20" s="802">
        <f>'P&amp;L old'!D23</f>
        <v>0</v>
      </c>
      <c r="F20" s="539">
        <f>'P&amp;L old'!E23</f>
        <v>0</v>
      </c>
    </row>
    <row r="21" spans="1:6" s="560" customFormat="1" ht="29.65" customHeight="1">
      <c r="A21" s="803" t="s">
        <v>850</v>
      </c>
      <c r="B21" s="541" t="s">
        <v>851</v>
      </c>
      <c r="C21" s="540"/>
      <c r="D21" s="798" t="s">
        <v>852</v>
      </c>
      <c r="E21" s="802">
        <f>'P&amp;L old'!D24</f>
        <v>0</v>
      </c>
      <c r="F21" s="539">
        <f>'P&amp;L old'!E24</f>
        <v>0</v>
      </c>
    </row>
    <row r="22" spans="1:6" s="560" customFormat="1" ht="29.65" customHeight="1">
      <c r="A22" s="803" t="s">
        <v>853</v>
      </c>
      <c r="B22" s="541" t="s">
        <v>854</v>
      </c>
      <c r="C22" s="540"/>
      <c r="D22" s="798" t="s">
        <v>855</v>
      </c>
      <c r="E22" s="802">
        <f>'P&amp;L old'!D25</f>
        <v>0</v>
      </c>
      <c r="F22" s="539">
        <f>'P&amp;L old'!E25</f>
        <v>0</v>
      </c>
    </row>
    <row r="23" spans="1:6" s="560" customFormat="1" ht="29.65" customHeight="1">
      <c r="A23" s="803" t="s">
        <v>856</v>
      </c>
      <c r="B23" s="541" t="s">
        <v>857</v>
      </c>
      <c r="C23" s="540"/>
      <c r="D23" s="798" t="s">
        <v>858</v>
      </c>
      <c r="E23" s="802">
        <f>'P&amp;L old'!D26</f>
        <v>0</v>
      </c>
      <c r="F23" s="539">
        <f>'P&amp;L old'!E26</f>
        <v>0</v>
      </c>
    </row>
    <row r="24" spans="1:6" s="560" customFormat="1" ht="29.65" customHeight="1">
      <c r="A24" s="803" t="s">
        <v>859</v>
      </c>
      <c r="B24" s="541" t="s">
        <v>860</v>
      </c>
      <c r="C24" s="540"/>
      <c r="D24" s="798" t="s">
        <v>861</v>
      </c>
      <c r="E24" s="802">
        <f>'P&amp;L old'!D27</f>
        <v>0</v>
      </c>
      <c r="F24" s="539">
        <f>'P&amp;L old'!E27</f>
        <v>0</v>
      </c>
    </row>
    <row r="25" spans="1:6" s="560" customFormat="1" ht="29.65" customHeight="1">
      <c r="A25" s="803" t="s">
        <v>862</v>
      </c>
      <c r="B25" s="541" t="s">
        <v>863</v>
      </c>
      <c r="C25" s="540"/>
      <c r="D25" s="798" t="s">
        <v>864</v>
      </c>
      <c r="E25" s="802">
        <f>'P&amp;L old'!D28</f>
        <v>0</v>
      </c>
      <c r="F25" s="539">
        <f>'P&amp;L old'!E28</f>
        <v>0</v>
      </c>
    </row>
    <row r="26" spans="1:6" s="560" customFormat="1" ht="29.65" customHeight="1">
      <c r="A26" s="803" t="s">
        <v>865</v>
      </c>
      <c r="B26" s="569" t="s">
        <v>866</v>
      </c>
      <c r="C26" s="568"/>
      <c r="D26" s="798" t="s">
        <v>867</v>
      </c>
      <c r="E26" s="802">
        <f>'P&amp;L old'!D29</f>
        <v>0</v>
      </c>
      <c r="F26" s="539">
        <f>'P&amp;L old'!E29</f>
        <v>0</v>
      </c>
    </row>
    <row r="27" spans="1:6" s="560" customFormat="1" ht="29.65" customHeight="1">
      <c r="A27" s="803" t="s">
        <v>868</v>
      </c>
      <c r="B27" s="541" t="s">
        <v>1531</v>
      </c>
      <c r="C27" s="540"/>
      <c r="D27" s="798" t="s">
        <v>870</v>
      </c>
      <c r="E27" s="802">
        <f>'P&amp;L old'!D30</f>
        <v>0</v>
      </c>
      <c r="F27" s="539">
        <f>'P&amp;L old'!E30</f>
        <v>0</v>
      </c>
    </row>
    <row r="28" spans="1:6" s="560" customFormat="1" ht="29.65" customHeight="1">
      <c r="A28" s="803" t="s">
        <v>871</v>
      </c>
      <c r="B28" s="569" t="s">
        <v>1532</v>
      </c>
      <c r="C28" s="568"/>
      <c r="D28" s="798" t="s">
        <v>873</v>
      </c>
      <c r="E28" s="802">
        <f>'P&amp;L old'!D31</f>
        <v>0</v>
      </c>
      <c r="F28" s="539">
        <f>'P&amp;L old'!E31</f>
        <v>0</v>
      </c>
    </row>
    <row r="29" spans="1:6" s="560" customFormat="1" ht="29.65" customHeight="1">
      <c r="A29" s="803" t="s">
        <v>874</v>
      </c>
      <c r="B29" s="541" t="s">
        <v>875</v>
      </c>
      <c r="C29" s="540"/>
      <c r="D29" s="798" t="s">
        <v>876</v>
      </c>
      <c r="E29" s="802">
        <f>'P&amp;L old'!D32</f>
        <v>0</v>
      </c>
      <c r="F29" s="539">
        <f>'P&amp;L old'!E32</f>
        <v>0</v>
      </c>
    </row>
    <row r="30" spans="1:6" s="560" customFormat="1" ht="29.65" customHeight="1">
      <c r="A30" s="803" t="s">
        <v>877</v>
      </c>
      <c r="B30" s="541" t="s">
        <v>878</v>
      </c>
      <c r="C30" s="540"/>
      <c r="D30" s="798" t="s">
        <v>879</v>
      </c>
      <c r="E30" s="802">
        <f>'P&amp;L old'!D33</f>
        <v>0</v>
      </c>
      <c r="F30" s="539">
        <f>'P&amp;L old'!E33</f>
        <v>0</v>
      </c>
    </row>
    <row r="31" spans="1:6" s="565" customFormat="1" ht="33.75" customHeight="1">
      <c r="A31" s="805" t="s">
        <v>880</v>
      </c>
      <c r="B31" s="567" t="s">
        <v>881</v>
      </c>
      <c r="C31" s="566"/>
      <c r="D31" s="804" t="s">
        <v>882</v>
      </c>
      <c r="E31" s="802">
        <f>'P&amp;L old'!D34</f>
        <v>0</v>
      </c>
      <c r="F31" s="539">
        <f>'P&amp;L old'!E34</f>
        <v>0</v>
      </c>
    </row>
    <row r="32" spans="1:6" s="560" customFormat="1" ht="29.65" customHeight="1" thickBot="1">
      <c r="A32" s="564" t="s">
        <v>883</v>
      </c>
      <c r="B32" s="563" t="s">
        <v>884</v>
      </c>
      <c r="C32" s="562"/>
      <c r="D32" s="561" t="s">
        <v>885</v>
      </c>
      <c r="E32" s="853">
        <f>'P&amp;L old'!D35</f>
        <v>0</v>
      </c>
      <c r="F32" s="854">
        <f>'P&amp;L old'!E35</f>
        <v>0</v>
      </c>
    </row>
    <row r="33" spans="1:6" ht="24.75" customHeight="1">
      <c r="A33" s="552" t="s">
        <v>886</v>
      </c>
      <c r="B33" s="551" t="s">
        <v>887</v>
      </c>
      <c r="C33" s="550"/>
      <c r="D33" s="797" t="s">
        <v>888</v>
      </c>
      <c r="E33" s="839">
        <f>'P&amp;L old'!D36</f>
        <v>0</v>
      </c>
      <c r="F33" s="855">
        <f>'P&amp;L old'!E36</f>
        <v>0</v>
      </c>
    </row>
    <row r="34" spans="1:6" ht="31" customHeight="1">
      <c r="A34" s="552" t="s">
        <v>889</v>
      </c>
      <c r="B34" s="559" t="s">
        <v>1533</v>
      </c>
      <c r="C34" s="558"/>
      <c r="D34" s="797" t="s">
        <v>891</v>
      </c>
      <c r="E34" s="839">
        <f>'P&amp;L old'!D37</f>
        <v>0</v>
      </c>
      <c r="F34" s="855">
        <f>'P&amp;L old'!E37</f>
        <v>0</v>
      </c>
    </row>
    <row r="35" spans="1:6" ht="36.75" customHeight="1">
      <c r="A35" s="803" t="s">
        <v>892</v>
      </c>
      <c r="B35" s="541" t="s">
        <v>893</v>
      </c>
      <c r="C35" s="540"/>
      <c r="D35" s="798" t="s">
        <v>894</v>
      </c>
      <c r="E35" s="802">
        <f>'P&amp;L old'!D38</f>
        <v>0</v>
      </c>
      <c r="F35" s="539">
        <f>'P&amp;L old'!E38</f>
        <v>0</v>
      </c>
    </row>
    <row r="36" spans="1:6" ht="31" customHeight="1">
      <c r="A36" s="803" t="s">
        <v>895</v>
      </c>
      <c r="B36" s="541" t="s">
        <v>896</v>
      </c>
      <c r="C36" s="540"/>
      <c r="D36" s="798" t="s">
        <v>897</v>
      </c>
      <c r="E36" s="802">
        <f>'P&amp;L old'!D39</f>
        <v>0</v>
      </c>
      <c r="F36" s="539">
        <f>'P&amp;L old'!E39</f>
        <v>0</v>
      </c>
    </row>
    <row r="37" spans="1:6" ht="30" customHeight="1">
      <c r="A37" s="803" t="s">
        <v>898</v>
      </c>
      <c r="B37" s="541" t="s">
        <v>899</v>
      </c>
      <c r="C37" s="540"/>
      <c r="D37" s="798" t="s">
        <v>900</v>
      </c>
      <c r="E37" s="802">
        <f>'P&amp;L old'!D40</f>
        <v>0</v>
      </c>
      <c r="F37" s="539">
        <f>'P&amp;L old'!E40</f>
        <v>0</v>
      </c>
    </row>
    <row r="38" spans="1:6" ht="26.25" customHeight="1">
      <c r="A38" s="803" t="s">
        <v>901</v>
      </c>
      <c r="B38" s="541" t="s">
        <v>902</v>
      </c>
      <c r="C38" s="540"/>
      <c r="D38" s="798" t="s">
        <v>903</v>
      </c>
      <c r="E38" s="802">
        <f>'P&amp;L old'!D41</f>
        <v>0</v>
      </c>
      <c r="F38" s="539">
        <f>'P&amp;L old'!E41</f>
        <v>0</v>
      </c>
    </row>
    <row r="39" spans="1:6" ht="22.5" customHeight="1">
      <c r="A39" s="803" t="s">
        <v>904</v>
      </c>
      <c r="B39" s="541" t="s">
        <v>905</v>
      </c>
      <c r="C39" s="540"/>
      <c r="D39" s="798" t="s">
        <v>906</v>
      </c>
      <c r="E39" s="802">
        <f>'P&amp;L old'!D42</f>
        <v>0</v>
      </c>
      <c r="F39" s="539">
        <f>'P&amp;L old'!E42</f>
        <v>0</v>
      </c>
    </row>
    <row r="40" spans="1:6" ht="31" customHeight="1">
      <c r="A40" s="803" t="s">
        <v>907</v>
      </c>
      <c r="B40" s="541" t="s">
        <v>908</v>
      </c>
      <c r="C40" s="540"/>
      <c r="D40" s="798" t="s">
        <v>909</v>
      </c>
      <c r="E40" s="802">
        <f>'P&amp;L old'!D43</f>
        <v>0</v>
      </c>
      <c r="F40" s="539">
        <f>'P&amp;L old'!E43</f>
        <v>0</v>
      </c>
    </row>
    <row r="41" spans="1:6" ht="30" customHeight="1">
      <c r="A41" s="803" t="s">
        <v>910</v>
      </c>
      <c r="B41" s="541" t="s">
        <v>911</v>
      </c>
      <c r="C41" s="540"/>
      <c r="D41" s="798" t="s">
        <v>912</v>
      </c>
      <c r="E41" s="802">
        <f>'P&amp;L old'!D44</f>
        <v>0</v>
      </c>
      <c r="F41" s="539">
        <f>'P&amp;L old'!E44</f>
        <v>0</v>
      </c>
    </row>
    <row r="42" spans="1:6" ht="32.25" customHeight="1">
      <c r="A42" s="803" t="s">
        <v>913</v>
      </c>
      <c r="B42" s="541" t="s">
        <v>914</v>
      </c>
      <c r="C42" s="540"/>
      <c r="D42" s="798" t="s">
        <v>915</v>
      </c>
      <c r="E42" s="802">
        <f>'P&amp;L old'!D45</f>
        <v>0</v>
      </c>
      <c r="F42" s="539">
        <f>'P&amp;L old'!E45</f>
        <v>0</v>
      </c>
    </row>
    <row r="43" spans="1:6" ht="24" customHeight="1">
      <c r="A43" s="803" t="s">
        <v>916</v>
      </c>
      <c r="B43" s="541" t="s">
        <v>917</v>
      </c>
      <c r="C43" s="540"/>
      <c r="D43" s="798" t="s">
        <v>918</v>
      </c>
      <c r="E43" s="802">
        <f>'P&amp;L old'!D46</f>
        <v>0</v>
      </c>
      <c r="F43" s="539">
        <f>'P&amp;L old'!E46</f>
        <v>0</v>
      </c>
    </row>
    <row r="44" spans="1:6" ht="26.25" customHeight="1">
      <c r="A44" s="803" t="s">
        <v>919</v>
      </c>
      <c r="B44" s="541" t="s">
        <v>920</v>
      </c>
      <c r="C44" s="540"/>
      <c r="D44" s="798" t="s">
        <v>921</v>
      </c>
      <c r="E44" s="802">
        <f>'P&amp;L old'!D47</f>
        <v>0</v>
      </c>
      <c r="F44" s="539">
        <f>'P&amp;L old'!E47</f>
        <v>0</v>
      </c>
    </row>
    <row r="45" spans="1:6" ht="24.75" customHeight="1">
      <c r="A45" s="803" t="s">
        <v>922</v>
      </c>
      <c r="B45" s="541" t="s">
        <v>923</v>
      </c>
      <c r="C45" s="540"/>
      <c r="D45" s="798" t="s">
        <v>924</v>
      </c>
      <c r="E45" s="802">
        <f>'P&amp;L old'!D48</f>
        <v>0</v>
      </c>
      <c r="F45" s="539">
        <f>'P&amp;L old'!E48</f>
        <v>0</v>
      </c>
    </row>
    <row r="46" spans="1:6" ht="27.25" customHeight="1">
      <c r="A46" s="803" t="s">
        <v>925</v>
      </c>
      <c r="B46" s="541" t="s">
        <v>926</v>
      </c>
      <c r="C46" s="540"/>
      <c r="D46" s="798" t="s">
        <v>927</v>
      </c>
      <c r="E46" s="802">
        <f>'P&amp;L old'!D49</f>
        <v>0</v>
      </c>
      <c r="F46" s="539">
        <f>'P&amp;L old'!E49</f>
        <v>0</v>
      </c>
    </row>
    <row r="47" spans="1:6" ht="29.25" customHeight="1">
      <c r="A47" s="803" t="s">
        <v>928</v>
      </c>
      <c r="B47" s="541" t="s">
        <v>929</v>
      </c>
      <c r="C47" s="540"/>
      <c r="D47" s="798" t="s">
        <v>930</v>
      </c>
      <c r="E47" s="802">
        <f>'P&amp;L old'!D50</f>
        <v>0</v>
      </c>
      <c r="F47" s="539">
        <f>'P&amp;L old'!E50</f>
        <v>0</v>
      </c>
    </row>
    <row r="48" spans="1:6" ht="27.75" customHeight="1">
      <c r="A48" s="803" t="s">
        <v>931</v>
      </c>
      <c r="B48" s="541" t="s">
        <v>932</v>
      </c>
      <c r="C48" s="540"/>
      <c r="D48" s="798" t="s">
        <v>933</v>
      </c>
      <c r="E48" s="802">
        <f>'P&amp;L old'!D51</f>
        <v>0</v>
      </c>
      <c r="F48" s="539">
        <f>'P&amp;L old'!E51</f>
        <v>0</v>
      </c>
    </row>
    <row r="49" spans="1:6" ht="27.75" customHeight="1">
      <c r="A49" s="803" t="s">
        <v>934</v>
      </c>
      <c r="B49" s="541" t="s">
        <v>935</v>
      </c>
      <c r="C49" s="540"/>
      <c r="D49" s="798" t="s">
        <v>936</v>
      </c>
      <c r="E49" s="802">
        <f>'P&amp;L old'!D52</f>
        <v>0</v>
      </c>
      <c r="F49" s="539">
        <f>'P&amp;L old'!E52</f>
        <v>0</v>
      </c>
    </row>
    <row r="50" spans="1:6" ht="27.75" customHeight="1">
      <c r="A50" s="803" t="s">
        <v>937</v>
      </c>
      <c r="B50" s="541" t="s">
        <v>938</v>
      </c>
      <c r="C50" s="540"/>
      <c r="D50" s="798" t="s">
        <v>939</v>
      </c>
      <c r="E50" s="802">
        <f>'P&amp;L old'!D53</f>
        <v>0</v>
      </c>
      <c r="F50" s="539">
        <f>'P&amp;L old'!E53</f>
        <v>0</v>
      </c>
    </row>
    <row r="51" spans="1:6" s="536" customFormat="1" ht="44.25" customHeight="1">
      <c r="A51" s="555" t="s">
        <v>880</v>
      </c>
      <c r="B51" s="557" t="s">
        <v>1534</v>
      </c>
      <c r="C51" s="556"/>
      <c r="D51" s="804" t="s">
        <v>941</v>
      </c>
      <c r="E51" s="802">
        <f>'P&amp;L old'!D54</f>
        <v>0</v>
      </c>
      <c r="F51" s="539">
        <f>'P&amp;L old'!E54</f>
        <v>0</v>
      </c>
    </row>
    <row r="52" spans="1:6" s="536" customFormat="1" ht="29.25" customHeight="1">
      <c r="A52" s="555" t="s">
        <v>942</v>
      </c>
      <c r="B52" s="554" t="s">
        <v>943</v>
      </c>
      <c r="C52" s="553"/>
      <c r="D52" s="804" t="s">
        <v>944</v>
      </c>
      <c r="E52" s="802">
        <f>'P&amp;L old'!D55</f>
        <v>0</v>
      </c>
      <c r="F52" s="539">
        <f>'P&amp;L old'!E55</f>
        <v>0</v>
      </c>
    </row>
    <row r="53" spans="1:6" ht="31" customHeight="1">
      <c r="A53" s="803" t="s">
        <v>945</v>
      </c>
      <c r="B53" s="541" t="s">
        <v>946</v>
      </c>
      <c r="C53" s="540"/>
      <c r="D53" s="798" t="s">
        <v>947</v>
      </c>
      <c r="E53" s="802">
        <f>'P&amp;L old'!D56</f>
        <v>0</v>
      </c>
      <c r="F53" s="539">
        <f>'P&amp;L old'!E56</f>
        <v>0</v>
      </c>
    </row>
    <row r="54" spans="1:6" ht="28.5" customHeight="1">
      <c r="A54" s="806" t="s">
        <v>948</v>
      </c>
      <c r="B54" s="541" t="s">
        <v>1535</v>
      </c>
      <c r="C54" s="540"/>
      <c r="D54" s="798" t="s">
        <v>950</v>
      </c>
      <c r="E54" s="802">
        <f>'P&amp;L old'!D57</f>
        <v>0</v>
      </c>
      <c r="F54" s="539">
        <f>'P&amp;L old'!E57</f>
        <v>0</v>
      </c>
    </row>
    <row r="55" spans="1:6" ht="28.5" customHeight="1">
      <c r="A55" s="803" t="s">
        <v>836</v>
      </c>
      <c r="B55" s="541" t="s">
        <v>1536</v>
      </c>
      <c r="C55" s="540"/>
      <c r="D55" s="798" t="s">
        <v>952</v>
      </c>
      <c r="E55" s="802">
        <f>'P&amp;L old'!D58</f>
        <v>0</v>
      </c>
      <c r="F55" s="539">
        <f>'P&amp;L old'!E58</f>
        <v>0</v>
      </c>
    </row>
    <row r="56" spans="1:6" s="536" customFormat="1" ht="31.5" customHeight="1">
      <c r="A56" s="555" t="s">
        <v>942</v>
      </c>
      <c r="B56" s="554" t="s">
        <v>1537</v>
      </c>
      <c r="C56" s="553"/>
      <c r="D56" s="804" t="s">
        <v>954</v>
      </c>
      <c r="E56" s="802">
        <f>'P&amp;L old'!D59</f>
        <v>0</v>
      </c>
      <c r="F56" s="539">
        <f>'P&amp;L old'!E59</f>
        <v>0</v>
      </c>
    </row>
    <row r="57" spans="1:6" ht="29.25" customHeight="1">
      <c r="A57" s="803" t="s">
        <v>955</v>
      </c>
      <c r="B57" s="541" t="s">
        <v>956</v>
      </c>
      <c r="C57" s="540"/>
      <c r="D57" s="798" t="s">
        <v>957</v>
      </c>
      <c r="E57" s="802">
        <f>'P&amp;L old'!D60</f>
        <v>0</v>
      </c>
      <c r="F57" s="539">
        <f>'P&amp;L old'!E60</f>
        <v>0</v>
      </c>
    </row>
    <row r="58" spans="1:6" ht="28.5" customHeight="1">
      <c r="A58" s="803" t="s">
        <v>958</v>
      </c>
      <c r="B58" s="541" t="s">
        <v>959</v>
      </c>
      <c r="C58" s="540"/>
      <c r="D58" s="798" t="s">
        <v>960</v>
      </c>
      <c r="E58" s="802">
        <f>'P&amp;L old'!D61</f>
        <v>0</v>
      </c>
      <c r="F58" s="539">
        <f>'P&amp;L old'!E61</f>
        <v>0</v>
      </c>
    </row>
    <row r="59" spans="1:6" ht="31" customHeight="1" thickBot="1">
      <c r="A59" s="512" t="s">
        <v>880</v>
      </c>
      <c r="B59" s="538" t="s">
        <v>961</v>
      </c>
      <c r="C59" s="537"/>
      <c r="D59" s="511" t="s">
        <v>962</v>
      </c>
      <c r="E59" s="853">
        <f>'P&amp;L old'!D62</f>
        <v>0</v>
      </c>
      <c r="F59" s="854">
        <f>'P&amp;L old'!E62</f>
        <v>0</v>
      </c>
    </row>
    <row r="60" spans="1:6" ht="27.75" customHeight="1">
      <c r="A60" s="552" t="s">
        <v>963</v>
      </c>
      <c r="B60" s="551" t="s">
        <v>964</v>
      </c>
      <c r="C60" s="550"/>
      <c r="D60" s="797" t="s">
        <v>965</v>
      </c>
      <c r="E60" s="839">
        <f>'P&amp;L old'!D63</f>
        <v>0</v>
      </c>
      <c r="F60" s="855">
        <f>'P&amp;L old'!E63</f>
        <v>0</v>
      </c>
    </row>
    <row r="61" spans="1:6" ht="27.75" customHeight="1">
      <c r="A61" s="806" t="s">
        <v>966</v>
      </c>
      <c r="B61" s="541" t="s">
        <v>1538</v>
      </c>
      <c r="C61" s="540"/>
      <c r="D61" s="798" t="s">
        <v>968</v>
      </c>
      <c r="E61" s="802">
        <f>'P&amp;L old'!D64</f>
        <v>0</v>
      </c>
      <c r="F61" s="539">
        <f>'P&amp;L old'!E64</f>
        <v>0</v>
      </c>
    </row>
    <row r="62" spans="1:6" ht="27.75" customHeight="1">
      <c r="A62" s="803" t="s">
        <v>836</v>
      </c>
      <c r="B62" s="541" t="s">
        <v>1539</v>
      </c>
      <c r="C62" s="540"/>
      <c r="D62" s="798" t="s">
        <v>970</v>
      </c>
      <c r="E62" s="802">
        <f>'P&amp;L old'!D65</f>
        <v>0</v>
      </c>
      <c r="F62" s="539">
        <f>'P&amp;L old'!E65</f>
        <v>0</v>
      </c>
    </row>
    <row r="63" spans="1:6" s="536" customFormat="1" ht="27.75" customHeight="1">
      <c r="A63" s="547" t="s">
        <v>880</v>
      </c>
      <c r="B63" s="546" t="s">
        <v>971</v>
      </c>
      <c r="C63" s="545"/>
      <c r="D63" s="808" t="s">
        <v>972</v>
      </c>
      <c r="E63" s="839">
        <f>'P&amp;L old'!D66</f>
        <v>0</v>
      </c>
      <c r="F63" s="855">
        <f>'P&amp;L old'!E66</f>
        <v>0</v>
      </c>
    </row>
    <row r="64" spans="1:6" s="536" customFormat="1" ht="27.75" customHeight="1">
      <c r="A64" s="805" t="s">
        <v>973</v>
      </c>
      <c r="B64" s="543" t="s">
        <v>974</v>
      </c>
      <c r="C64" s="542"/>
      <c r="D64" s="804" t="s">
        <v>975</v>
      </c>
      <c r="E64" s="802">
        <f>'P&amp;L old'!D67</f>
        <v>0</v>
      </c>
      <c r="F64" s="539">
        <f>'P&amp;L old'!E67</f>
        <v>0</v>
      </c>
    </row>
    <row r="65" spans="1:6" ht="27.75" customHeight="1">
      <c r="A65" s="803" t="s">
        <v>976</v>
      </c>
      <c r="B65" s="541" t="s">
        <v>1540</v>
      </c>
      <c r="C65" s="540"/>
      <c r="D65" s="798" t="s">
        <v>978</v>
      </c>
      <c r="E65" s="802">
        <f>'P&amp;L old'!D68</f>
        <v>0</v>
      </c>
      <c r="F65" s="539">
        <f>'P&amp;L old'!E68</f>
        <v>0</v>
      </c>
    </row>
    <row r="66" spans="1:6" s="536" customFormat="1" ht="27.75" customHeight="1" thickBot="1">
      <c r="A66" s="512" t="s">
        <v>973</v>
      </c>
      <c r="B66" s="538" t="s">
        <v>979</v>
      </c>
      <c r="C66" s="537"/>
      <c r="D66" s="511" t="s">
        <v>980</v>
      </c>
      <c r="E66" s="853">
        <f>'P&amp;L old'!D69</f>
        <v>0</v>
      </c>
      <c r="F66" s="854">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796875" defaultRowHeight="12.5"/>
  <cols>
    <col min="1" max="45" width="2.54296875" style="927" customWidth="1"/>
    <col min="46" max="46" width="7.7265625" style="927" customWidth="1"/>
    <col min="47" max="61" width="2.54296875" style="927" customWidth="1"/>
    <col min="62" max="16384" width="9.1796875" style="927"/>
  </cols>
  <sheetData>
    <row r="1" spans="1:37" s="500" customFormat="1" ht="9">
      <c r="C1" s="501" t="s">
        <v>1716</v>
      </c>
    </row>
    <row r="2" spans="1:37" s="397" customFormat="1" ht="21" customHeight="1">
      <c r="C2" s="499" t="s">
        <v>2004</v>
      </c>
      <c r="D2" s="498"/>
      <c r="E2" s="498"/>
      <c r="F2" s="498"/>
      <c r="G2" s="498"/>
      <c r="H2" s="498"/>
      <c r="I2" s="498"/>
      <c r="J2" s="498"/>
      <c r="K2" s="497"/>
      <c r="Q2" s="496" t="s">
        <v>2005</v>
      </c>
    </row>
    <row r="3" spans="1:37" ht="13.5" thickBot="1">
      <c r="N3" s="904"/>
      <c r="O3" s="904" t="s">
        <v>2006</v>
      </c>
    </row>
    <row r="4" spans="1:37" ht="28.5" customHeight="1" thickBot="1">
      <c r="K4" s="929" t="s">
        <v>2016</v>
      </c>
      <c r="L4" s="494"/>
      <c r="M4" s="494"/>
      <c r="N4" s="494"/>
      <c r="O4" s="494"/>
      <c r="P4" s="494" t="str">
        <f>'Notes-SK Cover sheet'!O4</f>
        <v>3</v>
      </c>
      <c r="Q4" s="494" t="str">
        <f>'Notes-SK Cover sheet'!P4</f>
        <v>1</v>
      </c>
      <c r="R4" s="494" t="str">
        <f>'Notes-SK Cover sheet'!Q4</f>
        <v>.</v>
      </c>
      <c r="S4" s="494" t="str">
        <f>'Notes-SK Cover sheet'!R4</f>
        <v>0</v>
      </c>
      <c r="T4" s="494" t="str">
        <f>'Notes-SK Cover sheet'!S4</f>
        <v>3</v>
      </c>
      <c r="U4" s="494" t="str">
        <f>'Notes-SK Cover sheet'!T4</f>
        <v>.</v>
      </c>
      <c r="V4" s="494" t="str">
        <f>'Notes-SK Cover sheet'!U4</f>
        <v>2</v>
      </c>
      <c r="W4" s="494" t="str">
        <f>'Notes-SK Cover sheet'!V4</f>
        <v>0</v>
      </c>
      <c r="X4" s="494" t="str">
        <f>'Notes-SK Cover sheet'!W4</f>
        <v>1</v>
      </c>
      <c r="Y4" s="494" t="str">
        <f>'Notes-SK Cover sheet'!X4</f>
        <v>9</v>
      </c>
      <c r="Z4" s="491"/>
    </row>
    <row r="5" spans="1:37" ht="7.5" customHeight="1" thickBot="1"/>
    <row r="6" spans="1:37" s="487" customFormat="1" ht="14.25" customHeight="1">
      <c r="A6" s="490" t="s">
        <v>2219</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1524</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row r="10" spans="1:37" s="462" customFormat="1" ht="14.25" customHeight="1">
      <c r="A10" s="464" t="s">
        <v>1416</v>
      </c>
      <c r="B10" s="463"/>
      <c r="C10" s="463"/>
      <c r="D10" s="463"/>
      <c r="E10" s="463"/>
      <c r="F10" s="463"/>
      <c r="G10" s="463"/>
      <c r="H10" s="463"/>
      <c r="I10" s="407"/>
      <c r="J10" s="406"/>
      <c r="K10" s="480" t="s">
        <v>1417</v>
      </c>
      <c r="L10" s="463"/>
      <c r="M10" s="481"/>
      <c r="N10" s="481"/>
      <c r="O10" s="481"/>
      <c r="P10" s="463"/>
      <c r="Q10" s="480" t="s">
        <v>1417</v>
      </c>
      <c r="R10" s="463"/>
      <c r="S10" s="407"/>
      <c r="T10" s="463"/>
      <c r="U10" s="463"/>
      <c r="V10" s="479"/>
      <c r="W10" s="463"/>
      <c r="X10" s="463"/>
      <c r="Y10" s="463"/>
      <c r="Z10" s="463"/>
      <c r="AA10" s="463"/>
      <c r="AB10" s="463"/>
      <c r="AC10" s="463"/>
      <c r="AD10" s="480" t="s">
        <v>1418</v>
      </c>
      <c r="AE10" s="480"/>
      <c r="AF10" s="480"/>
      <c r="AG10" s="480" t="s">
        <v>1419</v>
      </c>
      <c r="AH10" s="463"/>
      <c r="AI10" s="463"/>
      <c r="AJ10" s="463"/>
      <c r="AK10" s="479"/>
    </row>
    <row r="11" spans="1:37" s="462" customFormat="1" ht="19.5" customHeight="1">
      <c r="A11" s="476" t="str">
        <f>'Notes-SK Cover sheet'!A11</f>
        <v>2</v>
      </c>
      <c r="B11" s="441" t="str">
        <f>'Notes-SK Cover sheet'!B11</f>
        <v>0</v>
      </c>
      <c r="C11" s="441" t="str">
        <f>'Notes-SK Cover sheet'!C11</f>
        <v>2</v>
      </c>
      <c r="D11" s="441" t="str">
        <f>'Notes-SK Cover sheet'!D11</f>
        <v>0</v>
      </c>
      <c r="E11" s="441" t="str">
        <f>'Notes-SK Cover sheet'!E11</f>
        <v>3</v>
      </c>
      <c r="F11" s="441" t="str">
        <f>'Notes-SK Cover sheet'!F11</f>
        <v>1</v>
      </c>
      <c r="G11" s="441" t="str">
        <f>'Notes-SK Cover sheet'!G11</f>
        <v>9</v>
      </c>
      <c r="H11" s="441" t="str">
        <f>'Notes-SK Cover sheet'!H11</f>
        <v>8</v>
      </c>
      <c r="I11" s="441" t="str">
        <f>'Notes-SK Cover sheet'!I11</f>
        <v>2</v>
      </c>
      <c r="J11" s="448" t="str">
        <f>'Notes-SK Cover sheet'!J11</f>
        <v>9</v>
      </c>
      <c r="K11" s="399"/>
      <c r="L11" s="478" t="str">
        <f>'Notes-SK Cover sheet'!L11</f>
        <v>x</v>
      </c>
      <c r="M11" s="470" t="s">
        <v>1326</v>
      </c>
      <c r="N11" s="472"/>
      <c r="O11" s="472"/>
      <c r="P11" s="472"/>
      <c r="Q11" s="472"/>
      <c r="R11" s="478" t="str">
        <f>'Notes-SK Cover sheet'!R11</f>
        <v>x</v>
      </c>
      <c r="S11" s="470" t="s">
        <v>1319</v>
      </c>
      <c r="T11" s="465"/>
      <c r="U11" s="465"/>
      <c r="V11" s="471"/>
      <c r="W11" s="470" t="s">
        <v>1420</v>
      </c>
      <c r="X11" s="465"/>
      <c r="Y11" s="465"/>
      <c r="Z11" s="465"/>
      <c r="AA11" s="465"/>
      <c r="AB11" s="470" t="s">
        <v>1421</v>
      </c>
      <c r="AC11" s="465"/>
      <c r="AD11" s="441" t="str">
        <f>'Notes-SK Cover sheet'!AD11</f>
        <v>0</v>
      </c>
      <c r="AE11" s="441" t="str">
        <f>'Notes-SK Cover sheet'!AE11</f>
        <v>4</v>
      </c>
      <c r="AF11" s="441"/>
      <c r="AG11" s="441" t="str">
        <f>'Notes-SK Cover sheet'!AG11</f>
        <v>2</v>
      </c>
      <c r="AH11" s="441" t="str">
        <f>'Notes-SK Cover sheet'!AH11</f>
        <v>0</v>
      </c>
      <c r="AI11" s="441" t="str">
        <f>'Notes-SK Cover sheet'!AI11</f>
        <v>1</v>
      </c>
      <c r="AJ11" s="441" t="str">
        <f>'Notes-SK Cover sheet'!AJ11</f>
        <v>8</v>
      </c>
      <c r="AK11" s="471"/>
    </row>
    <row r="12" spans="1:37" s="462" customFormat="1" ht="19.5" customHeight="1" thickBot="1">
      <c r="A12" s="403" t="s">
        <v>1422</v>
      </c>
      <c r="B12" s="465"/>
      <c r="C12" s="465"/>
      <c r="D12" s="465"/>
      <c r="E12" s="465"/>
      <c r="F12" s="465"/>
      <c r="G12" s="465"/>
      <c r="H12" s="399"/>
      <c r="I12" s="399"/>
      <c r="J12" s="398"/>
      <c r="K12" s="399"/>
      <c r="L12" s="474" t="str">
        <f>'Notes-SK Cover sheet'!L12</f>
        <v/>
      </c>
      <c r="M12" s="470" t="s">
        <v>1325</v>
      </c>
      <c r="N12" s="472"/>
      <c r="O12" s="472"/>
      <c r="P12" s="472"/>
      <c r="Q12" s="472"/>
      <c r="R12" s="475" t="str">
        <f>'Notes-SK Cover sheet'!R12</f>
        <v xml:space="preserve"> </v>
      </c>
      <c r="S12" s="470" t="s">
        <v>1317</v>
      </c>
      <c r="T12" s="465"/>
      <c r="U12" s="465"/>
      <c r="V12" s="471"/>
      <c r="W12" s="477"/>
      <c r="X12" s="467"/>
      <c r="Y12" s="467"/>
      <c r="Z12" s="467"/>
      <c r="AA12" s="467"/>
      <c r="AB12" s="466" t="s">
        <v>1425</v>
      </c>
      <c r="AC12" s="467"/>
      <c r="AD12" s="439" t="str">
        <f>'Notes-SK Cover sheet'!AD12</f>
        <v>0</v>
      </c>
      <c r="AE12" s="439" t="str">
        <f>'Notes-SK Cover sheet'!AE12</f>
        <v>3</v>
      </c>
      <c r="AF12" s="439"/>
      <c r="AG12" s="439" t="str">
        <f>'Notes-SK Cover sheet'!AG12</f>
        <v>2</v>
      </c>
      <c r="AH12" s="439" t="str">
        <f>'Notes-SK Cover sheet'!AH12</f>
        <v>0</v>
      </c>
      <c r="AI12" s="439" t="str">
        <f>'Notes-SK Cover sheet'!AI12</f>
        <v>1</v>
      </c>
      <c r="AJ12" s="439" t="str">
        <f>'Notes-SK Cover sheet'!AJ12</f>
        <v>9</v>
      </c>
      <c r="AK12" s="468"/>
    </row>
    <row r="13" spans="1:37" s="462" customFormat="1" ht="19.5" customHeight="1">
      <c r="A13" s="476" t="str">
        <f>'Notes-SK Cover sheet'!A13</f>
        <v>3</v>
      </c>
      <c r="B13" s="441" t="str">
        <f>'Notes-SK Cover sheet'!B13</f>
        <v>1</v>
      </c>
      <c r="C13" s="441" t="str">
        <f>'Notes-SK Cover sheet'!C13</f>
        <v>3</v>
      </c>
      <c r="D13" s="441" t="str">
        <f>'Notes-SK Cover sheet'!D13</f>
        <v>6</v>
      </c>
      <c r="E13" s="441" t="str">
        <f>'Notes-SK Cover sheet'!E13</f>
        <v>5</v>
      </c>
      <c r="F13" s="441" t="str">
        <f>'Notes-SK Cover sheet'!F13</f>
        <v>5</v>
      </c>
      <c r="G13" s="441" t="str">
        <f>'Notes-SK Cover sheet'!G13</f>
        <v>0</v>
      </c>
      <c r="H13" s="441" t="str">
        <f>'Notes-SK Cover sheet'!H13</f>
        <v>7</v>
      </c>
      <c r="I13" s="399"/>
      <c r="J13" s="398"/>
      <c r="K13" s="905"/>
      <c r="L13" s="826"/>
      <c r="M13" s="827" t="s">
        <v>2012</v>
      </c>
      <c r="N13" s="826"/>
      <c r="O13" s="826"/>
      <c r="P13" s="826"/>
      <c r="Q13" s="826"/>
      <c r="R13" s="906" t="s">
        <v>2015</v>
      </c>
      <c r="S13" s="826"/>
      <c r="T13" s="826"/>
      <c r="U13" s="826"/>
      <c r="V13" s="829"/>
      <c r="W13" s="470" t="s">
        <v>2007</v>
      </c>
      <c r="X13" s="465"/>
      <c r="Y13" s="402"/>
      <c r="Z13" s="399"/>
      <c r="AA13" s="399"/>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478" t="str">
        <f>IF('Notes-SK Cover sheet'!L14="","",'Notes-SK Cover sheet'!L14)</f>
        <v/>
      </c>
      <c r="M14" s="470" t="s">
        <v>2013</v>
      </c>
      <c r="N14" s="472"/>
      <c r="O14" s="472"/>
      <c r="P14" s="472"/>
      <c r="Q14" s="472"/>
      <c r="S14" s="472"/>
      <c r="T14" s="465"/>
      <c r="U14" s="465"/>
      <c r="V14" s="471"/>
      <c r="W14" s="470" t="s">
        <v>2008</v>
      </c>
      <c r="X14" s="465"/>
      <c r="Y14" s="402"/>
      <c r="Z14" s="399"/>
      <c r="AA14" s="399"/>
      <c r="AB14" s="470" t="s">
        <v>1421</v>
      </c>
      <c r="AC14" s="399"/>
      <c r="AD14" s="441" t="str">
        <f>'Notes-SK Cover sheet'!AD14</f>
        <v>0</v>
      </c>
      <c r="AE14" s="441" t="str">
        <f>'Notes-SK Cover sheet'!AE14</f>
        <v>4</v>
      </c>
      <c r="AF14" s="441"/>
      <c r="AG14" s="441" t="str">
        <f>'Notes-SK Cover sheet'!AG14</f>
        <v>2</v>
      </c>
      <c r="AH14" s="441" t="str">
        <f>'Notes-SK Cover sheet'!AH14</f>
        <v>0</v>
      </c>
      <c r="AI14" s="441" t="str">
        <f>'Notes-SK Cover sheet'!AI14</f>
        <v>1</v>
      </c>
      <c r="AJ14" s="441" t="str">
        <f>'Notes-SK Cover sheet'!AJ14</f>
        <v>7</v>
      </c>
      <c r="AK14" s="398"/>
    </row>
    <row r="15" spans="1:37" s="462" customFormat="1" ht="19.5" customHeight="1" thickBot="1">
      <c r="A15" s="469" t="str">
        <f>'Notes-SK Cover sheet'!A15</f>
        <v>2</v>
      </c>
      <c r="B15" s="394" t="str">
        <f>'Notes-SK Cover sheet'!B15</f>
        <v>7</v>
      </c>
      <c r="C15" s="467" t="str">
        <f>'Notes-SK Cover sheet'!C15</f>
        <v>.</v>
      </c>
      <c r="D15" s="394" t="str">
        <f>'Notes-SK Cover sheet'!D15</f>
        <v>3</v>
      </c>
      <c r="E15" s="394" t="str">
        <f>'Notes-SK Cover sheet'!E15</f>
        <v>1</v>
      </c>
      <c r="F15" s="418" t="str">
        <f>'Notes-SK Cover sheet'!F15</f>
        <v>.</v>
      </c>
      <c r="G15" s="394" t="str">
        <f>'Notes-SK Cover sheet'!G15</f>
        <v>0</v>
      </c>
      <c r="H15" s="394"/>
      <c r="I15" s="394"/>
      <c r="J15" s="393"/>
      <c r="K15" s="394"/>
      <c r="L15" s="394" t="str">
        <f>IF('Notes-SK Cover sheet'!L15="","",'Notes-SK Cover sheet'!L15)</f>
        <v/>
      </c>
      <c r="M15" s="466" t="s">
        <v>2014</v>
      </c>
      <c r="N15" s="394"/>
      <c r="O15" s="394"/>
      <c r="P15" s="394"/>
      <c r="Q15" s="394"/>
      <c r="R15" s="907" t="s">
        <v>2015</v>
      </c>
      <c r="S15" s="394"/>
      <c r="T15" s="467"/>
      <c r="U15" s="467"/>
      <c r="V15" s="468"/>
      <c r="W15" s="466" t="s">
        <v>679</v>
      </c>
      <c r="X15" s="467"/>
      <c r="Y15" s="395"/>
      <c r="Z15" s="394"/>
      <c r="AA15" s="394"/>
      <c r="AB15" s="466" t="s">
        <v>1425</v>
      </c>
      <c r="AC15" s="394"/>
      <c r="AD15" s="439" t="str">
        <f>'Notes-SK Cover sheet'!AD15</f>
        <v>0</v>
      </c>
      <c r="AE15" s="439" t="str">
        <f>'Notes-SK Cover sheet'!AE15</f>
        <v>3</v>
      </c>
      <c r="AF15" s="439"/>
      <c r="AG15" s="439" t="str">
        <f>'Notes-SK Cover sheet'!AG15</f>
        <v>2</v>
      </c>
      <c r="AH15" s="439" t="str">
        <f>'Notes-SK Cover sheet'!AH15</f>
        <v>0</v>
      </c>
      <c r="AI15" s="439" t="str">
        <f>'Notes-SK Cover sheet'!AI15</f>
        <v>1</v>
      </c>
      <c r="AJ15" s="439" t="str">
        <f>'Notes-SK Cover sheet'!AJ15</f>
        <v>8</v>
      </c>
      <c r="AK15" s="393"/>
    </row>
    <row r="16" spans="1:37" s="462" customFormat="1" ht="4.5" customHeigh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37"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37" s="462" customFormat="1" ht="15.5">
      <c r="A18" s="464" t="s">
        <v>1430</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37" s="462" customFormat="1" ht="19.5" customHeight="1">
      <c r="A19" s="449" t="str">
        <f>'Notes-SK Cover sheet'!A19</f>
        <v>F</v>
      </c>
      <c r="B19" s="441" t="str">
        <f>'Notes-SK Cover sheet'!B19</f>
        <v>o</v>
      </c>
      <c r="C19" s="441" t="str">
        <f>'Notes-SK Cover sheet'!C19</f>
        <v>s</v>
      </c>
      <c r="D19" s="441" t="str">
        <f>'Notes-SK Cover sheet'!D19</f>
        <v>s</v>
      </c>
      <c r="E19" s="441" t="str">
        <f>'Notes-SK Cover sheet'!E19</f>
        <v xml:space="preserve"> </v>
      </c>
      <c r="F19" s="441" t="str">
        <f>'Notes-SK Cover sheet'!F19</f>
        <v>F</v>
      </c>
      <c r="G19" s="441" t="str">
        <f>'Notes-SK Cover sheet'!G19</f>
        <v>i</v>
      </c>
      <c r="H19" s="441" t="str">
        <f>'Notes-SK Cover sheet'!H19</f>
        <v>b</v>
      </c>
      <c r="I19" s="441" t="str">
        <f>'Notes-SK Cover sheet'!I19</f>
        <v>r</v>
      </c>
      <c r="J19" s="441" t="str">
        <f>'Notes-SK Cover sheet'!J19</f>
        <v>e</v>
      </c>
      <c r="K19" s="441" t="str">
        <f>'Notes-SK Cover sheet'!K19</f>
        <v xml:space="preserve"> </v>
      </c>
      <c r="L19" s="441" t="str">
        <f>'Notes-SK Cover sheet'!L19</f>
        <v>O</v>
      </c>
      <c r="M19" s="441" t="str">
        <f>'Notes-SK Cover sheet'!M19</f>
        <v>p</v>
      </c>
      <c r="N19" s="441" t="str">
        <f>'Notes-SK Cover sheet'!N19</f>
        <v>t</v>
      </c>
      <c r="O19" s="441" t="str">
        <f>'Notes-SK Cover sheet'!O19</f>
        <v>i</v>
      </c>
      <c r="P19" s="441" t="str">
        <f>'Notes-SK Cover sheet'!P19</f>
        <v>c</v>
      </c>
      <c r="Q19" s="441" t="str">
        <f>'Notes-SK Cover sheet'!Q19</f>
        <v>s</v>
      </c>
      <c r="R19" s="441" t="str">
        <f>'Notes-SK Cover sheet'!R19</f>
        <v>,</v>
      </c>
      <c r="S19" s="441" t="str">
        <f>'Notes-SK Cover sheet'!S19</f>
        <v xml:space="preserve"> </v>
      </c>
      <c r="T19" s="441" t="str">
        <f>'Notes-SK Cover sheet'!T19</f>
        <v>s</v>
      </c>
      <c r="U19" s="441" t="str">
        <f>'Notes-SK Cover sheet'!U19</f>
        <v>.</v>
      </c>
      <c r="V19" s="441" t="str">
        <f>'Notes-SK Cover sheet'!V19</f>
        <v>r</v>
      </c>
      <c r="W19" s="441" t="str">
        <f>'Notes-SK Cover sheet'!W19</f>
        <v>.</v>
      </c>
      <c r="X19" s="441" t="str">
        <f>'Notes-SK Cover sheet'!X19</f>
        <v>o</v>
      </c>
      <c r="Y19" s="441" t="str">
        <f>'Notes-SK Cover sheet'!Y19</f>
        <v>.</v>
      </c>
      <c r="Z19" s="441" t="str">
        <f>'Notes-SK Cover sheet'!Z19</f>
        <v xml:space="preserve"> </v>
      </c>
      <c r="AA19" s="441" t="str">
        <f>'Notes-SK Cover sheet'!AA19</f>
        <v xml:space="preserve">
</v>
      </c>
      <c r="AB19" s="441" t="str">
        <f>'Notes-SK Cover sheet'!AB19</f>
        <v/>
      </c>
      <c r="AC19" s="441" t="str">
        <f>'Notes-SK Cover sheet'!AC19</f>
        <v/>
      </c>
      <c r="AD19" s="441" t="str">
        <f>'Notes-SK Cover sheet'!AD19</f>
        <v/>
      </c>
      <c r="AE19" s="441" t="str">
        <f>'Notes-SK Cover sheet'!AE19</f>
        <v/>
      </c>
      <c r="AF19" s="441" t="str">
        <f>'Notes-SK Cover sheet'!AF19</f>
        <v/>
      </c>
      <c r="AG19" s="441" t="str">
        <f>'Notes-SK Cover sheet'!AG19</f>
        <v/>
      </c>
      <c r="AH19" s="441" t="str">
        <f>'Notes-SK Cover sheet'!AH19</f>
        <v/>
      </c>
      <c r="AI19" s="441" t="str">
        <f>'Notes-SK Cover sheet'!AI19</f>
        <v/>
      </c>
      <c r="AJ19" s="441" t="str">
        <f>'Notes-SK Cover sheet'!AJ19</f>
        <v/>
      </c>
      <c r="AK19" s="448" t="str">
        <f>'Notes-SK Cover sheet'!AK19</f>
        <v/>
      </c>
    </row>
    <row r="20" spans="1:37" ht="19.5" customHeight="1">
      <c r="A20" s="449" t="str">
        <f>'Notes-SK Cover sheet'!A20</f>
        <v/>
      </c>
      <c r="B20" s="441" t="str">
        <f>'Notes-SK Cover sheet'!B20</f>
        <v/>
      </c>
      <c r="C20" s="441" t="str">
        <f>'Notes-SK Cover sheet'!C20</f>
        <v/>
      </c>
      <c r="D20" s="441" t="str">
        <f>'Notes-SK Cover sheet'!D20</f>
        <v/>
      </c>
      <c r="E20" s="441" t="str">
        <f>'Notes-SK Cover sheet'!E20</f>
        <v/>
      </c>
      <c r="F20" s="441" t="str">
        <f>'Notes-SK Cover sheet'!F20</f>
        <v/>
      </c>
      <c r="G20" s="441" t="str">
        <f>'Notes-SK Cover sheet'!G20</f>
        <v/>
      </c>
      <c r="H20" s="441" t="str">
        <f>'Notes-SK Cover sheet'!H20</f>
        <v/>
      </c>
      <c r="I20" s="441" t="str">
        <f>'Notes-SK Cover sheet'!I20</f>
        <v/>
      </c>
      <c r="J20" s="441" t="str">
        <f>'Notes-SK Cover sheet'!J20</f>
        <v/>
      </c>
      <c r="K20" s="441" t="str">
        <f>'Notes-SK Cover sheet'!K20</f>
        <v/>
      </c>
      <c r="L20" s="441" t="str">
        <f>'Notes-SK Cover sheet'!L20</f>
        <v/>
      </c>
      <c r="M20" s="441" t="str">
        <f>'Notes-SK Cover sheet'!M20</f>
        <v/>
      </c>
      <c r="N20" s="441" t="str">
        <f>'Notes-SK Cover sheet'!N20</f>
        <v/>
      </c>
      <c r="O20" s="441" t="str">
        <f>'Notes-SK Cover sheet'!O20</f>
        <v/>
      </c>
      <c r="P20" s="441" t="str">
        <f>'Notes-SK Cover sheet'!P20</f>
        <v/>
      </c>
      <c r="Q20" s="441" t="str">
        <f>'Notes-SK Cover sheet'!Q20</f>
        <v/>
      </c>
      <c r="R20" s="441" t="str">
        <f>'Notes-SK Cover sheet'!R20</f>
        <v/>
      </c>
      <c r="S20" s="441" t="str">
        <f>'Notes-SK Cover sheet'!S20</f>
        <v/>
      </c>
      <c r="T20" s="441" t="str">
        <f>'Notes-SK Cover sheet'!T20</f>
        <v/>
      </c>
      <c r="U20" s="441" t="str">
        <f>'Notes-SK Cover sheet'!U20</f>
        <v/>
      </c>
      <c r="V20" s="441" t="str">
        <f>'Notes-SK Cover sheet'!V20</f>
        <v/>
      </c>
      <c r="W20" s="441" t="str">
        <f>'Notes-SK Cover sheet'!W20</f>
        <v/>
      </c>
      <c r="X20" s="441" t="str">
        <f>'Notes-SK Cover sheet'!X20</f>
        <v/>
      </c>
      <c r="Y20" s="441" t="str">
        <f>'Notes-SK Cover sheet'!Y20</f>
        <v/>
      </c>
      <c r="Z20" s="441" t="str">
        <f>'Notes-SK Cover sheet'!Z20</f>
        <v/>
      </c>
      <c r="AA20" s="441" t="str">
        <f>'Notes-SK Cover sheet'!AA20</f>
        <v/>
      </c>
      <c r="AB20" s="441" t="str">
        <f>'Notes-SK Cover sheet'!AB20</f>
        <v/>
      </c>
      <c r="AC20" s="441" t="str">
        <f>'Notes-SK Cover sheet'!AC20</f>
        <v/>
      </c>
      <c r="AD20" s="441" t="str">
        <f>'Notes-SK Cover sheet'!AD20</f>
        <v/>
      </c>
      <c r="AE20" s="441" t="str">
        <f>'Notes-SK Cover sheet'!AE20</f>
        <v/>
      </c>
      <c r="AF20" s="441" t="str">
        <f>'Notes-SK Cover sheet'!AF20</f>
        <v/>
      </c>
      <c r="AG20" s="441" t="str">
        <f>'Notes-SK Cover sheet'!AG20</f>
        <v/>
      </c>
      <c r="AH20" s="441" t="str">
        <f>'Notes-SK Cover sheet'!AH20</f>
        <v/>
      </c>
      <c r="AI20" s="441" t="str">
        <f>'Notes-SK Cover sheet'!AI20</f>
        <v/>
      </c>
      <c r="AJ20" s="441" t="str">
        <f>'Notes-SK Cover sheet'!AJ20</f>
        <v/>
      </c>
      <c r="AK20" s="448" t="str">
        <f>'Notes-SK Cover sheet'!AK20</f>
        <v/>
      </c>
    </row>
    <row r="21" spans="1:37" ht="14.25" customHeight="1">
      <c r="A21" s="461"/>
      <c r="B21" s="460"/>
      <c r="C21" s="460"/>
      <c r="D21" s="460"/>
      <c r="E21" s="460"/>
      <c r="F21" s="460"/>
      <c r="G21" s="460"/>
      <c r="H21" s="460"/>
      <c r="I21" s="460"/>
      <c r="J21" s="460"/>
      <c r="K21" s="460"/>
      <c r="L21" s="460"/>
      <c r="M21" s="460"/>
      <c r="N21" s="460"/>
      <c r="O21" s="460"/>
      <c r="P21" s="460"/>
      <c r="Q21" s="460"/>
      <c r="R21" s="460"/>
      <c r="S21" s="460"/>
      <c r="T21" s="460"/>
      <c r="U21" s="460"/>
      <c r="V21" s="460"/>
      <c r="W21" s="459"/>
      <c r="X21" s="459"/>
      <c r="Y21" s="459"/>
      <c r="Z21" s="459"/>
      <c r="AA21" s="459"/>
      <c r="AB21" s="459"/>
      <c r="AC21" s="459"/>
      <c r="AD21" s="459"/>
      <c r="AE21" s="459"/>
      <c r="AF21" s="459"/>
      <c r="AG21" s="459"/>
      <c r="AH21" s="459"/>
      <c r="AI21" s="459"/>
      <c r="AJ21" s="459"/>
      <c r="AK21" s="458"/>
    </row>
    <row r="22" spans="1:37" hidden="1">
      <c r="A22" s="461"/>
      <c r="B22" s="460"/>
      <c r="C22" s="460"/>
      <c r="D22" s="460"/>
      <c r="E22" s="460"/>
      <c r="F22" s="460"/>
      <c r="G22" s="460"/>
      <c r="H22" s="460"/>
      <c r="I22" s="460"/>
      <c r="J22" s="460"/>
      <c r="K22" s="460"/>
      <c r="L22" s="460"/>
      <c r="M22" s="460"/>
      <c r="N22" s="460"/>
      <c r="O22" s="460"/>
      <c r="P22" s="460"/>
      <c r="Q22" s="460"/>
      <c r="R22" s="460"/>
      <c r="S22" s="460"/>
      <c r="T22" s="460"/>
      <c r="U22" s="460"/>
      <c r="V22" s="460"/>
      <c r="W22" s="459"/>
      <c r="X22" s="459"/>
      <c r="Y22" s="459"/>
      <c r="Z22" s="459"/>
      <c r="AA22" s="459"/>
      <c r="AB22" s="459"/>
      <c r="AC22" s="459"/>
      <c r="AD22" s="459"/>
      <c r="AE22" s="459"/>
      <c r="AF22" s="459"/>
      <c r="AG22" s="459"/>
      <c r="AH22" s="459"/>
      <c r="AI22" s="459"/>
      <c r="AJ22" s="459"/>
      <c r="AK22" s="458"/>
    </row>
    <row r="23" spans="1:37" s="450" customFormat="1" ht="12" customHeight="1">
      <c r="A23" s="454" t="s">
        <v>1431</v>
      </c>
      <c r="B23" s="453"/>
      <c r="C23" s="453"/>
      <c r="D23" s="453"/>
      <c r="E23" s="453"/>
      <c r="F23" s="453"/>
      <c r="G23" s="453"/>
      <c r="H23" s="453"/>
      <c r="I23" s="453"/>
      <c r="J23" s="453"/>
      <c r="K23" s="453"/>
      <c r="L23" s="453"/>
      <c r="M23" s="453"/>
      <c r="N23" s="453"/>
      <c r="O23" s="453"/>
      <c r="P23" s="453"/>
      <c r="Q23" s="453"/>
      <c r="R23" s="453"/>
      <c r="S23" s="453"/>
      <c r="T23" s="453"/>
      <c r="U23" s="453"/>
      <c r="V23" s="453"/>
      <c r="W23" s="452"/>
      <c r="X23" s="452"/>
      <c r="Y23" s="452"/>
      <c r="Z23" s="452"/>
      <c r="AA23" s="452"/>
      <c r="AB23" s="452"/>
      <c r="AC23" s="452"/>
      <c r="AD23" s="452"/>
      <c r="AE23" s="452"/>
      <c r="AF23" s="452"/>
      <c r="AG23" s="452"/>
      <c r="AH23" s="452"/>
      <c r="AI23" s="452"/>
      <c r="AJ23" s="452"/>
      <c r="AK23" s="451"/>
    </row>
    <row r="24" spans="1:37" ht="13" customHeight="1">
      <c r="A24" s="446" t="s">
        <v>1432</v>
      </c>
      <c r="B24" s="928"/>
      <c r="C24" s="928"/>
      <c r="D24" s="928"/>
      <c r="E24" s="928"/>
      <c r="F24" s="928"/>
      <c r="G24" s="928"/>
      <c r="H24" s="928"/>
      <c r="I24" s="928"/>
      <c r="J24" s="928"/>
      <c r="K24" s="928"/>
      <c r="L24" s="928"/>
      <c r="M24" s="928"/>
      <c r="N24" s="928"/>
      <c r="O24" s="928"/>
      <c r="P24" s="928"/>
      <c r="Q24" s="928"/>
      <c r="R24" s="928"/>
      <c r="S24" s="928"/>
      <c r="T24" s="928"/>
      <c r="U24" s="928"/>
      <c r="V24" s="928"/>
      <c r="W24" s="399"/>
      <c r="X24" s="399"/>
      <c r="Y24" s="399"/>
      <c r="Z24" s="399"/>
      <c r="AA24" s="399"/>
      <c r="AB24" s="928"/>
      <c r="AC24" s="399"/>
      <c r="AD24" s="402" t="s">
        <v>1433</v>
      </c>
      <c r="AE24" s="399"/>
      <c r="AF24" s="399"/>
      <c r="AG24" s="399"/>
      <c r="AH24" s="399"/>
      <c r="AI24" s="399"/>
      <c r="AJ24" s="399"/>
      <c r="AK24" s="398"/>
    </row>
    <row r="25" spans="1:37" ht="19.5" customHeight="1">
      <c r="A25" s="449" t="str">
        <f>'Notes-SK Cover sheet'!A25</f>
        <v>O</v>
      </c>
      <c r="B25" s="441" t="str">
        <f>'Notes-SK Cover sheet'!B25</f>
        <v>d</v>
      </c>
      <c r="C25" s="441" t="str">
        <f>'Notes-SK Cover sheet'!C25</f>
        <v>b</v>
      </c>
      <c r="D25" s="441" t="str">
        <f>'Notes-SK Cover sheet'!D25</f>
        <v>o</v>
      </c>
      <c r="E25" s="441" t="str">
        <f>'Notes-SK Cover sheet'!E25</f>
        <v>r</v>
      </c>
      <c r="F25" s="441" t="str">
        <f>'Notes-SK Cover sheet'!F25</f>
        <v>á</v>
      </c>
      <c r="G25" s="441" t="str">
        <f>'Notes-SK Cover sheet'!G25</f>
        <v>r</v>
      </c>
      <c r="H25" s="441" t="str">
        <f>'Notes-SK Cover sheet'!H25</f>
        <v>s</v>
      </c>
      <c r="I25" s="441" t="str">
        <f>'Notes-SK Cover sheet'!I25</f>
        <v>k</v>
      </c>
      <c r="J25" s="441" t="str">
        <f>'Notes-SK Cover sheet'!J25</f>
        <v>a</v>
      </c>
      <c r="K25" s="441" t="str">
        <f>'Notes-SK Cover sheet'!K25</f>
        <v/>
      </c>
      <c r="L25" s="441" t="str">
        <f>'Notes-SK Cover sheet'!L25</f>
        <v/>
      </c>
      <c r="M25" s="441" t="str">
        <f>'Notes-SK Cover sheet'!M25</f>
        <v/>
      </c>
      <c r="N25" s="441" t="str">
        <f>'Notes-SK Cover sheet'!N25</f>
        <v/>
      </c>
      <c r="O25" s="441" t="str">
        <f>'Notes-SK Cover sheet'!O25</f>
        <v/>
      </c>
      <c r="P25" s="441" t="str">
        <f>'Notes-SK Cover sheet'!P25</f>
        <v/>
      </c>
      <c r="Q25" s="441" t="str">
        <f>'Notes-SK Cover sheet'!Q25</f>
        <v/>
      </c>
      <c r="R25" s="441" t="str">
        <f>'Notes-SK Cover sheet'!R25</f>
        <v/>
      </c>
      <c r="S25" s="441" t="str">
        <f>'Notes-SK Cover sheet'!S25</f>
        <v/>
      </c>
      <c r="T25" s="441" t="str">
        <f>'Notes-SK Cover sheet'!T25</f>
        <v/>
      </c>
      <c r="U25" s="441" t="str">
        <f>'Notes-SK Cover sheet'!U25</f>
        <v/>
      </c>
      <c r="V25" s="441" t="str">
        <f>'Notes-SK Cover sheet'!V25</f>
        <v/>
      </c>
      <c r="W25" s="441" t="str">
        <f>'Notes-SK Cover sheet'!W25</f>
        <v/>
      </c>
      <c r="X25" s="441" t="str">
        <f>'Notes-SK Cover sheet'!X25</f>
        <v/>
      </c>
      <c r="Y25" s="441" t="str">
        <f>'Notes-SK Cover sheet'!Y25</f>
        <v/>
      </c>
      <c r="Z25" s="441" t="str">
        <f>'Notes-SK Cover sheet'!Z25</f>
        <v/>
      </c>
      <c r="AA25" s="441" t="str">
        <f>'Notes-SK Cover sheet'!AA25</f>
        <v/>
      </c>
      <c r="AB25" s="441" t="str">
        <f>'Notes-SK Cover sheet'!AB25</f>
        <v/>
      </c>
      <c r="AC25" s="443"/>
      <c r="AD25" s="441" t="str">
        <f>'Notes-SK Cover sheet'!AD25</f>
        <v>5</v>
      </c>
      <c r="AE25" s="441" t="str">
        <f>'Notes-SK Cover sheet'!AE25</f>
        <v>2</v>
      </c>
      <c r="AF25" s="441" t="str">
        <f>'Notes-SK Cover sheet'!AF25</f>
        <v/>
      </c>
      <c r="AG25" s="441" t="str">
        <f>'Notes-SK Cover sheet'!AG25</f>
        <v/>
      </c>
      <c r="AH25" s="441" t="str">
        <f>'Notes-SK Cover sheet'!AH25</f>
        <v/>
      </c>
      <c r="AI25" s="441" t="str">
        <f>'Notes-SK Cover sheet'!AI25</f>
        <v/>
      </c>
      <c r="AJ25" s="441" t="str">
        <f>'Notes-SK Cover sheet'!AJ25</f>
        <v/>
      </c>
      <c r="AK25" s="448" t="str">
        <f>'Notes-SK Cover sheet'!AK25</f>
        <v/>
      </c>
    </row>
    <row r="26" spans="1:37" ht="13" customHeight="1">
      <c r="A26" s="446" t="s">
        <v>2017</v>
      </c>
      <c r="B26" s="928"/>
      <c r="C26" s="928"/>
      <c r="D26" s="928"/>
      <c r="E26" s="928"/>
      <c r="F26" s="928"/>
      <c r="G26" s="445" t="s">
        <v>2009</v>
      </c>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37" s="447" customFormat="1" ht="19.5" customHeight="1">
      <c r="A27" s="449" t="str">
        <f>'Notes-SK Cover sheet'!A27</f>
        <v>8</v>
      </c>
      <c r="B27" s="441" t="str">
        <f>'Notes-SK Cover sheet'!B27</f>
        <v>3</v>
      </c>
      <c r="C27" s="441" t="str">
        <f>'Notes-SK Cover sheet'!C27</f>
        <v>1</v>
      </c>
      <c r="D27" s="441" t="str">
        <f>'Notes-SK Cover sheet'!D27</f>
        <v xml:space="preserve"> </v>
      </c>
      <c r="E27" s="441" t="str">
        <f>'Notes-SK Cover sheet'!E27</f>
        <v>0</v>
      </c>
      <c r="F27" s="441"/>
      <c r="G27" s="441" t="str">
        <f>'Notes-SK Cover sheet'!G27</f>
        <v>B</v>
      </c>
      <c r="H27" s="441" t="str">
        <f>'Notes-SK Cover sheet'!H27</f>
        <v>r</v>
      </c>
      <c r="I27" s="441" t="str">
        <f>'Notes-SK Cover sheet'!I27</f>
        <v>a</v>
      </c>
      <c r="J27" s="441" t="str">
        <f>'Notes-SK Cover sheet'!J27</f>
        <v>t</v>
      </c>
      <c r="K27" s="441" t="str">
        <f>'Notes-SK Cover sheet'!K27</f>
        <v>i</v>
      </c>
      <c r="L27" s="441" t="str">
        <f>'Notes-SK Cover sheet'!L27</f>
        <v>s</v>
      </c>
      <c r="M27" s="441" t="str">
        <f>'Notes-SK Cover sheet'!M27</f>
        <v>l</v>
      </c>
      <c r="N27" s="441" t="str">
        <f>'Notes-SK Cover sheet'!N27</f>
        <v>a</v>
      </c>
      <c r="O27" s="441" t="str">
        <f>'Notes-SK Cover sheet'!O27</f>
        <v>v</v>
      </c>
      <c r="P27" s="441" t="str">
        <f>'Notes-SK Cover sheet'!P27</f>
        <v>a</v>
      </c>
      <c r="Q27" s="441" t="str">
        <f>'Notes-SK Cover sheet'!Q27</f>
        <v xml:space="preserve"> </v>
      </c>
      <c r="R27" s="441" t="str">
        <f>'Notes-SK Cover sheet'!R27</f>
        <v/>
      </c>
      <c r="S27" s="441" t="str">
        <f>'Notes-SK Cover sheet'!S27</f>
        <v/>
      </c>
      <c r="T27" s="441" t="str">
        <f>'Notes-SK Cover sheet'!T27</f>
        <v/>
      </c>
      <c r="U27" s="441" t="str">
        <f>'Notes-SK Cover sheet'!U27</f>
        <v/>
      </c>
      <c r="V27" s="441" t="str">
        <f>'Notes-SK Cover sheet'!V27</f>
        <v/>
      </c>
      <c r="W27" s="441" t="str">
        <f>'Notes-SK Cover sheet'!W27</f>
        <v/>
      </c>
      <c r="X27" s="441" t="str">
        <f>'Notes-SK Cover sheet'!X27</f>
        <v/>
      </c>
      <c r="Y27" s="441" t="str">
        <f>'Notes-SK Cover sheet'!Y27</f>
        <v/>
      </c>
      <c r="Z27" s="441" t="str">
        <f>'Notes-SK Cover sheet'!Z27</f>
        <v/>
      </c>
      <c r="AA27" s="441" t="str">
        <f>'Notes-SK Cover sheet'!AA27</f>
        <v/>
      </c>
      <c r="AB27" s="441" t="str">
        <f>'Notes-SK Cover sheet'!AB27</f>
        <v/>
      </c>
      <c r="AC27" s="441" t="str">
        <f>'Notes-SK Cover sheet'!AC27</f>
        <v/>
      </c>
      <c r="AD27" s="441" t="str">
        <f>'Notes-SK Cover sheet'!AD27</f>
        <v/>
      </c>
      <c r="AE27" s="441" t="str">
        <f>'Notes-SK Cover sheet'!AE27</f>
        <v/>
      </c>
      <c r="AF27" s="441" t="str">
        <f>'Notes-SK Cover sheet'!AF27</f>
        <v/>
      </c>
      <c r="AG27" s="441" t="str">
        <f>'Notes-SK Cover sheet'!AG27</f>
        <v/>
      </c>
      <c r="AH27" s="441" t="str">
        <f>'Notes-SK Cover sheet'!AH27</f>
        <v/>
      </c>
      <c r="AI27" s="441" t="str">
        <f>'Notes-SK Cover sheet'!AI27</f>
        <v/>
      </c>
      <c r="AJ27" s="441" t="str">
        <f>'Notes-SK Cover sheet'!AJ27</f>
        <v/>
      </c>
      <c r="AK27" s="448" t="str">
        <f>'Notes-SK Cover sheet'!AK27</f>
        <v/>
      </c>
    </row>
    <row r="28" spans="1:37" ht="13" customHeight="1">
      <c r="A28" s="446" t="s">
        <v>1436</v>
      </c>
      <c r="B28" s="928"/>
      <c r="C28" s="928"/>
      <c r="D28" s="928"/>
      <c r="E28" s="928"/>
      <c r="F28" s="928"/>
      <c r="G28" s="445"/>
      <c r="H28" s="445"/>
      <c r="I28" s="445"/>
      <c r="J28" s="445"/>
      <c r="K28" s="445"/>
      <c r="L28" s="445"/>
      <c r="M28" s="445"/>
      <c r="N28" s="928"/>
      <c r="O28" s="445" t="s">
        <v>1437</v>
      </c>
      <c r="P28" s="445"/>
      <c r="Q28" s="445"/>
      <c r="R28" s="445"/>
      <c r="S28" s="445"/>
      <c r="T28" s="445"/>
      <c r="U28" s="445"/>
      <c r="V28" s="445"/>
      <c r="W28" s="445"/>
      <c r="X28" s="445"/>
      <c r="Y28" s="445"/>
      <c r="Z28" s="445"/>
      <c r="AA28" s="445"/>
      <c r="AB28" s="445"/>
      <c r="AC28" s="445"/>
      <c r="AD28" s="445"/>
      <c r="AE28" s="399"/>
      <c r="AF28" s="399"/>
      <c r="AG28" s="399"/>
      <c r="AH28" s="399"/>
      <c r="AI28" s="399"/>
      <c r="AJ28" s="399"/>
      <c r="AK28" s="398"/>
    </row>
    <row r="29" spans="1:37" ht="19.5" customHeight="1">
      <c r="A29" s="444">
        <f>'Notes-SK Cover sheet'!A29</f>
        <v>0</v>
      </c>
      <c r="B29" s="441" t="str">
        <f>'Notes-SK Cover sheet'!B29</f>
        <v>2</v>
      </c>
      <c r="C29" s="441" t="str">
        <f>'Notes-SK Cover sheet'!C29</f>
        <v/>
      </c>
      <c r="D29" s="441" t="str">
        <f>'Notes-SK Cover sheet'!D29</f>
        <v/>
      </c>
      <c r="E29" s="441" t="str">
        <f>'Notes-SK Cover sheet'!E29</f>
        <v>/</v>
      </c>
      <c r="F29" s="441" t="str">
        <f>'Notes-SK Cover sheet'!F29</f>
        <v>4</v>
      </c>
      <c r="G29" s="441" t="str">
        <f>'Notes-SK Cover sheet'!G29</f>
        <v>8</v>
      </c>
      <c r="H29" s="441" t="str">
        <f>'Notes-SK Cover sheet'!H29</f>
        <v>2</v>
      </c>
      <c r="I29" s="441" t="str">
        <f>'Notes-SK Cover sheet'!I29</f>
        <v>0</v>
      </c>
      <c r="J29" s="441" t="str">
        <f>'Notes-SK Cover sheet'!J29</f>
        <v>5</v>
      </c>
      <c r="K29" s="441" t="str">
        <f>'Notes-SK Cover sheet'!K29</f>
        <v>2</v>
      </c>
      <c r="L29" s="441" t="str">
        <f>'Notes-SK Cover sheet'!L29</f>
        <v>0</v>
      </c>
      <c r="M29" s="441" t="str">
        <f>'Notes-SK Cover sheet'!M29</f>
        <v>0</v>
      </c>
      <c r="N29" s="443"/>
      <c r="O29" s="442">
        <f>'Notes-SK Cover sheet'!O29</f>
        <v>0</v>
      </c>
      <c r="P29" s="441" t="str">
        <f>'Notes-SK Cover sheet'!P29</f>
        <v>2</v>
      </c>
      <c r="Q29" s="441" t="str">
        <f>'Notes-SK Cover sheet'!Q29</f>
        <v/>
      </c>
      <c r="R29" s="441" t="str">
        <f>'Notes-SK Cover sheet'!R29</f>
        <v/>
      </c>
      <c r="S29" s="441" t="str">
        <f>'Notes-SK Cover sheet'!S29</f>
        <v>/</v>
      </c>
      <c r="T29" s="441" t="str">
        <f>'Notes-SK Cover sheet'!T29</f>
        <v/>
      </c>
      <c r="U29" s="441" t="str">
        <f>'Notes-SK Cover sheet'!U29</f>
        <v/>
      </c>
      <c r="V29" s="441" t="str">
        <f>'Notes-SK Cover sheet'!V29</f>
        <v/>
      </c>
      <c r="W29" s="441" t="str">
        <f>'Notes-SK Cover sheet'!W29</f>
        <v/>
      </c>
      <c r="X29" s="441" t="str">
        <f>'Notes-SK Cover sheet'!X29</f>
        <v/>
      </c>
      <c r="Y29" s="441" t="str">
        <f>'Notes-SK Cover sheet'!Y29</f>
        <v/>
      </c>
      <c r="Z29" s="441" t="str">
        <f>IF('Notes-SK Cover sheet'!Z29="","",'Notes-SK Cover sheet'!Z29)</f>
        <v/>
      </c>
      <c r="AA29" s="441" t="str">
        <f>IF('Notes-SK Cover sheet'!AA29="","",'Notes-SK Cover sheet'!AA29)</f>
        <v/>
      </c>
      <c r="AB29" s="441" t="str">
        <f>IF('Notes-SK Cover sheet'!AB29="","",'Notes-SK Cover sheet'!AB29)</f>
        <v/>
      </c>
      <c r="AC29" s="441" t="str">
        <f>IF('Notes-SK Cover sheet'!AC29="","",'Notes-SK Cover sheet'!AC29)</f>
        <v/>
      </c>
      <c r="AD29" s="441" t="str">
        <f>IF('Notes-SK Cover sheet'!AD29="","",'Notes-SK Cover sheet'!AD29)</f>
        <v/>
      </c>
      <c r="AE29" s="399" t="str">
        <f>IF('Notes-SK Cover sheet'!AE29="","",'Notes-SK Cover sheet'!AE29)</f>
        <v/>
      </c>
      <c r="AF29" s="399" t="str">
        <f>IF('Notes-SK Cover sheet'!AF29="","",'Notes-SK Cover sheet'!AF29)</f>
        <v/>
      </c>
      <c r="AG29" s="399" t="str">
        <f>IF('Notes-SK Cover sheet'!AG29="","",'Notes-SK Cover sheet'!AG29)</f>
        <v xml:space="preserve"> </v>
      </c>
      <c r="AH29" s="399" t="str">
        <f>IF('Notes-SK Cover sheet'!AH29="","",'Notes-SK Cover sheet'!AH29)</f>
        <v/>
      </c>
      <c r="AI29" s="399" t="str">
        <f>IF('Notes-SK Cover sheet'!AI29="","",'Notes-SK Cover sheet'!AI29)</f>
        <v/>
      </c>
      <c r="AJ29" s="399" t="str">
        <f>IF('Notes-SK Cover sheet'!AJ29="","",'Notes-SK Cover sheet'!AJ29)</f>
        <v/>
      </c>
      <c r="AK29" s="398" t="str">
        <f>IF('Notes-SK Cover sheet'!AK29="","",'Notes-SK Cover sheet'!AK29)</f>
        <v/>
      </c>
    </row>
    <row r="30" spans="1:37" s="391" customFormat="1" ht="13" customHeight="1">
      <c r="A30" s="403" t="s">
        <v>1438</v>
      </c>
      <c r="B30" s="402"/>
      <c r="C30" s="402"/>
      <c r="D30" s="402"/>
      <c r="E30" s="402"/>
      <c r="F30" s="402"/>
      <c r="G30" s="402"/>
      <c r="H30" s="402"/>
      <c r="I30" s="402"/>
      <c r="J30" s="402"/>
      <c r="K30" s="402"/>
      <c r="L30" s="402"/>
      <c r="M30" s="402"/>
      <c r="N30" s="402"/>
      <c r="O30" s="402"/>
      <c r="P30" s="402"/>
      <c r="Q30" s="402"/>
      <c r="R30" s="402"/>
      <c r="S30" s="402"/>
      <c r="T30" s="402"/>
      <c r="U30" s="402"/>
      <c r="V30" s="402"/>
      <c r="W30" s="399"/>
      <c r="X30" s="399"/>
      <c r="Y30" s="399"/>
      <c r="Z30" s="399"/>
      <c r="AA30" s="399"/>
      <c r="AB30" s="399"/>
      <c r="AC30" s="399"/>
      <c r="AD30" s="399"/>
      <c r="AE30" s="399"/>
      <c r="AF30" s="399"/>
      <c r="AG30" s="399"/>
      <c r="AH30" s="399"/>
      <c r="AI30" s="399"/>
      <c r="AJ30" s="399"/>
      <c r="AK30" s="398"/>
    </row>
    <row r="31" spans="1:37" ht="19.5" customHeight="1" thickBot="1">
      <c r="A31" s="440" t="str">
        <f>'Notes-SK Cover sheet'!A31</f>
        <v>o</v>
      </c>
      <c r="B31" s="439" t="str">
        <f>'Notes-SK Cover sheet'!B31</f>
        <v>f</v>
      </c>
      <c r="C31" s="439" t="str">
        <f>'Notes-SK Cover sheet'!C31</f>
        <v>f</v>
      </c>
      <c r="D31" s="439" t="str">
        <f>'Notes-SK Cover sheet'!D31</f>
        <v>i</v>
      </c>
      <c r="E31" s="439" t="str">
        <f>'Notes-SK Cover sheet'!E31</f>
        <v>c</v>
      </c>
      <c r="F31" s="439" t="str">
        <f>'Notes-SK Cover sheet'!F31</f>
        <v>e</v>
      </c>
      <c r="G31" s="439" t="str">
        <f>'Notes-SK Cover sheet'!G31</f>
        <v>.</v>
      </c>
      <c r="H31" s="439" t="str">
        <f>'Notes-SK Cover sheet'!H31</f>
        <v>s</v>
      </c>
      <c r="I31" s="439" t="str">
        <f>'Notes-SK Cover sheet'!I31</f>
        <v>k</v>
      </c>
      <c r="J31" s="439" t="str">
        <f>'Notes-SK Cover sheet'!J31</f>
        <v>@</v>
      </c>
      <c r="K31" s="439" t="str">
        <f>'Notes-SK Cover sheet'!K31</f>
        <v>f</v>
      </c>
      <c r="L31" s="439" t="str">
        <f>'Notes-SK Cover sheet'!L31</f>
        <v>o</v>
      </c>
      <c r="M31" s="439" t="str">
        <f>'Notes-SK Cover sheet'!M31</f>
        <v>s</v>
      </c>
      <c r="N31" s="439" t="str">
        <f>'Notes-SK Cover sheet'!N31</f>
        <v>s</v>
      </c>
      <c r="O31" s="439" t="str">
        <f>'Notes-SK Cover sheet'!O31</f>
        <v>f</v>
      </c>
      <c r="P31" s="439" t="str">
        <f>'Notes-SK Cover sheet'!P31</f>
        <v>i</v>
      </c>
      <c r="Q31" s="439" t="str">
        <f>'Notes-SK Cover sheet'!Q31</f>
        <v>b</v>
      </c>
      <c r="R31" s="439" t="str">
        <f>'Notes-SK Cover sheet'!R31</f>
        <v>r</v>
      </c>
      <c r="S31" s="439" t="str">
        <f>'Notes-SK Cover sheet'!S31</f>
        <v>e</v>
      </c>
      <c r="T31" s="439" t="str">
        <f>'Notes-SK Cover sheet'!T31</f>
        <v>o</v>
      </c>
      <c r="U31" s="439" t="str">
        <f>'Notes-SK Cover sheet'!U31</f>
        <v>p</v>
      </c>
      <c r="V31" s="439" t="str">
        <f>'Notes-SK Cover sheet'!V31</f>
        <v>t</v>
      </c>
      <c r="W31" s="439" t="str">
        <f>'Notes-SK Cover sheet'!W31</f>
        <v>i</v>
      </c>
      <c r="X31" s="439" t="str">
        <f>'Notes-SK Cover sheet'!X31</f>
        <v>c</v>
      </c>
      <c r="Y31" s="439" t="str">
        <f>'Notes-SK Cover sheet'!Y31</f>
        <v>s</v>
      </c>
      <c r="Z31" s="439" t="str">
        <f>'Notes-SK Cover sheet'!Z31</f>
        <v>.</v>
      </c>
      <c r="AA31" s="439" t="str">
        <f>'Notes-SK Cover sheet'!AA31</f>
        <v>c</v>
      </c>
      <c r="AB31" s="439" t="str">
        <f>'Notes-SK Cover sheet'!AB31</f>
        <v>o</v>
      </c>
      <c r="AC31" s="439" t="str">
        <f>'Notes-SK Cover sheet'!AC31</f>
        <v>m</v>
      </c>
      <c r="AD31" s="439" t="str">
        <f>'Notes-SK Cover sheet'!AD31</f>
        <v/>
      </c>
      <c r="AE31" s="439" t="str">
        <f>'Notes-SK Cover sheet'!AE31</f>
        <v/>
      </c>
      <c r="AF31" s="439" t="str">
        <f>'Notes-SK Cover sheet'!AF31</f>
        <v/>
      </c>
      <c r="AG31" s="439" t="str">
        <f>'Notes-SK Cover sheet'!AG31</f>
        <v/>
      </c>
      <c r="AH31" s="439" t="str">
        <f>'Notes-SK Cover sheet'!AH31</f>
        <v/>
      </c>
      <c r="AI31" s="439" t="str">
        <f>'Notes-SK Cover sheet'!AI31</f>
        <v/>
      </c>
      <c r="AJ31" s="439" t="str">
        <f>'Notes-SK Cover sheet'!AJ31</f>
        <v/>
      </c>
      <c r="AK31" s="438" t="str">
        <f>'Notes-SK Cover sheet'!AK31</f>
        <v/>
      </c>
    </row>
    <row r="32" spans="1:37" s="391" customFormat="1" ht="4.5" customHeight="1" thickBot="1">
      <c r="W32" s="392"/>
      <c r="X32" s="392"/>
      <c r="Y32" s="392"/>
      <c r="Z32" s="392"/>
      <c r="AA32" s="392"/>
      <c r="AB32" s="392"/>
      <c r="AC32" s="392"/>
      <c r="AD32" s="392"/>
      <c r="AE32" s="392"/>
      <c r="AF32" s="392"/>
      <c r="AG32" s="392"/>
      <c r="AH32" s="392"/>
      <c r="AI32" s="392"/>
      <c r="AJ32" s="392"/>
      <c r="AK32" s="392"/>
    </row>
    <row r="33" spans="1:37" s="434" customFormat="1" ht="13" customHeight="1">
      <c r="A33" s="437" t="s">
        <v>2010</v>
      </c>
      <c r="B33" s="436"/>
      <c r="C33" s="436"/>
      <c r="D33" s="436"/>
      <c r="E33" s="436"/>
      <c r="F33" s="436"/>
      <c r="G33" s="436"/>
      <c r="H33" s="436"/>
      <c r="I33" s="436"/>
      <c r="J33" s="436"/>
      <c r="K33" s="435"/>
      <c r="L33" s="2344" t="s">
        <v>1439</v>
      </c>
      <c r="M33" s="1639"/>
      <c r="N33" s="1639"/>
      <c r="O33" s="1639"/>
      <c r="P33" s="1639"/>
      <c r="Q33" s="1639"/>
      <c r="R33" s="1639"/>
      <c r="S33" s="1639"/>
      <c r="T33" s="2345"/>
      <c r="U33" s="2344" t="s">
        <v>1440</v>
      </c>
      <c r="V33" s="1639"/>
      <c r="W33" s="1639"/>
      <c r="X33" s="1639"/>
      <c r="Y33" s="1639"/>
      <c r="Z33" s="1639"/>
      <c r="AA33" s="1639"/>
      <c r="AB33" s="2345"/>
      <c r="AC33" s="2344" t="s">
        <v>1441</v>
      </c>
      <c r="AD33" s="1639"/>
      <c r="AE33" s="1639"/>
      <c r="AF33" s="1639"/>
      <c r="AG33" s="1639"/>
      <c r="AH33" s="1639"/>
      <c r="AI33" s="1639"/>
      <c r="AJ33" s="1639"/>
      <c r="AK33" s="1640"/>
    </row>
    <row r="34" spans="1:37" s="391" customFormat="1" ht="19.5" customHeight="1">
      <c r="A34" s="420" t="str">
        <f>IF('Notes-SK Cover sheet'!A34="","",'Notes-SK Cover sheet'!A34)</f>
        <v>1</v>
      </c>
      <c r="B34" s="419" t="str">
        <f>IF('Notes-SK Cover sheet'!B34="","",'Notes-SK Cover sheet'!B34)</f>
        <v>5</v>
      </c>
      <c r="C34" s="418" t="str">
        <f>IF('Notes-SK Cover sheet'!C34="","",'Notes-SK Cover sheet'!C34)</f>
        <v>.</v>
      </c>
      <c r="D34" s="419" t="str">
        <f>IF('Notes-SK Cover sheet'!D34="","",'Notes-SK Cover sheet'!D34)</f>
        <v>0</v>
      </c>
      <c r="E34" s="419" t="str">
        <f>IF('Notes-SK Cover sheet'!E34="","",'Notes-SK Cover sheet'!E34)</f>
        <v>5</v>
      </c>
      <c r="F34" s="418" t="str">
        <f>IF('Notes-SK Cover sheet'!F34="","",'Notes-SK Cover sheet'!F34)</f>
        <v>.</v>
      </c>
      <c r="G34" s="417" t="str">
        <f>IF('Notes-SK Cover sheet'!G34="","",'Notes-SK Cover sheet'!G34)</f>
        <v>2</v>
      </c>
      <c r="H34" s="417" t="str">
        <f>IF('Notes-SK Cover sheet'!H34="","",'Notes-SK Cover sheet'!H34)</f>
        <v>0</v>
      </c>
      <c r="I34" s="417" t="str">
        <f>IF('Notes-SK Cover sheet'!I34="","",'Notes-SK Cover sheet'!I34)</f>
        <v>1</v>
      </c>
      <c r="J34" s="417" t="str">
        <f>IF('Notes-SK Cover sheet'!J34="","",'Notes-SK Cover sheet'!J34)</f>
        <v>9</v>
      </c>
      <c r="K34" s="433"/>
      <c r="L34" s="2346"/>
      <c r="M34" s="1641"/>
      <c r="N34" s="1641"/>
      <c r="O34" s="1641"/>
      <c r="P34" s="1641"/>
      <c r="Q34" s="1641"/>
      <c r="R34" s="1641"/>
      <c r="S34" s="1641"/>
      <c r="T34" s="2347"/>
      <c r="U34" s="2346"/>
      <c r="V34" s="1641"/>
      <c r="W34" s="1641"/>
      <c r="X34" s="1641"/>
      <c r="Y34" s="1641"/>
      <c r="Z34" s="1641"/>
      <c r="AA34" s="1641"/>
      <c r="AB34" s="2347"/>
      <c r="AC34" s="2346"/>
      <c r="AD34" s="1641"/>
      <c r="AE34" s="1641"/>
      <c r="AF34" s="1641"/>
      <c r="AG34" s="1641"/>
      <c r="AH34" s="1641"/>
      <c r="AI34" s="1641"/>
      <c r="AJ34" s="1641"/>
      <c r="AK34" s="1642"/>
    </row>
    <row r="35" spans="1:37" s="391" customFormat="1" ht="13" customHeight="1">
      <c r="A35" s="432"/>
      <c r="B35" s="431"/>
      <c r="C35" s="431"/>
      <c r="D35" s="431"/>
      <c r="E35" s="431"/>
      <c r="F35" s="431"/>
      <c r="G35" s="430"/>
      <c r="H35" s="430"/>
      <c r="I35" s="430"/>
      <c r="J35" s="430"/>
      <c r="K35" s="429"/>
      <c r="L35" s="2346"/>
      <c r="M35" s="1641"/>
      <c r="N35" s="1641"/>
      <c r="O35" s="1641"/>
      <c r="P35" s="1641"/>
      <c r="Q35" s="1641"/>
      <c r="R35" s="1641"/>
      <c r="S35" s="1641"/>
      <c r="T35" s="2347"/>
      <c r="U35" s="2346"/>
      <c r="V35" s="1641"/>
      <c r="W35" s="1641"/>
      <c r="X35" s="1641"/>
      <c r="Y35" s="1641"/>
      <c r="Z35" s="1641"/>
      <c r="AA35" s="1641"/>
      <c r="AB35" s="2347"/>
      <c r="AC35" s="2346"/>
      <c r="AD35" s="1641"/>
      <c r="AE35" s="1641"/>
      <c r="AF35" s="1641"/>
      <c r="AG35" s="1641"/>
      <c r="AH35" s="1641"/>
      <c r="AI35" s="1641"/>
      <c r="AJ35" s="1641"/>
      <c r="AK35" s="1642"/>
    </row>
    <row r="36" spans="1:37" s="391" customFormat="1" ht="13" customHeight="1">
      <c r="A36" s="403" t="s">
        <v>2011</v>
      </c>
      <c r="B36" s="402"/>
      <c r="C36" s="402"/>
      <c r="D36" s="402"/>
      <c r="E36" s="402"/>
      <c r="F36" s="402"/>
      <c r="G36" s="428"/>
      <c r="H36" s="428"/>
      <c r="I36" s="428"/>
      <c r="J36" s="428"/>
      <c r="K36" s="427"/>
      <c r="L36" s="426"/>
      <c r="M36" s="426"/>
      <c r="N36" s="426"/>
      <c r="O36" s="426"/>
      <c r="P36" s="426"/>
      <c r="Q36" s="426"/>
      <c r="R36" s="426"/>
      <c r="S36" s="402"/>
      <c r="T36" s="424"/>
      <c r="U36" s="425"/>
      <c r="V36" s="425"/>
      <c r="W36" s="425"/>
      <c r="X36" s="425"/>
      <c r="Y36" s="425"/>
      <c r="Z36" s="399"/>
      <c r="AA36" s="425"/>
      <c r="AB36" s="424"/>
      <c r="AC36" s="423"/>
      <c r="AD36" s="425"/>
      <c r="AE36" s="425"/>
      <c r="AF36" s="425"/>
      <c r="AG36" s="425"/>
      <c r="AH36" s="425"/>
      <c r="AI36" s="425"/>
      <c r="AJ36" s="425"/>
      <c r="AK36" s="931"/>
    </row>
    <row r="37" spans="1:37" s="391" customFormat="1" ht="19.5" customHeight="1">
      <c r="A37" s="420" t="str">
        <f>IF('Notes-SK Cover sheet'!A37="","",'Notes-SK Cover sheet'!A37)</f>
        <v/>
      </c>
      <c r="B37" s="419" t="str">
        <f>IF('Notes-SK Cover sheet'!B37="","",'Notes-SK Cover sheet'!B37)</f>
        <v/>
      </c>
      <c r="C37" s="418" t="str">
        <f>IF('Notes-SK Cover sheet'!C37="","",'Notes-SK Cover sheet'!C37)</f>
        <v>.</v>
      </c>
      <c r="D37" s="419" t="str">
        <f>IF('Notes-SK Cover sheet'!D37="","",'Notes-SK Cover sheet'!D37)</f>
        <v/>
      </c>
      <c r="E37" s="419" t="str">
        <f>IF('Notes-SK Cover sheet'!E37="","",'Notes-SK Cover sheet'!E37)</f>
        <v/>
      </c>
      <c r="F37" s="418" t="str">
        <f>IF('Notes-SK Cover sheet'!F37="","",'Notes-SK Cover sheet'!F37)</f>
        <v>.</v>
      </c>
      <c r="G37" s="417" t="str">
        <f>IF('Notes-SK Cover sheet'!G37="","",'Notes-SK Cover sheet'!G37)</f>
        <v/>
      </c>
      <c r="H37" s="417" t="str">
        <f>IF('Notes-SK Cover sheet'!H37="","",'Notes-SK Cover sheet'!H37)</f>
        <v/>
      </c>
      <c r="I37" s="417" t="str">
        <f>IF('Notes-SK Cover sheet'!I37="","",'Notes-SK Cover sheet'!I37)</f>
        <v/>
      </c>
      <c r="J37" s="417" t="str">
        <f>IF('Notes-SK Cover sheet'!J37="","",'Notes-SK Cover sheet'!J37)</f>
        <v/>
      </c>
      <c r="K37" s="416"/>
      <c r="L37" s="415"/>
      <c r="M37" s="414"/>
      <c r="N37" s="414"/>
      <c r="O37" s="414"/>
      <c r="P37" s="414"/>
      <c r="Q37" s="414"/>
      <c r="R37" s="414"/>
      <c r="S37" s="414"/>
      <c r="T37" s="413"/>
      <c r="U37" s="415"/>
      <c r="V37" s="414"/>
      <c r="W37" s="414"/>
      <c r="X37" s="414"/>
      <c r="Y37" s="414"/>
      <c r="Z37" s="414"/>
      <c r="AA37" s="414"/>
      <c r="AB37" s="413"/>
      <c r="AC37" s="399"/>
      <c r="AD37" s="399"/>
      <c r="AE37" s="399"/>
      <c r="AF37" s="399"/>
      <c r="AG37" s="399"/>
      <c r="AH37" s="399"/>
      <c r="AI37" s="399"/>
      <c r="AJ37" s="399"/>
      <c r="AK37" s="398"/>
    </row>
    <row r="38" spans="1:37" s="397" customFormat="1" ht="13" customHeight="1" thickBot="1">
      <c r="A38" s="412"/>
      <c r="B38" s="411"/>
      <c r="C38" s="411"/>
      <c r="D38" s="411"/>
      <c r="E38" s="411"/>
      <c r="F38" s="411"/>
      <c r="G38" s="411"/>
      <c r="H38" s="411"/>
      <c r="I38" s="411"/>
      <c r="J38" s="411"/>
      <c r="K38" s="410"/>
      <c r="L38" s="2348">
        <f>IF('Notes-SK Cover sheet'!L38="","",'Notes-SK Cover sheet'!L38)</f>
        <v>0</v>
      </c>
      <c r="M38" s="2349" t="str">
        <f>IF('Notes-SK Cover sheet'!M38="","",'Notes-SK Cover sheet'!M38)</f>
        <v/>
      </c>
      <c r="N38" s="2349" t="str">
        <f>IF('Notes-SK Cover sheet'!N38="","",'Notes-SK Cover sheet'!N38)</f>
        <v/>
      </c>
      <c r="O38" s="2349" t="str">
        <f>IF('Notes-SK Cover sheet'!O38="","",'Notes-SK Cover sheet'!O38)</f>
        <v/>
      </c>
      <c r="P38" s="2349" t="str">
        <f>IF('Notes-SK Cover sheet'!P38="","",'Notes-SK Cover sheet'!P38)</f>
        <v/>
      </c>
      <c r="Q38" s="2349" t="str">
        <f>IF('Notes-SK Cover sheet'!Q38="","",'Notes-SK Cover sheet'!Q38)</f>
        <v/>
      </c>
      <c r="R38" s="2349" t="str">
        <f>IF('Notes-SK Cover sheet'!R38="","",'Notes-SK Cover sheet'!R38)</f>
        <v/>
      </c>
      <c r="S38" s="2349" t="str">
        <f>IF('Notes-SK Cover sheet'!S38="","",'Notes-SK Cover sheet'!S38)</f>
        <v/>
      </c>
      <c r="T38" s="2350" t="str">
        <f>IF('Notes-SK Cover sheet'!T38="","",'Notes-SK Cover sheet'!T38)</f>
        <v/>
      </c>
      <c r="U38" s="2348" t="e">
        <f>IF('Notes-SK Cover sheet'!U38="","",'Notes-SK Cover sheet'!U38)</f>
        <v>#REF!</v>
      </c>
      <c r="V38" s="2349" t="str">
        <f>IF('Notes-SK Cover sheet'!V38="","",'Notes-SK Cover sheet'!V38)</f>
        <v/>
      </c>
      <c r="W38" s="2349" t="str">
        <f>IF('Notes-SK Cover sheet'!W38="","",'Notes-SK Cover sheet'!W38)</f>
        <v/>
      </c>
      <c r="X38" s="2349" t="str">
        <f>IF('Notes-SK Cover sheet'!X38="","",'Notes-SK Cover sheet'!X38)</f>
        <v/>
      </c>
      <c r="Y38" s="2349" t="str">
        <f>IF('Notes-SK Cover sheet'!Y38="","",'Notes-SK Cover sheet'!Y38)</f>
        <v/>
      </c>
      <c r="Z38" s="2349" t="str">
        <f>IF('Notes-SK Cover sheet'!Z38="","",'Notes-SK Cover sheet'!Z38)</f>
        <v/>
      </c>
      <c r="AA38" s="2349" t="str">
        <f>IF('Notes-SK Cover sheet'!AA38="","",'Notes-SK Cover sheet'!AA38)</f>
        <v/>
      </c>
      <c r="AB38" s="2350" t="str">
        <f>IF('Notes-SK Cover sheet'!AB38="","",'Notes-SK Cover sheet'!AB38)</f>
        <v/>
      </c>
      <c r="AC38" s="2351" t="e">
        <f>IF('Notes-SK Cover sheet'!AC38="","",'Notes-SK Cover sheet'!AC38)</f>
        <v>#REF!</v>
      </c>
      <c r="AD38" s="2349" t="str">
        <f>IF('Notes-SK Cover sheet'!AD38="","",'Notes-SK Cover sheet'!AD38)</f>
        <v/>
      </c>
      <c r="AE38" s="2349" t="str">
        <f>IF('Notes-SK Cover sheet'!AE38="","",'Notes-SK Cover sheet'!AE38)</f>
        <v/>
      </c>
      <c r="AF38" s="2349" t="str">
        <f>IF('Notes-SK Cover sheet'!AF38="","",'Notes-SK Cover sheet'!AF38)</f>
        <v/>
      </c>
      <c r="AG38" s="2349" t="str">
        <f>IF('Notes-SK Cover sheet'!AG38="","",'Notes-SK Cover sheet'!AG38)</f>
        <v/>
      </c>
      <c r="AH38" s="2349" t="str">
        <f>IF('Notes-SK Cover sheet'!AH38="","",'Notes-SK Cover sheet'!AH38)</f>
        <v/>
      </c>
      <c r="AI38" s="2349" t="str">
        <f>IF('Notes-SK Cover sheet'!AI38="","",'Notes-SK Cover sheet'!AI38)</f>
        <v/>
      </c>
      <c r="AJ38" s="2349" t="str">
        <f>IF('Notes-SK Cover sheet'!AJ38="","",'Notes-SK Cover sheet'!AJ38)</f>
        <v/>
      </c>
      <c r="AK38" s="2352" t="str">
        <f>IF('Notes-SK Cover sheet'!AK38="","",'Notes-SK Cover sheet'!AK38)</f>
        <v/>
      </c>
    </row>
    <row r="39" spans="1:37" s="397" customFormat="1" ht="13">
      <c r="W39" s="392"/>
      <c r="X39" s="392"/>
      <c r="Y39" s="392"/>
      <c r="Z39" s="392"/>
      <c r="AA39" s="392"/>
      <c r="AB39" s="392"/>
      <c r="AC39" s="392"/>
      <c r="AD39" s="392"/>
      <c r="AE39" s="392"/>
      <c r="AF39" s="392"/>
      <c r="AG39" s="392"/>
      <c r="AH39" s="392"/>
      <c r="AI39" s="392"/>
      <c r="AJ39" s="392"/>
      <c r="AK39" s="392"/>
    </row>
    <row r="40" spans="1:37" s="397" customFormat="1" ht="13">
      <c r="W40" s="392"/>
      <c r="X40" s="392"/>
      <c r="Y40" s="392"/>
      <c r="Z40" s="392"/>
      <c r="AA40" s="392"/>
      <c r="AB40" s="392"/>
      <c r="AC40" s="392"/>
      <c r="AD40" s="392"/>
      <c r="AE40" s="392"/>
      <c r="AF40" s="392"/>
      <c r="AG40" s="392"/>
      <c r="AH40" s="392"/>
      <c r="AI40" s="392"/>
      <c r="AJ40" s="392"/>
      <c r="AK40" s="392"/>
    </row>
    <row r="41" spans="1:37" s="397" customFormat="1" ht="13">
      <c r="W41" s="392"/>
      <c r="X41" s="392"/>
      <c r="Y41" s="392"/>
      <c r="Z41" s="392"/>
      <c r="AA41" s="392"/>
      <c r="AB41" s="392"/>
      <c r="AC41" s="392"/>
      <c r="AD41" s="392"/>
      <c r="AE41" s="392"/>
      <c r="AF41" s="392"/>
      <c r="AG41" s="392"/>
      <c r="AH41" s="392"/>
      <c r="AI41" s="392"/>
      <c r="AJ41" s="392"/>
      <c r="AK41" s="392"/>
    </row>
    <row r="42" spans="1:37" ht="13.5" thickBot="1">
      <c r="W42" s="392"/>
      <c r="X42" s="392"/>
      <c r="Y42" s="392"/>
      <c r="Z42" s="392"/>
      <c r="AA42" s="392"/>
      <c r="AB42" s="392"/>
      <c r="AC42" s="392"/>
      <c r="AD42" s="392"/>
      <c r="AE42" s="392"/>
      <c r="AF42" s="392"/>
      <c r="AG42" s="392"/>
      <c r="AH42" s="392"/>
      <c r="AI42" s="392"/>
      <c r="AJ42" s="392"/>
      <c r="AK42" s="392"/>
    </row>
    <row r="43" spans="1:37" s="397" customFormat="1" ht="13">
      <c r="B43" s="409" t="s">
        <v>1442</v>
      </c>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392"/>
    </row>
    <row r="44" spans="1:37" s="397" customFormat="1" ht="13">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7" ht="13">
      <c r="B45" s="405"/>
      <c r="C45" s="928"/>
      <c r="D45" s="928"/>
      <c r="E45" s="928"/>
      <c r="F45" s="928"/>
      <c r="G45" s="928"/>
      <c r="H45" s="928"/>
      <c r="I45" s="928"/>
      <c r="J45" s="928"/>
      <c r="K45" s="928"/>
      <c r="L45" s="928"/>
      <c r="M45" s="928"/>
      <c r="N45" s="928"/>
      <c r="O45" s="928"/>
      <c r="P45" s="928"/>
      <c r="Q45" s="928"/>
      <c r="R45" s="928"/>
      <c r="S45" s="928"/>
      <c r="T45" s="928"/>
      <c r="U45" s="928"/>
      <c r="V45" s="928"/>
      <c r="W45" s="399"/>
      <c r="X45" s="399"/>
      <c r="Y45" s="399"/>
      <c r="Z45" s="399"/>
      <c r="AA45" s="399"/>
      <c r="AB45" s="399"/>
      <c r="AC45" s="399"/>
      <c r="AD45" s="399"/>
      <c r="AE45" s="399"/>
      <c r="AF45" s="399"/>
      <c r="AG45" s="399"/>
      <c r="AH45" s="399"/>
      <c r="AI45" s="399"/>
      <c r="AJ45" s="398"/>
      <c r="AK45" s="392"/>
    </row>
    <row r="46" spans="1:37" s="397" customFormat="1" ht="13">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37" s="391" customFormat="1" ht="13">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7" s="391" customFormat="1" ht="13">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ht="13">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ht="13">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1" customFormat="1" ht="13.5" thickBot="1">
      <c r="B53" s="396"/>
      <c r="C53" s="395"/>
      <c r="D53" s="395"/>
      <c r="E53" s="395"/>
      <c r="F53" s="395"/>
      <c r="G53" s="395" t="s">
        <v>1443</v>
      </c>
      <c r="H53" s="395"/>
      <c r="I53" s="395"/>
      <c r="J53" s="395"/>
      <c r="K53" s="395"/>
      <c r="L53" s="395"/>
      <c r="M53" s="395"/>
      <c r="N53" s="395"/>
      <c r="O53" s="395"/>
      <c r="P53" s="395"/>
      <c r="Q53" s="395"/>
      <c r="R53" s="395"/>
      <c r="S53" s="395"/>
      <c r="T53" s="395"/>
      <c r="U53" s="395" t="s">
        <v>1444</v>
      </c>
      <c r="V53" s="395"/>
      <c r="W53" s="394"/>
      <c r="X53" s="394"/>
      <c r="Y53" s="394"/>
      <c r="Z53" s="394"/>
      <c r="AA53" s="394"/>
      <c r="AB53" s="394"/>
      <c r="AC53" s="394"/>
      <c r="AD53" s="394"/>
      <c r="AE53" s="394"/>
      <c r="AF53" s="394"/>
      <c r="AG53" s="394"/>
      <c r="AH53" s="394"/>
      <c r="AI53" s="394"/>
      <c r="AJ53" s="393"/>
      <c r="AK53" s="392"/>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H97"/>
  <sheetViews>
    <sheetView showGridLines="0" topLeftCell="A49" zoomScale="50" zoomScaleNormal="50" workbookViewId="0">
      <selection activeCell="D22" sqref="D22"/>
    </sheetView>
  </sheetViews>
  <sheetFormatPr defaultColWidth="9.1796875" defaultRowHeight="17.5"/>
  <cols>
    <col min="1" max="1" width="5.1796875" style="983" customWidth="1"/>
    <col min="2" max="2" width="10.453125" style="983" customWidth="1"/>
    <col min="3" max="3" width="115" style="981" customWidth="1"/>
    <col min="4" max="4" width="20.54296875" style="982" bestFit="1" customWidth="1"/>
    <col min="5" max="5" width="22.26953125" style="982" bestFit="1" customWidth="1"/>
    <col min="6" max="6" width="5.1796875" style="983" customWidth="1"/>
    <col min="7" max="16384" width="9.1796875" style="983"/>
  </cols>
  <sheetData>
    <row r="1" spans="2:8" ht="18">
      <c r="B1" s="980" t="s">
        <v>3027</v>
      </c>
    </row>
    <row r="2" spans="2:8" ht="18">
      <c r="B2" s="980"/>
    </row>
    <row r="3" spans="2:8" s="980" customFormat="1" ht="18">
      <c r="B3" s="2714" t="s">
        <v>2112</v>
      </c>
      <c r="C3" s="2714" t="s">
        <v>1739</v>
      </c>
      <c r="D3" s="2717" t="s">
        <v>2113</v>
      </c>
      <c r="E3" s="2718"/>
    </row>
    <row r="4" spans="2:8" s="980" customFormat="1" ht="18">
      <c r="B4" s="2715"/>
      <c r="C4" s="2715"/>
      <c r="D4" s="984" t="s">
        <v>2114</v>
      </c>
      <c r="E4" s="984" t="s">
        <v>2115</v>
      </c>
    </row>
    <row r="5" spans="2:8" s="980" customFormat="1" ht="18">
      <c r="B5" s="2716"/>
      <c r="C5" s="2716"/>
      <c r="D5" s="985" t="s">
        <v>679</v>
      </c>
      <c r="E5" s="985" t="s">
        <v>679</v>
      </c>
      <c r="H5" s="986"/>
    </row>
    <row r="6" spans="2:8" s="991" customFormat="1" ht="18">
      <c r="B6" s="987" t="s">
        <v>2116</v>
      </c>
      <c r="C6" s="988"/>
      <c r="D6" s="989"/>
      <c r="E6" s="990"/>
      <c r="H6" s="986"/>
    </row>
    <row r="7" spans="2:8" s="980" customFormat="1" ht="18">
      <c r="B7" s="992" t="s">
        <v>984</v>
      </c>
      <c r="C7" s="993" t="s">
        <v>2117</v>
      </c>
      <c r="D7" s="994">
        <f>'Cash Flow SK'!D11</f>
        <v>497111</v>
      </c>
      <c r="E7" s="994">
        <f>'Cash Flow SK'!E11</f>
        <v>212837</v>
      </c>
      <c r="H7" s="986"/>
    </row>
    <row r="8" spans="2:8" s="991" customFormat="1" ht="18">
      <c r="B8" s="995"/>
      <c r="C8" s="996"/>
      <c r="D8" s="997">
        <f>'Cash Flow SK'!D12</f>
        <v>0</v>
      </c>
      <c r="E8" s="997">
        <f>'Cash Flow SK'!E12</f>
        <v>0</v>
      </c>
      <c r="H8" s="986"/>
    </row>
    <row r="9" spans="2:8" ht="35">
      <c r="B9" s="963" t="s">
        <v>985</v>
      </c>
      <c r="C9" s="961" t="s">
        <v>2713</v>
      </c>
      <c r="D9" s="997">
        <f>'Cash Flow SK'!D13</f>
        <v>355930</v>
      </c>
      <c r="E9" s="997">
        <f>'Cash Flow SK'!E13</f>
        <v>471804</v>
      </c>
      <c r="H9" s="998"/>
    </row>
    <row r="10" spans="2:8">
      <c r="B10" s="963" t="s">
        <v>986</v>
      </c>
      <c r="C10" s="961" t="s">
        <v>2118</v>
      </c>
      <c r="D10" s="997">
        <f>'Cash Flow SK'!D14</f>
        <v>429679</v>
      </c>
      <c r="E10" s="997">
        <f>'Cash Flow SK'!E14</f>
        <v>406478</v>
      </c>
      <c r="H10" s="998"/>
    </row>
    <row r="11" spans="2:8" ht="35">
      <c r="B11" s="963" t="s">
        <v>987</v>
      </c>
      <c r="C11" s="961" t="s">
        <v>2119</v>
      </c>
      <c r="D11" s="997">
        <f>'Cash Flow SK'!D15</f>
        <v>0</v>
      </c>
      <c r="E11" s="997">
        <f>'Cash Flow SK'!E15</f>
        <v>0</v>
      </c>
      <c r="H11" s="998"/>
    </row>
    <row r="12" spans="2:8" ht="20.5">
      <c r="B12" s="963" t="s">
        <v>988</v>
      </c>
      <c r="C12" s="961" t="s">
        <v>2120</v>
      </c>
      <c r="D12" s="997">
        <f>'Cash Flow SK'!D16</f>
        <v>0</v>
      </c>
      <c r="E12" s="997">
        <f>'Cash Flow SK'!E16</f>
        <v>0</v>
      </c>
      <c r="H12" s="998"/>
    </row>
    <row r="13" spans="2:8">
      <c r="B13" s="963" t="s">
        <v>989</v>
      </c>
      <c r="C13" s="961" t="s">
        <v>2121</v>
      </c>
      <c r="D13" s="997">
        <f>'Cash Flow SK'!D17</f>
        <v>0</v>
      </c>
      <c r="E13" s="997">
        <f>'Cash Flow SK'!E17</f>
        <v>0</v>
      </c>
      <c r="H13" s="998"/>
    </row>
    <row r="14" spans="2:8">
      <c r="B14" s="963" t="s">
        <v>990</v>
      </c>
      <c r="C14" s="961" t="s">
        <v>2122</v>
      </c>
      <c r="D14" s="997">
        <f>'Cash Flow SK'!D18</f>
        <v>16027</v>
      </c>
      <c r="E14" s="997">
        <f>'Cash Flow SK'!E18</f>
        <v>11121</v>
      </c>
      <c r="H14" s="998"/>
    </row>
    <row r="15" spans="2:8">
      <c r="B15" s="963" t="s">
        <v>991</v>
      </c>
      <c r="C15" s="961" t="s">
        <v>2123</v>
      </c>
      <c r="D15" s="997">
        <f>'Cash Flow SK'!D19</f>
        <v>-2120</v>
      </c>
      <c r="E15" s="997">
        <f>'Cash Flow SK'!E19</f>
        <v>-1421</v>
      </c>
      <c r="H15" s="998"/>
    </row>
    <row r="16" spans="2:8">
      <c r="B16" s="963" t="s">
        <v>992</v>
      </c>
      <c r="C16" s="961" t="s">
        <v>2124</v>
      </c>
      <c r="D16" s="997">
        <f>'Cash Flow SK'!D20</f>
        <v>0</v>
      </c>
      <c r="E16" s="997">
        <f>'Cash Flow SK'!E20</f>
        <v>0</v>
      </c>
      <c r="H16" s="998"/>
    </row>
    <row r="17" spans="2:8">
      <c r="B17" s="963" t="s">
        <v>993</v>
      </c>
      <c r="C17" s="961" t="s">
        <v>2125</v>
      </c>
      <c r="D17" s="997">
        <f>'Cash Flow SK'!D21</f>
        <v>0</v>
      </c>
      <c r="E17" s="997">
        <f>'Cash Flow SK'!E21</f>
        <v>0</v>
      </c>
      <c r="H17" s="998"/>
    </row>
    <row r="18" spans="2:8">
      <c r="B18" s="963" t="s">
        <v>994</v>
      </c>
      <c r="C18" s="961" t="s">
        <v>2126</v>
      </c>
      <c r="D18" s="997">
        <f>'Cash Flow SK'!D22</f>
        <v>0</v>
      </c>
      <c r="E18" s="997">
        <f>'Cash Flow SK'!E22</f>
        <v>0</v>
      </c>
      <c r="H18" s="998"/>
    </row>
    <row r="19" spans="2:8">
      <c r="B19" s="963" t="s">
        <v>995</v>
      </c>
      <c r="C19" s="961" t="s">
        <v>2127</v>
      </c>
      <c r="D19" s="997">
        <f>'Cash Flow SK'!D23</f>
        <v>0</v>
      </c>
      <c r="E19" s="997">
        <f>'Cash Flow SK'!E23</f>
        <v>0</v>
      </c>
      <c r="H19" s="998"/>
    </row>
    <row r="20" spans="2:8">
      <c r="B20" s="963" t="s">
        <v>996</v>
      </c>
      <c r="C20" s="961" t="s">
        <v>2128</v>
      </c>
      <c r="D20" s="997">
        <f>'Cash Flow SK'!D24</f>
        <v>0</v>
      </c>
      <c r="E20" s="997">
        <f>'Cash Flow SK'!E24</f>
        <v>0</v>
      </c>
      <c r="H20" s="998"/>
    </row>
    <row r="21" spans="2:8" ht="20.5">
      <c r="B21" s="963" t="s">
        <v>2129</v>
      </c>
      <c r="C21" s="961" t="s">
        <v>2130</v>
      </c>
      <c r="D21" s="997">
        <f>'Cash Flow SK'!D25</f>
        <v>0</v>
      </c>
      <c r="E21" s="997">
        <f>'Cash Flow SK'!E25</f>
        <v>-9584</v>
      </c>
      <c r="H21" s="998"/>
    </row>
    <row r="22" spans="2:8" ht="35">
      <c r="B22" s="963" t="s">
        <v>2131</v>
      </c>
      <c r="C22" s="961" t="s">
        <v>2132</v>
      </c>
      <c r="D22" s="997">
        <f>'Cash Flow SK'!D26</f>
        <v>-87656</v>
      </c>
      <c r="E22" s="997">
        <f>'Cash Flow SK'!E26</f>
        <v>65210</v>
      </c>
      <c r="H22" s="998"/>
    </row>
    <row r="23" spans="2:8" ht="52.5">
      <c r="B23" s="963" t="s">
        <v>999</v>
      </c>
      <c r="C23" s="961" t="s">
        <v>2133</v>
      </c>
      <c r="D23" s="997">
        <f>'Cash Flow SK'!D27</f>
        <v>515046</v>
      </c>
      <c r="E23" s="997">
        <f>'Cash Flow SK'!E27</f>
        <v>-356274</v>
      </c>
      <c r="H23" s="998"/>
    </row>
    <row r="24" spans="2:8">
      <c r="B24" s="963" t="s">
        <v>1000</v>
      </c>
      <c r="C24" s="961" t="s">
        <v>2134</v>
      </c>
      <c r="D24" s="997">
        <f>'Cash Flow SK'!D28</f>
        <v>805704</v>
      </c>
      <c r="E24" s="997">
        <f>'Cash Flow SK'!E28</f>
        <v>-419578</v>
      </c>
      <c r="H24" s="998"/>
    </row>
    <row r="25" spans="2:8">
      <c r="B25" s="963" t="s">
        <v>1001</v>
      </c>
      <c r="C25" s="961" t="s">
        <v>2135</v>
      </c>
      <c r="D25" s="997">
        <f>'Cash Flow SK'!D29</f>
        <v>-342790</v>
      </c>
      <c r="E25" s="997">
        <f>'Cash Flow SK'!E29</f>
        <v>336963</v>
      </c>
      <c r="H25" s="998"/>
    </row>
    <row r="26" spans="2:8">
      <c r="B26" s="963" t="s">
        <v>1002</v>
      </c>
      <c r="C26" s="961" t="s">
        <v>2136</v>
      </c>
      <c r="D26" s="997">
        <f>'Cash Flow SK'!D30</f>
        <v>52132</v>
      </c>
      <c r="E26" s="997">
        <f>'Cash Flow SK'!E30</f>
        <v>-273659</v>
      </c>
      <c r="H26" s="998"/>
    </row>
    <row r="27" spans="2:8">
      <c r="B27" s="963" t="s">
        <v>1003</v>
      </c>
      <c r="C27" s="961" t="s">
        <v>2137</v>
      </c>
      <c r="D27" s="997">
        <f>'Cash Flow SK'!D31</f>
        <v>0</v>
      </c>
      <c r="E27" s="997">
        <f>'Cash Flow SK'!E31</f>
        <v>0</v>
      </c>
      <c r="H27" s="998"/>
    </row>
    <row r="28" spans="2:8" ht="36" customHeight="1">
      <c r="B28" s="995"/>
      <c r="C28" s="999" t="s">
        <v>2138</v>
      </c>
      <c r="D28" s="994">
        <f>'Cash Flow SK'!D32</f>
        <v>1368087</v>
      </c>
      <c r="E28" s="994">
        <f>'Cash Flow SK'!E32</f>
        <v>328367</v>
      </c>
      <c r="H28" s="998"/>
    </row>
    <row r="29" spans="2:8">
      <c r="B29" s="963" t="s">
        <v>1004</v>
      </c>
      <c r="C29" s="1000" t="s">
        <v>2139</v>
      </c>
      <c r="D29" s="997">
        <f>'Cash Flow SK'!D33</f>
        <v>0</v>
      </c>
      <c r="E29" s="997">
        <f>'Cash Flow SK'!E33</f>
        <v>0</v>
      </c>
      <c r="H29" s="998"/>
    </row>
    <row r="30" spans="2:8">
      <c r="B30" s="963" t="s">
        <v>1005</v>
      </c>
      <c r="C30" s="1000" t="s">
        <v>2140</v>
      </c>
      <c r="D30" s="997">
        <f>'Cash Flow SK'!D34</f>
        <v>0</v>
      </c>
      <c r="E30" s="997">
        <f>'Cash Flow SK'!E34</f>
        <v>0</v>
      </c>
      <c r="H30" s="998"/>
    </row>
    <row r="31" spans="2:8">
      <c r="B31" s="963" t="s">
        <v>1006</v>
      </c>
      <c r="C31" s="1000" t="s">
        <v>2141</v>
      </c>
      <c r="D31" s="997">
        <f>'Cash Flow SK'!D35</f>
        <v>0</v>
      </c>
      <c r="E31" s="997">
        <f>'Cash Flow SK'!E35</f>
        <v>0</v>
      </c>
      <c r="H31" s="998"/>
    </row>
    <row r="32" spans="2:8">
      <c r="B32" s="963" t="s">
        <v>1007</v>
      </c>
      <c r="C32" s="1000" t="s">
        <v>2142</v>
      </c>
      <c r="D32" s="997">
        <f>'Cash Flow SK'!D36</f>
        <v>-411360</v>
      </c>
      <c r="E32" s="997">
        <f>'Cash Flow SK'!E36</f>
        <v>-114636</v>
      </c>
      <c r="H32" s="998"/>
    </row>
    <row r="33" spans="2:8" ht="18">
      <c r="B33" s="963"/>
      <c r="C33" s="1001" t="s">
        <v>2143</v>
      </c>
      <c r="D33" s="997">
        <f>'Cash Flow SK'!D37</f>
        <v>956727</v>
      </c>
      <c r="E33" s="997">
        <f>'Cash Flow SK'!E37</f>
        <v>213731</v>
      </c>
      <c r="H33" s="998"/>
    </row>
    <row r="34" spans="2:8" ht="35">
      <c r="B34" s="963" t="s">
        <v>1008</v>
      </c>
      <c r="C34" s="1000" t="s">
        <v>2144</v>
      </c>
      <c r="D34" s="997">
        <f>'Cash Flow SK'!D38</f>
        <v>-101233</v>
      </c>
      <c r="E34" s="997">
        <f>'Cash Flow SK'!E38</f>
        <v>-286811</v>
      </c>
      <c r="H34" s="998"/>
    </row>
    <row r="35" spans="2:8">
      <c r="B35" s="963" t="s">
        <v>1009</v>
      </c>
      <c r="C35" s="1000" t="s">
        <v>2145</v>
      </c>
      <c r="D35" s="997">
        <f>'Cash Flow SK'!D39</f>
        <v>0</v>
      </c>
      <c r="E35" s="997">
        <f>'Cash Flow SK'!E39</f>
        <v>0</v>
      </c>
      <c r="H35" s="998"/>
    </row>
    <row r="36" spans="2:8">
      <c r="B36" s="963" t="s">
        <v>1010</v>
      </c>
      <c r="C36" s="1000" t="s">
        <v>2146</v>
      </c>
      <c r="D36" s="997">
        <f>'Cash Flow SK'!D40</f>
        <v>0</v>
      </c>
      <c r="E36" s="997">
        <f>'Cash Flow SK'!E40</f>
        <v>0</v>
      </c>
      <c r="H36" s="998"/>
    </row>
    <row r="37" spans="2:8" ht="18">
      <c r="B37" s="972" t="s">
        <v>523</v>
      </c>
      <c r="C37" s="999" t="s">
        <v>2147</v>
      </c>
      <c r="D37" s="994">
        <f>'Cash Flow SK'!D41</f>
        <v>855494</v>
      </c>
      <c r="E37" s="994">
        <f>'Cash Flow SK'!E41</f>
        <v>-73080</v>
      </c>
      <c r="H37" s="1002"/>
    </row>
    <row r="38" spans="2:8" ht="18">
      <c r="B38" s="967"/>
      <c r="C38" s="1003"/>
      <c r="D38" s="997">
        <f>'Cash Flow SK'!D42</f>
        <v>0</v>
      </c>
      <c r="E38" s="997">
        <f>'Cash Flow SK'!E42</f>
        <v>0</v>
      </c>
      <c r="H38" s="1002"/>
    </row>
    <row r="39" spans="2:8" s="980" customFormat="1" ht="18">
      <c r="C39" s="1004" t="s">
        <v>2148</v>
      </c>
      <c r="D39" s="997">
        <f>'Cash Flow SK'!D43</f>
        <v>0</v>
      </c>
      <c r="E39" s="997">
        <f>'Cash Flow SK'!E43</f>
        <v>0</v>
      </c>
      <c r="H39" s="1002"/>
    </row>
    <row r="40" spans="2:8">
      <c r="B40" s="968" t="s">
        <v>833</v>
      </c>
      <c r="C40" s="971" t="s">
        <v>2149</v>
      </c>
      <c r="D40" s="997">
        <f>'Cash Flow SK'!D44</f>
        <v>0</v>
      </c>
      <c r="E40" s="997">
        <f>'Cash Flow SK'!E44</f>
        <v>0</v>
      </c>
      <c r="H40" s="998"/>
    </row>
    <row r="41" spans="2:8">
      <c r="B41" s="968" t="s">
        <v>1011</v>
      </c>
      <c r="C41" s="971" t="s">
        <v>2150</v>
      </c>
      <c r="D41" s="997">
        <f>'Cash Flow SK'!D45</f>
        <v>-54415</v>
      </c>
      <c r="E41" s="997">
        <f>'Cash Flow SK'!E45</f>
        <v>-406211</v>
      </c>
      <c r="H41" s="998"/>
    </row>
    <row r="42" spans="2:8" ht="35">
      <c r="B42" s="968" t="s">
        <v>1012</v>
      </c>
      <c r="C42" s="971" t="s">
        <v>2151</v>
      </c>
      <c r="D42" s="997">
        <f>'Cash Flow SK'!D46</f>
        <v>0</v>
      </c>
      <c r="E42" s="997">
        <f>'Cash Flow SK'!E46</f>
        <v>0</v>
      </c>
      <c r="H42" s="998"/>
    </row>
    <row r="43" spans="2:8">
      <c r="B43" s="968" t="s">
        <v>1013</v>
      </c>
      <c r="C43" s="971" t="s">
        <v>2152</v>
      </c>
      <c r="D43" s="997">
        <f>'Cash Flow SK'!D47</f>
        <v>0</v>
      </c>
      <c r="E43" s="997">
        <f>'Cash Flow SK'!E47</f>
        <v>0</v>
      </c>
      <c r="H43" s="998"/>
    </row>
    <row r="44" spans="2:8">
      <c r="B44" s="968" t="s">
        <v>1014</v>
      </c>
      <c r="C44" s="971" t="s">
        <v>2153</v>
      </c>
      <c r="D44" s="997">
        <f>'Cash Flow SK'!D48</f>
        <v>0</v>
      </c>
      <c r="E44" s="997">
        <f>'Cash Flow SK'!E48</f>
        <v>9584</v>
      </c>
      <c r="H44" s="998"/>
    </row>
    <row r="45" spans="2:8" ht="35">
      <c r="B45" s="968" t="s">
        <v>1015</v>
      </c>
      <c r="C45" s="971" t="s">
        <v>2154</v>
      </c>
      <c r="D45" s="997">
        <f>'Cash Flow SK'!D49</f>
        <v>0</v>
      </c>
      <c r="E45" s="997">
        <f>'Cash Flow SK'!E49</f>
        <v>0</v>
      </c>
      <c r="H45" s="998"/>
    </row>
    <row r="46" spans="2:8" ht="35">
      <c r="B46" s="968" t="s">
        <v>1016</v>
      </c>
      <c r="C46" s="971" t="s">
        <v>2155</v>
      </c>
      <c r="D46" s="997">
        <f>'Cash Flow SK'!D50</f>
        <v>0</v>
      </c>
      <c r="E46" s="997">
        <f>'Cash Flow SK'!E50</f>
        <v>0</v>
      </c>
      <c r="H46" s="998"/>
    </row>
    <row r="47" spans="2:8" ht="35">
      <c r="B47" s="968" t="s">
        <v>2156</v>
      </c>
      <c r="C47" s="971" t="s">
        <v>2157</v>
      </c>
      <c r="D47" s="997">
        <f>'Cash Flow SK'!D51</f>
        <v>0</v>
      </c>
      <c r="E47" s="997">
        <f>'Cash Flow SK'!E51</f>
        <v>0</v>
      </c>
      <c r="H47" s="998"/>
    </row>
    <row r="48" spans="2:8" ht="35">
      <c r="B48" s="968" t="s">
        <v>1018</v>
      </c>
      <c r="C48" s="971" t="s">
        <v>2158</v>
      </c>
      <c r="D48" s="997">
        <f>'Cash Flow SK'!D52</f>
        <v>0</v>
      </c>
      <c r="E48" s="997">
        <f>'Cash Flow SK'!E52</f>
        <v>0</v>
      </c>
      <c r="H48" s="998"/>
    </row>
    <row r="49" spans="2:8">
      <c r="B49" s="968" t="s">
        <v>1019</v>
      </c>
      <c r="C49" s="971" t="s">
        <v>2211</v>
      </c>
      <c r="D49" s="997">
        <f>'Cash Flow SK'!D53</f>
        <v>0</v>
      </c>
      <c r="E49" s="997">
        <f>'Cash Flow SK'!E53</f>
        <v>0</v>
      </c>
      <c r="H49" s="998"/>
    </row>
    <row r="50" spans="2:8" ht="35">
      <c r="B50" s="968" t="s">
        <v>2159</v>
      </c>
      <c r="C50" s="971" t="s">
        <v>2160</v>
      </c>
      <c r="D50" s="997">
        <f>'Cash Flow SK'!D54</f>
        <v>0</v>
      </c>
      <c r="E50" s="997">
        <f>'Cash Flow SK'!E54</f>
        <v>0</v>
      </c>
      <c r="H50" s="998"/>
    </row>
    <row r="51" spans="2:8">
      <c r="B51" s="968" t="s">
        <v>1021</v>
      </c>
      <c r="C51" s="971" t="s">
        <v>2161</v>
      </c>
      <c r="D51" s="997">
        <f>'Cash Flow SK'!D55</f>
        <v>0</v>
      </c>
      <c r="E51" s="997">
        <f>'Cash Flow SK'!E55</f>
        <v>0</v>
      </c>
      <c r="H51" s="998"/>
    </row>
    <row r="52" spans="2:8">
      <c r="B52" s="968" t="s">
        <v>1022</v>
      </c>
      <c r="C52" s="971" t="s">
        <v>2162</v>
      </c>
      <c r="D52" s="997">
        <f>'Cash Flow SK'!D56</f>
        <v>0</v>
      </c>
      <c r="E52" s="997">
        <f>'Cash Flow SK'!E56</f>
        <v>0</v>
      </c>
      <c r="H52" s="998"/>
    </row>
    <row r="53" spans="2:8" ht="35">
      <c r="B53" s="968" t="s">
        <v>1023</v>
      </c>
      <c r="C53" s="971" t="s">
        <v>2163</v>
      </c>
      <c r="D53" s="997">
        <f>'Cash Flow SK'!D57</f>
        <v>0</v>
      </c>
      <c r="E53" s="997">
        <f>'Cash Flow SK'!E57</f>
        <v>0</v>
      </c>
      <c r="H53" s="998"/>
    </row>
    <row r="54" spans="2:8" ht="35">
      <c r="B54" s="968" t="s">
        <v>1024</v>
      </c>
      <c r="C54" s="971" t="s">
        <v>2164</v>
      </c>
      <c r="D54" s="997">
        <f>'Cash Flow SK'!D58</f>
        <v>0</v>
      </c>
      <c r="E54" s="997">
        <f>'Cash Flow SK'!E58</f>
        <v>0</v>
      </c>
      <c r="H54" s="998"/>
    </row>
    <row r="55" spans="2:8">
      <c r="B55" s="968" t="s">
        <v>1025</v>
      </c>
      <c r="C55" s="971" t="s">
        <v>2165</v>
      </c>
      <c r="D55" s="997">
        <f>'Cash Flow SK'!D59</f>
        <v>0</v>
      </c>
      <c r="E55" s="997">
        <f>'Cash Flow SK'!E59</f>
        <v>0</v>
      </c>
      <c r="H55" s="998"/>
    </row>
    <row r="56" spans="2:8">
      <c r="B56" s="968" t="s">
        <v>1026</v>
      </c>
      <c r="C56" s="971" t="s">
        <v>2166</v>
      </c>
      <c r="D56" s="997">
        <f>'Cash Flow SK'!D60</f>
        <v>0</v>
      </c>
      <c r="E56" s="997">
        <f>'Cash Flow SK'!E60</f>
        <v>0</v>
      </c>
      <c r="H56" s="998"/>
    </row>
    <row r="57" spans="2:8">
      <c r="B57" s="968" t="s">
        <v>1027</v>
      </c>
      <c r="C57" s="971" t="s">
        <v>2167</v>
      </c>
      <c r="D57" s="997">
        <f>'Cash Flow SK'!D61</f>
        <v>0</v>
      </c>
      <c r="E57" s="997">
        <f>'Cash Flow SK'!E61</f>
        <v>0</v>
      </c>
      <c r="H57" s="998"/>
    </row>
    <row r="58" spans="2:8">
      <c r="B58" s="968" t="s">
        <v>1028</v>
      </c>
      <c r="C58" s="971" t="s">
        <v>2168</v>
      </c>
      <c r="D58" s="997">
        <f>'Cash Flow SK'!D62</f>
        <v>0</v>
      </c>
      <c r="E58" s="997">
        <f>'Cash Flow SK'!E62</f>
        <v>0</v>
      </c>
      <c r="H58" s="998"/>
    </row>
    <row r="59" spans="2:8">
      <c r="B59" s="968" t="s">
        <v>2055</v>
      </c>
      <c r="C59" s="971" t="s">
        <v>2169</v>
      </c>
      <c r="D59" s="997">
        <f>'Cash Flow SK'!D63</f>
        <v>0</v>
      </c>
      <c r="E59" s="997">
        <f>'Cash Flow SK'!E63</f>
        <v>0</v>
      </c>
      <c r="H59" s="998"/>
    </row>
    <row r="60" spans="2:8" s="980" customFormat="1" ht="18">
      <c r="B60" s="972" t="s">
        <v>594</v>
      </c>
      <c r="C60" s="999" t="s">
        <v>2170</v>
      </c>
      <c r="D60" s="994">
        <f>'Cash Flow SK'!D64</f>
        <v>-54415</v>
      </c>
      <c r="E60" s="994">
        <f>'Cash Flow SK'!E64</f>
        <v>-396627</v>
      </c>
      <c r="H60" s="1002"/>
    </row>
    <row r="61" spans="2:8" s="1005" customFormat="1" ht="18">
      <c r="B61" s="967"/>
      <c r="C61" s="1003"/>
      <c r="D61" s="997">
        <f>'Cash Flow SK'!D65</f>
        <v>0</v>
      </c>
      <c r="E61" s="997">
        <f>'Cash Flow SK'!E65</f>
        <v>0</v>
      </c>
      <c r="H61" s="1002"/>
    </row>
    <row r="62" spans="2:8" s="980" customFormat="1" ht="18">
      <c r="B62" s="1004" t="s">
        <v>2171</v>
      </c>
      <c r="C62" s="1006"/>
      <c r="D62" s="997">
        <f>'Cash Flow SK'!D66</f>
        <v>0</v>
      </c>
      <c r="E62" s="997">
        <f>'Cash Flow SK'!E66</f>
        <v>0</v>
      </c>
      <c r="H62" s="1002"/>
    </row>
    <row r="63" spans="2:8">
      <c r="B63" s="995" t="s">
        <v>666</v>
      </c>
      <c r="C63" s="996" t="s">
        <v>2172</v>
      </c>
      <c r="D63" s="997">
        <f>'Cash Flow SK'!D67</f>
        <v>0</v>
      </c>
      <c r="E63" s="997">
        <f>'Cash Flow SK'!E67</f>
        <v>0</v>
      </c>
      <c r="H63" s="998"/>
    </row>
    <row r="64" spans="2:8">
      <c r="B64" s="968" t="s">
        <v>1029</v>
      </c>
      <c r="C64" s="996" t="s">
        <v>2173</v>
      </c>
      <c r="D64" s="997">
        <f>'Cash Flow SK'!D68</f>
        <v>0</v>
      </c>
      <c r="E64" s="997">
        <f>'Cash Flow SK'!E68</f>
        <v>0</v>
      </c>
      <c r="H64" s="998"/>
    </row>
    <row r="65" spans="2:8">
      <c r="B65" s="968" t="s">
        <v>1030</v>
      </c>
      <c r="C65" s="996" t="s">
        <v>2174</v>
      </c>
      <c r="D65" s="997">
        <f>'Cash Flow SK'!D69</f>
        <v>0</v>
      </c>
      <c r="E65" s="997">
        <f>'Cash Flow SK'!E69</f>
        <v>0</v>
      </c>
      <c r="H65" s="998"/>
    </row>
    <row r="66" spans="2:8">
      <c r="B66" s="968" t="s">
        <v>1031</v>
      </c>
      <c r="C66" s="996" t="s">
        <v>2175</v>
      </c>
      <c r="D66" s="997">
        <f>'Cash Flow SK'!D70</f>
        <v>0</v>
      </c>
      <c r="E66" s="997">
        <f>'Cash Flow SK'!E70</f>
        <v>0</v>
      </c>
      <c r="H66" s="998"/>
    </row>
    <row r="67" spans="2:8">
      <c r="B67" s="968" t="s">
        <v>1032</v>
      </c>
      <c r="C67" s="996" t="s">
        <v>2176</v>
      </c>
      <c r="D67" s="997">
        <f>'Cash Flow SK'!D71</f>
        <v>0</v>
      </c>
      <c r="E67" s="997">
        <f>'Cash Flow SK'!E71</f>
        <v>0</v>
      </c>
      <c r="H67" s="998"/>
    </row>
    <row r="68" spans="2:8">
      <c r="B68" s="968" t="s">
        <v>2177</v>
      </c>
      <c r="C68" s="996" t="s">
        <v>2178</v>
      </c>
      <c r="D68" s="997">
        <f>'Cash Flow SK'!D72</f>
        <v>0</v>
      </c>
      <c r="E68" s="997">
        <f>'Cash Flow SK'!E72</f>
        <v>0</v>
      </c>
      <c r="H68" s="998"/>
    </row>
    <row r="69" spans="2:8">
      <c r="B69" s="968" t="s">
        <v>1034</v>
      </c>
      <c r="C69" s="996" t="s">
        <v>2179</v>
      </c>
      <c r="D69" s="997">
        <f>'Cash Flow SK'!D73</f>
        <v>0</v>
      </c>
      <c r="E69" s="997">
        <f>'Cash Flow SK'!E73</f>
        <v>0</v>
      </c>
      <c r="H69" s="998"/>
    </row>
    <row r="70" spans="2:8">
      <c r="B70" s="968" t="s">
        <v>1035</v>
      </c>
      <c r="C70" s="996" t="s">
        <v>2180</v>
      </c>
      <c r="D70" s="997">
        <f>'Cash Flow SK'!D74</f>
        <v>0</v>
      </c>
      <c r="E70" s="997">
        <f>'Cash Flow SK'!E74</f>
        <v>0</v>
      </c>
      <c r="H70" s="998"/>
    </row>
    <row r="71" spans="2:8">
      <c r="B71" s="968" t="s">
        <v>1036</v>
      </c>
      <c r="C71" s="996" t="s">
        <v>2181</v>
      </c>
      <c r="D71" s="997">
        <f>'Cash Flow SK'!D75</f>
        <v>0</v>
      </c>
      <c r="E71" s="997">
        <f>'Cash Flow SK'!E75</f>
        <v>0</v>
      </c>
      <c r="H71" s="998"/>
    </row>
    <row r="72" spans="2:8">
      <c r="B72" s="995" t="s">
        <v>1037</v>
      </c>
      <c r="C72" s="996" t="s">
        <v>2182</v>
      </c>
      <c r="D72" s="997">
        <f>'Cash Flow SK'!D76</f>
        <v>-3008</v>
      </c>
      <c r="E72" s="997">
        <f>'Cash Flow SK'!E76</f>
        <v>1310</v>
      </c>
      <c r="H72" s="998"/>
    </row>
    <row r="73" spans="2:8">
      <c r="B73" s="968" t="s">
        <v>1038</v>
      </c>
      <c r="C73" s="996" t="s">
        <v>2183</v>
      </c>
      <c r="D73" s="997">
        <f>'Cash Flow SK'!D77</f>
        <v>0</v>
      </c>
      <c r="E73" s="997">
        <f>'Cash Flow SK'!E77</f>
        <v>0</v>
      </c>
      <c r="H73" s="998"/>
    </row>
    <row r="74" spans="2:8">
      <c r="B74" s="968" t="s">
        <v>1039</v>
      </c>
      <c r="C74" s="996" t="s">
        <v>2184</v>
      </c>
      <c r="D74" s="997">
        <f>'Cash Flow SK'!D78</f>
        <v>0</v>
      </c>
      <c r="E74" s="997">
        <f>'Cash Flow SK'!E78</f>
        <v>0</v>
      </c>
      <c r="H74" s="998"/>
    </row>
    <row r="75" spans="2:8">
      <c r="B75" s="968" t="s">
        <v>1040</v>
      </c>
      <c r="C75" s="971" t="s">
        <v>2185</v>
      </c>
      <c r="D75" s="997">
        <f>'Cash Flow SK'!D79</f>
        <v>0</v>
      </c>
      <c r="E75" s="997">
        <f>'Cash Flow SK'!E79</f>
        <v>0</v>
      </c>
      <c r="H75" s="998"/>
    </row>
    <row r="76" spans="2:8">
      <c r="B76" s="968" t="s">
        <v>1041</v>
      </c>
      <c r="C76" s="996" t="s">
        <v>2186</v>
      </c>
      <c r="D76" s="997">
        <f>'Cash Flow SK'!D80</f>
        <v>0</v>
      </c>
      <c r="E76" s="997">
        <f>'Cash Flow SK'!E80</f>
        <v>0</v>
      </c>
      <c r="H76" s="998"/>
    </row>
    <row r="77" spans="2:8">
      <c r="B77" s="968" t="s">
        <v>1042</v>
      </c>
      <c r="C77" s="971" t="s">
        <v>2187</v>
      </c>
      <c r="D77" s="997">
        <f>'Cash Flow SK'!D81</f>
        <v>0</v>
      </c>
      <c r="E77" s="997">
        <f>'Cash Flow SK'!E81</f>
        <v>1310</v>
      </c>
      <c r="H77" s="998"/>
    </row>
    <row r="78" spans="2:8">
      <c r="B78" s="968" t="s">
        <v>1043</v>
      </c>
      <c r="C78" s="971" t="s">
        <v>2188</v>
      </c>
      <c r="D78" s="997">
        <f>'Cash Flow SK'!D82</f>
        <v>-3008</v>
      </c>
      <c r="E78" s="997">
        <f>'Cash Flow SK'!E82</f>
        <v>0</v>
      </c>
      <c r="H78" s="998"/>
    </row>
    <row r="79" spans="2:8">
      <c r="B79" s="968" t="s">
        <v>1044</v>
      </c>
      <c r="C79" s="971" t="s">
        <v>2189</v>
      </c>
      <c r="D79" s="997">
        <f>'Cash Flow SK'!D83</f>
        <v>0</v>
      </c>
      <c r="E79" s="997">
        <f>'Cash Flow SK'!E83</f>
        <v>0</v>
      </c>
      <c r="H79" s="998"/>
    </row>
    <row r="80" spans="2:8" ht="35">
      <c r="B80" s="968" t="s">
        <v>1045</v>
      </c>
      <c r="C80" s="971" t="s">
        <v>2190</v>
      </c>
      <c r="D80" s="997">
        <f>'Cash Flow SK'!D84</f>
        <v>0</v>
      </c>
      <c r="E80" s="997">
        <f>'Cash Flow SK'!E84</f>
        <v>0</v>
      </c>
      <c r="H80" s="998"/>
    </row>
    <row r="81" spans="2:8" ht="35">
      <c r="B81" s="968" t="s">
        <v>1046</v>
      </c>
      <c r="C81" s="971" t="s">
        <v>2191</v>
      </c>
      <c r="D81" s="997">
        <f>'Cash Flow SK'!D85</f>
        <v>0</v>
      </c>
      <c r="E81" s="997">
        <f>'Cash Flow SK'!E85</f>
        <v>0</v>
      </c>
      <c r="H81" s="998"/>
    </row>
    <row r="82" spans="2:8" ht="35">
      <c r="B82" s="968" t="s">
        <v>2078</v>
      </c>
      <c r="C82" s="971" t="s">
        <v>2192</v>
      </c>
      <c r="D82" s="997">
        <f>'Cash Flow SK'!D86</f>
        <v>0</v>
      </c>
      <c r="E82" s="997">
        <f>'Cash Flow SK'!E86</f>
        <v>0</v>
      </c>
      <c r="H82" s="998"/>
    </row>
    <row r="83" spans="2:8">
      <c r="B83" s="968" t="s">
        <v>1047</v>
      </c>
      <c r="C83" s="971" t="s">
        <v>2193</v>
      </c>
      <c r="D83" s="997">
        <f>'Cash Flow SK'!D87</f>
        <v>0</v>
      </c>
      <c r="E83" s="997">
        <f>'Cash Flow SK'!E87</f>
        <v>0</v>
      </c>
      <c r="H83" s="998"/>
    </row>
    <row r="84" spans="2:8">
      <c r="B84" s="968" t="s">
        <v>1048</v>
      </c>
      <c r="C84" s="971" t="s">
        <v>2194</v>
      </c>
      <c r="D84" s="997">
        <f>'Cash Flow SK'!D88</f>
        <v>0</v>
      </c>
      <c r="E84" s="997">
        <f>'Cash Flow SK'!E88</f>
        <v>0</v>
      </c>
      <c r="H84" s="998"/>
    </row>
    <row r="85" spans="2:8" ht="35">
      <c r="B85" s="968" t="s">
        <v>1049</v>
      </c>
      <c r="C85" s="971" t="s">
        <v>2195</v>
      </c>
      <c r="D85" s="997">
        <f>'Cash Flow SK'!D89</f>
        <v>0</v>
      </c>
      <c r="E85" s="997">
        <f>'Cash Flow SK'!E89</f>
        <v>0</v>
      </c>
      <c r="H85" s="998"/>
    </row>
    <row r="86" spans="2:8" ht="35">
      <c r="B86" s="968" t="s">
        <v>1050</v>
      </c>
      <c r="C86" s="971" t="s">
        <v>2196</v>
      </c>
      <c r="D86" s="997">
        <f>'Cash Flow SK'!D90</f>
        <v>0</v>
      </c>
      <c r="E86" s="997">
        <f>'Cash Flow SK'!E90</f>
        <v>0</v>
      </c>
      <c r="H86" s="998"/>
    </row>
    <row r="87" spans="2:8">
      <c r="B87" s="968" t="s">
        <v>1051</v>
      </c>
      <c r="C87" s="971" t="s">
        <v>2197</v>
      </c>
      <c r="D87" s="997">
        <f>'Cash Flow SK'!D91</f>
        <v>0</v>
      </c>
      <c r="E87" s="997">
        <f>'Cash Flow SK'!E91</f>
        <v>0</v>
      </c>
      <c r="H87" s="998"/>
    </row>
    <row r="88" spans="2:8">
      <c r="B88" s="968" t="s">
        <v>1052</v>
      </c>
      <c r="C88" s="971" t="s">
        <v>2198</v>
      </c>
      <c r="D88" s="997">
        <f>'Cash Flow SK'!D92</f>
        <v>0</v>
      </c>
      <c r="E88" s="997">
        <f>'Cash Flow SK'!E92</f>
        <v>0</v>
      </c>
      <c r="H88" s="998"/>
    </row>
    <row r="89" spans="2:8">
      <c r="B89" s="968" t="s">
        <v>1053</v>
      </c>
      <c r="C89" s="971" t="s">
        <v>2199</v>
      </c>
      <c r="D89" s="997">
        <f>'Cash Flow SK'!D93</f>
        <v>0</v>
      </c>
      <c r="E89" s="997">
        <f>'Cash Flow SK'!E93</f>
        <v>0</v>
      </c>
      <c r="H89" s="998"/>
    </row>
    <row r="90" spans="2:8" s="980" customFormat="1" ht="18">
      <c r="B90" s="972" t="s">
        <v>663</v>
      </c>
      <c r="C90" s="976" t="s">
        <v>2200</v>
      </c>
      <c r="D90" s="994">
        <f>D63+D72+SUM(D83:D89)</f>
        <v>-3008</v>
      </c>
      <c r="E90" s="994">
        <f>E63+E72+SUM(E83:E89)</f>
        <v>1310</v>
      </c>
      <c r="H90" s="1002"/>
    </row>
    <row r="91" spans="2:8" s="991" customFormat="1" ht="18">
      <c r="B91" s="967"/>
      <c r="C91" s="973"/>
      <c r="D91" s="997"/>
      <c r="E91" s="997"/>
      <c r="H91" s="1002"/>
    </row>
    <row r="92" spans="2:8" s="980" customFormat="1" ht="18">
      <c r="B92" s="967" t="s">
        <v>853</v>
      </c>
      <c r="C92" s="976" t="s">
        <v>2201</v>
      </c>
      <c r="D92" s="994">
        <f>'Cash Flow SK'!D96</f>
        <v>798071</v>
      </c>
      <c r="E92" s="994">
        <f>'Cash Flow SK'!E96</f>
        <v>-468397</v>
      </c>
      <c r="H92" s="1002"/>
    </row>
    <row r="93" spans="2:8" ht="18">
      <c r="B93" s="972" t="s">
        <v>856</v>
      </c>
      <c r="C93" s="976" t="s">
        <v>2202</v>
      </c>
      <c r="D93" s="994">
        <f>'Cash Flow SK'!D97</f>
        <v>299913</v>
      </c>
      <c r="E93" s="994">
        <f>'Cash Flow SK'!E97</f>
        <v>768310</v>
      </c>
      <c r="H93" s="1002"/>
    </row>
    <row r="94" spans="2:8" ht="36">
      <c r="B94" s="972" t="s">
        <v>862</v>
      </c>
      <c r="C94" s="976" t="s">
        <v>2203</v>
      </c>
      <c r="D94" s="994">
        <f>'Cash Flow SK'!D98</f>
        <v>1097984</v>
      </c>
      <c r="E94" s="994">
        <f>'Cash Flow SK'!E98</f>
        <v>299913</v>
      </c>
      <c r="H94" s="1002"/>
    </row>
    <row r="95" spans="2:8" ht="18">
      <c r="B95" s="972" t="s">
        <v>865</v>
      </c>
      <c r="C95" s="976" t="s">
        <v>2204</v>
      </c>
      <c r="D95" s="994">
        <f>'Cash Flow SK'!D99</f>
        <v>0</v>
      </c>
      <c r="E95" s="994">
        <f>'Cash Flow SK'!E99</f>
        <v>0</v>
      </c>
      <c r="H95" s="1002"/>
    </row>
    <row r="96" spans="2:8" s="980" customFormat="1" ht="36">
      <c r="B96" s="972" t="s">
        <v>871</v>
      </c>
      <c r="C96" s="978" t="s">
        <v>2205</v>
      </c>
      <c r="D96" s="994">
        <f>'Cash Flow SK'!D100</f>
        <v>1097984</v>
      </c>
      <c r="E96" s="994">
        <f>'Cash Flow SK'!E100</f>
        <v>299913</v>
      </c>
      <c r="H96" s="1002"/>
    </row>
    <row r="97" ht="23.25" customHeight="1"/>
  </sheetData>
  <mergeCells count="3">
    <mergeCell ref="B3:B5"/>
    <mergeCell ref="C3:C5"/>
    <mergeCell ref="D3:E3"/>
  </mergeCells>
  <printOptions horizontalCentered="1"/>
  <pageMargins left="0.39370078740157483" right="0.27559055118110237" top="0.74803149606299213" bottom="0.47244094488188981" header="0.11811023622047245" footer="0.51181102362204722"/>
  <pageSetup paperSize="9" scale="53" fitToHeight="2" orientation="portrait" r:id="rId1"/>
  <headerFooter alignWithMargins="0">
    <oddFooter>&amp;C&amp;"Verdana,Normálne"&amp;7THIS IS A TRANSLATION OF THE ORIGINAL SLOVAK DOCUMENT.</oddFooter>
  </headerFooter>
  <rowBreaks count="1" manualBreakCount="1">
    <brk id="60" max="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ColWidth="9.1796875" defaultRowHeight="12.5"/>
  <cols>
    <col min="1" max="13" width="2.54296875" style="1289" customWidth="1"/>
    <col min="14" max="14" width="3" style="1289" customWidth="1"/>
    <col min="15" max="15" width="2.54296875" style="1289" customWidth="1"/>
    <col min="16" max="16" width="3.54296875" style="1289" customWidth="1"/>
    <col min="17" max="17" width="4.7265625" style="1289" customWidth="1"/>
    <col min="18" max="36" width="2.54296875" style="1289" customWidth="1"/>
    <col min="37" max="37" width="2.81640625" style="1289" customWidth="1"/>
    <col min="38" max="38" width="1.81640625" style="1289" customWidth="1"/>
    <col min="39" max="45" width="2.54296875" style="1289" customWidth="1"/>
    <col min="46" max="46" width="7.7265625" style="1289" customWidth="1"/>
    <col min="47" max="61" width="2.54296875" style="1289" customWidth="1"/>
    <col min="62" max="16384" width="9.1796875" style="1289"/>
  </cols>
  <sheetData>
    <row r="1" spans="1:37" s="500" customFormat="1" ht="9">
      <c r="C1" s="501" t="s">
        <v>2220</v>
      </c>
    </row>
    <row r="2" spans="1:37" s="397" customFormat="1" ht="21" customHeight="1">
      <c r="C2" s="499" t="s">
        <v>2221</v>
      </c>
      <c r="D2" s="498"/>
      <c r="E2" s="498"/>
      <c r="F2" s="498"/>
      <c r="G2" s="498"/>
      <c r="H2" s="498"/>
      <c r="I2" s="498"/>
      <c r="J2" s="497"/>
      <c r="P2" s="496" t="s">
        <v>2586</v>
      </c>
    </row>
    <row r="3" spans="1:37" ht="13" thickBot="1">
      <c r="O3" s="1349" t="s">
        <v>2587</v>
      </c>
      <c r="P3" s="1350"/>
      <c r="Q3" s="1325"/>
      <c r="R3" s="1325"/>
      <c r="S3" s="1325"/>
      <c r="T3" s="1325"/>
      <c r="U3" s="1325"/>
      <c r="V3" s="1325"/>
      <c r="W3" s="1325"/>
      <c r="X3" s="1325"/>
    </row>
    <row r="4" spans="1:37" ht="28.5" customHeight="1" thickBot="1">
      <c r="M4" s="1321" t="s">
        <v>1543</v>
      </c>
      <c r="N4" s="1323"/>
      <c r="O4" s="1323"/>
      <c r="P4" s="1323"/>
      <c r="Q4" s="494" t="str">
        <f>+MID('Input data'!$B$11,1,1)</f>
        <v>3</v>
      </c>
      <c r="R4" s="494" t="str">
        <f>+MID('Input data'!$B$11,2,1)</f>
        <v>1</v>
      </c>
      <c r="S4" s="494" t="s">
        <v>1063</v>
      </c>
      <c r="T4" s="494" t="str">
        <f>LEFT('Input data'!B13,1)</f>
        <v>0</v>
      </c>
      <c r="U4" s="494" t="str">
        <f>RIGHT('Input data'!B13,1)</f>
        <v>3</v>
      </c>
      <c r="V4" s="494" t="s">
        <v>1063</v>
      </c>
      <c r="W4" s="494" t="str">
        <f>+LEFT('Input data'!$B$14,1)</f>
        <v>2</v>
      </c>
      <c r="X4" s="494" t="str">
        <f>+MID('Input data'!$B$14,2,1)</f>
        <v>0</v>
      </c>
      <c r="Y4" s="494" t="str">
        <f>+MID('Input data'!$B$14,3,1)</f>
        <v>1</v>
      </c>
      <c r="Z4" s="1035" t="str">
        <f>+MID('Input data'!$B$14,4,1)</f>
        <v>9</v>
      </c>
    </row>
    <row r="5" spans="1:37" ht="6" customHeight="1" thickBot="1"/>
    <row r="6" spans="1:37" s="487" customFormat="1" ht="14.25" customHeight="1">
      <c r="A6" s="490" t="s">
        <v>1545</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487" customFormat="1" ht="14.25" customHeight="1">
      <c r="A7" s="857" t="s">
        <v>1546</v>
      </c>
      <c r="B7" s="858"/>
      <c r="C7" s="858"/>
      <c r="D7" s="858"/>
      <c r="E7" s="858"/>
      <c r="F7" s="858"/>
      <c r="G7" s="858"/>
      <c r="H7" s="858"/>
      <c r="I7" s="858"/>
      <c r="J7" s="858"/>
      <c r="K7" s="858"/>
      <c r="L7" s="858"/>
      <c r="M7" s="858"/>
      <c r="N7" s="858"/>
      <c r="O7" s="858"/>
      <c r="P7" s="858"/>
      <c r="Q7" s="858"/>
      <c r="R7" s="858"/>
      <c r="S7" s="858"/>
      <c r="T7" s="858"/>
      <c r="U7" s="858"/>
      <c r="V7" s="858"/>
      <c r="W7" s="858"/>
      <c r="X7" s="858"/>
      <c r="Y7" s="858"/>
      <c r="Z7" s="858"/>
      <c r="AA7" s="858"/>
      <c r="AB7" s="858"/>
      <c r="AC7" s="858"/>
      <c r="AD7" s="858"/>
      <c r="AE7" s="858"/>
      <c r="AF7" s="858"/>
      <c r="AG7" s="858"/>
      <c r="AH7" s="858"/>
      <c r="AI7" s="858"/>
      <c r="AJ7" s="858"/>
      <c r="AK7" s="859"/>
    </row>
    <row r="8" spans="1:37" s="391" customFormat="1" ht="15" customHeight="1">
      <c r="A8" s="860" t="s">
        <v>1547</v>
      </c>
      <c r="B8" s="402"/>
      <c r="C8" s="402"/>
      <c r="D8" s="402"/>
      <c r="E8" s="402"/>
      <c r="F8" s="402"/>
      <c r="G8" s="402"/>
      <c r="H8" s="402"/>
      <c r="I8" s="402"/>
      <c r="J8" s="402"/>
      <c r="K8" s="402"/>
      <c r="L8" s="402"/>
      <c r="M8" s="402"/>
      <c r="N8" s="402"/>
      <c r="O8" s="402"/>
      <c r="P8" s="402"/>
      <c r="Q8" s="402"/>
      <c r="R8" s="402"/>
      <c r="S8" s="486"/>
      <c r="T8" s="402"/>
      <c r="U8" s="402"/>
      <c r="V8" s="402"/>
      <c r="W8" s="402"/>
      <c r="X8" s="402"/>
      <c r="Y8" s="402"/>
      <c r="Z8" s="402"/>
      <c r="AA8" s="402"/>
      <c r="AB8" s="402"/>
      <c r="AC8" s="402"/>
      <c r="AD8" s="402"/>
      <c r="AE8" s="402"/>
      <c r="AF8" s="402"/>
      <c r="AG8" s="402"/>
      <c r="AH8" s="402"/>
      <c r="AI8" s="402"/>
      <c r="AJ8" s="402"/>
      <c r="AK8" s="486"/>
    </row>
    <row r="9" spans="1:37" s="482" customFormat="1" ht="18" customHeight="1" thickBot="1">
      <c r="A9" s="485" t="s">
        <v>1067</v>
      </c>
      <c r="B9" s="484"/>
      <c r="C9" s="484"/>
      <c r="D9" s="484"/>
      <c r="E9" s="485"/>
      <c r="F9" s="484"/>
      <c r="G9" s="484"/>
      <c r="H9" s="484"/>
      <c r="I9" s="484"/>
      <c r="J9" s="484"/>
      <c r="K9" s="484"/>
      <c r="L9" s="484"/>
      <c r="M9" s="484"/>
      <c r="N9" s="484"/>
      <c r="O9" s="484"/>
      <c r="P9" s="484"/>
      <c r="Q9" s="484"/>
      <c r="R9" s="484"/>
      <c r="S9" s="483"/>
      <c r="T9" s="484"/>
      <c r="U9" s="484"/>
      <c r="V9" s="484"/>
      <c r="W9" s="484"/>
      <c r="X9" s="484"/>
      <c r="Y9" s="484"/>
      <c r="Z9" s="484"/>
      <c r="AA9" s="484"/>
      <c r="AB9" s="484"/>
      <c r="AC9" s="484"/>
      <c r="AD9" s="484"/>
      <c r="AE9" s="484"/>
      <c r="AF9" s="484"/>
      <c r="AG9" s="484"/>
      <c r="AH9" s="484"/>
      <c r="AI9" s="484"/>
      <c r="AJ9" s="484"/>
      <c r="AK9" s="483"/>
    </row>
    <row r="10" spans="1:37" s="462" customFormat="1" ht="3.75" customHeight="1" thickBot="1"/>
    <row r="11" spans="1:37" s="462" customFormat="1" ht="14.25" customHeight="1">
      <c r="A11" s="464" t="s">
        <v>1549</v>
      </c>
      <c r="B11" s="463"/>
      <c r="C11" s="463"/>
      <c r="D11" s="463"/>
      <c r="E11" s="463"/>
      <c r="F11" s="463"/>
      <c r="G11" s="463"/>
      <c r="H11" s="463"/>
      <c r="I11" s="407"/>
      <c r="J11" s="406"/>
      <c r="K11" s="480" t="s">
        <v>1550</v>
      </c>
      <c r="L11" s="463"/>
      <c r="M11" s="481"/>
      <c r="N11" s="481"/>
      <c r="O11" s="481"/>
      <c r="P11" s="463"/>
      <c r="Q11" s="1327" t="s">
        <v>2589</v>
      </c>
      <c r="R11" s="1328"/>
      <c r="S11" s="1329"/>
      <c r="T11" s="1328"/>
      <c r="U11" s="1328"/>
      <c r="V11" s="1330"/>
      <c r="W11" s="1292"/>
      <c r="X11" s="463"/>
      <c r="Y11" s="463"/>
      <c r="Z11" s="463"/>
      <c r="AA11" s="463"/>
      <c r="AB11" s="463"/>
      <c r="AC11" s="463"/>
      <c r="AD11" s="480" t="s">
        <v>1551</v>
      </c>
      <c r="AE11" s="480"/>
      <c r="AF11" s="480"/>
      <c r="AG11" s="480" t="s">
        <v>1552</v>
      </c>
      <c r="AH11" s="463"/>
      <c r="AI11" s="463"/>
      <c r="AJ11" s="463"/>
      <c r="AK11" s="479"/>
    </row>
    <row r="12" spans="1:37" s="462" customFormat="1" ht="19.5" customHeight="1">
      <c r="A12" s="476" t="str">
        <f>LEFT('Input data'!C24,1)</f>
        <v>2</v>
      </c>
      <c r="B12" s="441" t="str">
        <f>MID('Input data'!$C$24,2,1)</f>
        <v>0</v>
      </c>
      <c r="C12" s="441" t="str">
        <f>MID('Input data'!$C$24,3,1)</f>
        <v>2</v>
      </c>
      <c r="D12" s="441" t="str">
        <f>MID('Input data'!$C$24,4,1)</f>
        <v>0</v>
      </c>
      <c r="E12" s="441" t="str">
        <f>MID('Input data'!$C$24,5,1)</f>
        <v>3</v>
      </c>
      <c r="F12" s="441" t="str">
        <f>MID('Input data'!$C$24,6,1)</f>
        <v>1</v>
      </c>
      <c r="G12" s="441" t="str">
        <f>MID('Input data'!$C$24,7,1)</f>
        <v>9</v>
      </c>
      <c r="H12" s="441" t="str">
        <f>MID('Input data'!$C$24,8,1)</f>
        <v>8</v>
      </c>
      <c r="I12" s="441" t="str">
        <f>MID('Input data'!$C$24,9,1)</f>
        <v>2</v>
      </c>
      <c r="J12" s="448" t="str">
        <f>MID('Input data'!$C$24,10,1)</f>
        <v>9</v>
      </c>
      <c r="K12" s="399"/>
      <c r="L12" s="465"/>
      <c r="M12" s="465"/>
      <c r="N12" s="465"/>
      <c r="O12" s="465"/>
      <c r="P12" s="465"/>
      <c r="Q12" s="465"/>
      <c r="R12" s="465"/>
      <c r="S12" s="465"/>
      <c r="T12" s="465"/>
      <c r="U12" s="465"/>
      <c r="V12" s="471"/>
      <c r="W12" s="1293" t="s">
        <v>1553</v>
      </c>
      <c r="X12" s="470"/>
      <c r="Y12" s="465"/>
      <c r="Z12" s="465"/>
      <c r="AA12" s="465"/>
      <c r="AB12" s="470" t="s">
        <v>1554</v>
      </c>
      <c r="AC12" s="465"/>
      <c r="AD12" s="441" t="str">
        <f>MID('Input data'!$B$8,1,1)</f>
        <v>0</v>
      </c>
      <c r="AE12" s="441" t="str">
        <f>MID('Input data'!$B$8,2,1)</f>
        <v>4</v>
      </c>
      <c r="AF12" s="441"/>
      <c r="AG12" s="441" t="str">
        <f>MID('Input data'!$B$9,1,1)</f>
        <v>2</v>
      </c>
      <c r="AH12" s="441" t="str">
        <f>MID('Input data'!$B$9,2,1)</f>
        <v>0</v>
      </c>
      <c r="AI12" s="441" t="str">
        <f>MID('Input data'!$B$9,3,1)</f>
        <v>1</v>
      </c>
      <c r="AJ12" s="441" t="str">
        <f>MID('Input data'!$B$9,4,1)</f>
        <v>8</v>
      </c>
      <c r="AK12" s="471"/>
    </row>
    <row r="13" spans="1:37" s="462" customFormat="1" ht="19.5" customHeight="1" thickBot="1">
      <c r="A13" s="403" t="s">
        <v>1555</v>
      </c>
      <c r="B13" s="465"/>
      <c r="C13" s="465"/>
      <c r="D13" s="465"/>
      <c r="E13" s="465"/>
      <c r="F13" s="465"/>
      <c r="G13" s="465"/>
      <c r="H13" s="399"/>
      <c r="I13" s="399"/>
      <c r="J13" s="398"/>
      <c r="K13" s="399"/>
      <c r="L13" s="478" t="str">
        <f>IF('Input data'!D7="x","x"," ")</f>
        <v>x</v>
      </c>
      <c r="M13" s="470" t="s">
        <v>1556</v>
      </c>
      <c r="N13" s="472"/>
      <c r="O13" s="472"/>
      <c r="P13" s="472"/>
      <c r="Q13" s="472"/>
      <c r="R13" s="478" t="str">
        <f>IF('Input data'!D17="x","x"," ")</f>
        <v>x</v>
      </c>
      <c r="S13" s="470" t="s">
        <v>2590</v>
      </c>
      <c r="T13" s="465"/>
      <c r="U13" s="465"/>
      <c r="V13" s="471"/>
      <c r="W13" s="477"/>
      <c r="X13" s="467"/>
      <c r="Y13" s="467"/>
      <c r="Z13" s="467"/>
      <c r="AA13" s="467"/>
      <c r="AB13" s="466" t="s">
        <v>1558</v>
      </c>
      <c r="AC13" s="467"/>
      <c r="AD13" s="439" t="str">
        <f>MID('Input data'!$B$13,1,1)</f>
        <v>0</v>
      </c>
      <c r="AE13" s="439" t="str">
        <f>MID('Input data'!$B$13,2,1)</f>
        <v>3</v>
      </c>
      <c r="AF13" s="439"/>
      <c r="AG13" s="439" t="str">
        <f>MID('Input data'!$B$14,1,1)</f>
        <v>2</v>
      </c>
      <c r="AH13" s="439" t="str">
        <f>MID('Input data'!$B$14,2,1)</f>
        <v>0</v>
      </c>
      <c r="AI13" s="439" t="str">
        <f>MID('Input data'!$B$14,3,1)</f>
        <v>1</v>
      </c>
      <c r="AJ13" s="439" t="str">
        <f>MID('Input data'!$B$14,4,1)</f>
        <v>9</v>
      </c>
      <c r="AK13" s="468"/>
    </row>
    <row r="14" spans="1:37" s="462" customFormat="1" ht="19.5" customHeight="1">
      <c r="A14" s="476" t="str">
        <f>LEFT('Input data'!C26,1)</f>
        <v>3</v>
      </c>
      <c r="B14" s="441" t="str">
        <f>MID('Input data'!$C$26,2,1)</f>
        <v>1</v>
      </c>
      <c r="C14" s="441" t="str">
        <f>MID('Input data'!$C$26,3,1)</f>
        <v>3</v>
      </c>
      <c r="D14" s="441" t="str">
        <f>MID('Input data'!$C$26,4,1)</f>
        <v>6</v>
      </c>
      <c r="E14" s="441" t="str">
        <f>MID('Input data'!$C$26,5,1)</f>
        <v>5</v>
      </c>
      <c r="F14" s="441" t="str">
        <f>MID('Input data'!$C$26,6,1)</f>
        <v>5</v>
      </c>
      <c r="G14" s="441" t="str">
        <f>MID('Input data'!$C$26,7,1)</f>
        <v>0</v>
      </c>
      <c r="H14" s="441" t="str">
        <f>MID('Input data'!$C$26,8,1)</f>
        <v>7</v>
      </c>
      <c r="I14" s="399"/>
      <c r="J14" s="398"/>
      <c r="K14" s="399"/>
      <c r="L14" s="474" t="str">
        <f>IF('Input data'!D8="x","x", "")</f>
        <v/>
      </c>
      <c r="M14" s="470" t="s">
        <v>1559</v>
      </c>
      <c r="N14" s="472"/>
      <c r="O14" s="472"/>
      <c r="P14" s="472"/>
      <c r="Q14" s="472"/>
      <c r="R14" s="475" t="str">
        <f>IF('Input data'!D18="x","x"," ")</f>
        <v xml:space="preserve"> </v>
      </c>
      <c r="S14" s="470" t="s">
        <v>2591</v>
      </c>
      <c r="T14" s="465"/>
      <c r="U14" s="465"/>
      <c r="V14" s="471"/>
      <c r="W14" s="470"/>
      <c r="X14" s="465"/>
      <c r="Y14" s="402"/>
      <c r="Z14" s="399"/>
      <c r="AA14" s="399"/>
      <c r="AB14" s="472"/>
      <c r="AC14" s="399"/>
      <c r="AD14" s="474"/>
      <c r="AE14" s="474"/>
      <c r="AF14" s="474"/>
      <c r="AG14" s="474"/>
      <c r="AH14" s="474"/>
      <c r="AI14" s="474"/>
      <c r="AJ14" s="474"/>
      <c r="AK14" s="398"/>
    </row>
    <row r="15" spans="1:37" s="462" customFormat="1" ht="19.5" customHeight="1">
      <c r="A15" s="403" t="s">
        <v>1081</v>
      </c>
      <c r="B15" s="465"/>
      <c r="C15" s="465"/>
      <c r="D15" s="465"/>
      <c r="E15" s="465"/>
      <c r="F15" s="465"/>
      <c r="G15" s="465"/>
      <c r="H15" s="465"/>
      <c r="I15" s="399"/>
      <c r="J15" s="398"/>
      <c r="K15" s="399"/>
      <c r="L15" s="478" t="str">
        <f>IF('Input data'!D9="x","x"," ")</f>
        <v xml:space="preserve"> </v>
      </c>
      <c r="M15" s="1326" t="s">
        <v>2588</v>
      </c>
      <c r="N15" s="472"/>
      <c r="O15" s="472"/>
      <c r="P15" s="472"/>
      <c r="Q15" s="472"/>
      <c r="R15" s="865" t="s">
        <v>1561</v>
      </c>
      <c r="T15" s="465"/>
      <c r="U15" s="465"/>
      <c r="V15" s="471"/>
      <c r="W15" s="470" t="s">
        <v>1562</v>
      </c>
      <c r="X15" s="465"/>
      <c r="Y15" s="402"/>
      <c r="Z15" s="399"/>
      <c r="AA15" s="399"/>
      <c r="AB15" s="470" t="s">
        <v>1554</v>
      </c>
      <c r="AC15" s="399"/>
      <c r="AD15" s="441" t="str">
        <f>MID('Input data'!$B$18,1,1)</f>
        <v>0</v>
      </c>
      <c r="AE15" s="441" t="str">
        <f>MID('Input data'!$B$18,2,1)</f>
        <v>4</v>
      </c>
      <c r="AF15" s="441"/>
      <c r="AG15" s="441" t="str">
        <f>MID('Input data'!$B$19,1,1)</f>
        <v>2</v>
      </c>
      <c r="AH15" s="441" t="str">
        <f>MID('Input data'!$B$19,2,1)</f>
        <v>0</v>
      </c>
      <c r="AI15" s="441" t="str">
        <f>MID('Input data'!$B$19,3,1)</f>
        <v>1</v>
      </c>
      <c r="AJ15" s="441" t="str">
        <f>MID('Input data'!$B$19,4,1)</f>
        <v>7</v>
      </c>
      <c r="AK15" s="398"/>
    </row>
    <row r="16" spans="1:37" s="462" customFormat="1" ht="19.5" customHeight="1" thickBot="1">
      <c r="A16" s="469" t="str">
        <f>LEFT('Input data'!$F$7,1)</f>
        <v>2</v>
      </c>
      <c r="B16" s="394" t="str">
        <f>MID('Input data'!$F$7,2,1)</f>
        <v>7</v>
      </c>
      <c r="C16" s="467" t="s">
        <v>1063</v>
      </c>
      <c r="D16" s="394" t="str">
        <f>MID('Input data'!$F$7,3,1)</f>
        <v>3</v>
      </c>
      <c r="E16" s="394" t="str">
        <f>MID('Input data'!$F$7,4,1)</f>
        <v>1</v>
      </c>
      <c r="F16" s="846" t="s">
        <v>1063</v>
      </c>
      <c r="G16" s="394" t="str">
        <f>MID('Input data'!$F$7,5,1)</f>
        <v>0</v>
      </c>
      <c r="H16" s="394"/>
      <c r="I16" s="394"/>
      <c r="J16" s="393"/>
      <c r="K16" s="394"/>
      <c r="L16" s="1036" t="str">
        <f>IF('Input data'!D10="x","x", "")</f>
        <v/>
      </c>
      <c r="M16" s="466"/>
      <c r="N16" s="1037"/>
      <c r="O16" s="1037"/>
      <c r="P16" s="394"/>
      <c r="Q16" s="394"/>
      <c r="R16" s="394"/>
      <c r="S16" s="394"/>
      <c r="T16" s="467"/>
      <c r="U16" s="467"/>
      <c r="V16" s="468"/>
      <c r="W16" s="466"/>
      <c r="X16" s="467"/>
      <c r="Y16" s="395"/>
      <c r="Z16" s="394"/>
      <c r="AA16" s="394"/>
      <c r="AB16" s="466" t="s">
        <v>1558</v>
      </c>
      <c r="AC16" s="394"/>
      <c r="AD16" s="439" t="str">
        <f>MID('Input data'!$B$21,1,1)</f>
        <v>0</v>
      </c>
      <c r="AE16" s="439" t="str">
        <f>MID('Input data'!$B$21,2,1)</f>
        <v>3</v>
      </c>
      <c r="AF16" s="439"/>
      <c r="AG16" s="439" t="str">
        <f>MID('Input data'!$B$22,1,1)</f>
        <v>2</v>
      </c>
      <c r="AH16" s="439" t="str">
        <f>MID('Input data'!$B$22,2,1)</f>
        <v>0</v>
      </c>
      <c r="AI16" s="439" t="str">
        <f>MID('Input data'!$B$22,3,1)</f>
        <v>1</v>
      </c>
      <c r="AJ16" s="439" t="str">
        <f>MID('Input data'!$B$22,4,1)</f>
        <v>8</v>
      </c>
      <c r="AK16" s="393"/>
    </row>
    <row r="17" spans="1:37" s="462" customFormat="1" ht="3.75" customHeight="1" thickBot="1">
      <c r="A17" s="465"/>
      <c r="B17" s="465"/>
      <c r="C17" s="465"/>
      <c r="D17" s="465"/>
      <c r="E17" s="465"/>
      <c r="F17" s="463"/>
      <c r="G17" s="465"/>
      <c r="H17" s="399"/>
      <c r="I17" s="399"/>
      <c r="J17" s="399"/>
      <c r="K17" s="399"/>
      <c r="L17" s="399"/>
      <c r="M17" s="399"/>
      <c r="N17" s="399"/>
      <c r="O17" s="399"/>
      <c r="P17" s="399"/>
      <c r="Q17" s="399"/>
      <c r="R17" s="399"/>
      <c r="S17" s="399"/>
      <c r="T17" s="465"/>
      <c r="U17" s="465"/>
      <c r="V17" s="399"/>
      <c r="W17" s="399"/>
      <c r="X17" s="399"/>
      <c r="Y17" s="399"/>
      <c r="Z17" s="399"/>
      <c r="AA17" s="399"/>
      <c r="AB17" s="399"/>
      <c r="AC17" s="399"/>
      <c r="AD17" s="399"/>
      <c r="AE17" s="399"/>
      <c r="AF17" s="399"/>
      <c r="AG17" s="399"/>
      <c r="AH17" s="399"/>
      <c r="AI17" s="399"/>
      <c r="AJ17" s="399"/>
      <c r="AK17" s="399"/>
    </row>
    <row r="18" spans="1:37" s="462" customFormat="1" ht="17.149999999999999" customHeight="1">
      <c r="A18" s="1331" t="s">
        <v>2592</v>
      </c>
      <c r="B18" s="1328"/>
      <c r="C18" s="1328"/>
      <c r="D18" s="1328"/>
      <c r="E18" s="1328"/>
      <c r="F18" s="1328"/>
      <c r="G18" s="1328"/>
      <c r="H18" s="1329"/>
      <c r="I18" s="1329"/>
      <c r="J18" s="1329"/>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37" s="462" customFormat="1" ht="17.149999999999999" customHeight="1">
      <c r="A19" s="1040"/>
      <c r="B19" s="478" t="str">
        <f>IF('Input data'!D12="x","x"," ")</f>
        <v>x</v>
      </c>
      <c r="C19" s="1326" t="s">
        <v>2593</v>
      </c>
      <c r="D19" s="1332"/>
      <c r="E19" s="1333"/>
      <c r="F19" s="1333"/>
      <c r="G19" s="1333"/>
      <c r="H19" s="399"/>
      <c r="I19" s="399"/>
      <c r="J19" s="399"/>
      <c r="K19" s="478" t="str">
        <f>IF('Input data'!D13="x","x"," ")</f>
        <v>x</v>
      </c>
      <c r="L19" s="1326" t="s">
        <v>2594</v>
      </c>
      <c r="M19" s="1334"/>
      <c r="N19" s="1334"/>
      <c r="O19" s="1334"/>
      <c r="P19" s="1334"/>
      <c r="Q19" s="1334"/>
      <c r="R19" s="1334"/>
      <c r="S19" s="1334"/>
      <c r="T19" s="1333"/>
      <c r="U19" s="1333"/>
      <c r="V19" s="1333"/>
      <c r="W19" s="1335" t="str">
        <f>IF('Input data'!D14="x","x"," ")</f>
        <v>x</v>
      </c>
      <c r="X19" s="1326" t="s">
        <v>2595</v>
      </c>
      <c r="Y19" s="1326"/>
      <c r="Z19" s="1334"/>
      <c r="AA19" s="1334"/>
      <c r="AB19" s="1334"/>
      <c r="AC19" s="1334"/>
      <c r="AD19" s="1334"/>
      <c r="AE19" s="1334"/>
      <c r="AF19" s="1334"/>
      <c r="AG19" s="1334"/>
      <c r="AH19" s="399"/>
      <c r="AI19" s="399"/>
      <c r="AJ19" s="399"/>
      <c r="AK19" s="398"/>
    </row>
    <row r="20" spans="1:37" s="462" customFormat="1" ht="17.149999999999999" customHeight="1" thickBot="1">
      <c r="A20" s="1041"/>
      <c r="B20" s="467"/>
      <c r="C20" s="1336" t="s">
        <v>2596</v>
      </c>
      <c r="D20" s="1337"/>
      <c r="E20" s="1337"/>
      <c r="F20" s="1337"/>
      <c r="G20" s="1337"/>
      <c r="H20" s="394"/>
      <c r="I20" s="394"/>
      <c r="J20" s="394"/>
      <c r="K20" s="394"/>
      <c r="L20" s="1336" t="s">
        <v>2596</v>
      </c>
      <c r="M20" s="1338"/>
      <c r="N20" s="1338"/>
      <c r="O20" s="1338"/>
      <c r="P20" s="1338"/>
      <c r="Q20" s="394"/>
      <c r="R20" s="394"/>
      <c r="S20" s="394"/>
      <c r="T20" s="467"/>
      <c r="U20" s="467"/>
      <c r="V20" s="467"/>
      <c r="W20" s="394"/>
      <c r="X20" s="1336" t="s">
        <v>2597</v>
      </c>
      <c r="Y20" s="1336"/>
      <c r="Z20" s="1338"/>
      <c r="AA20" s="1338"/>
      <c r="AB20" s="1338"/>
      <c r="AC20" s="1338"/>
      <c r="AD20" s="1338"/>
      <c r="AE20" s="1338"/>
      <c r="AF20" s="1338"/>
      <c r="AG20" s="1338"/>
      <c r="AH20" s="1338"/>
      <c r="AI20" s="394"/>
      <c r="AJ20" s="394"/>
      <c r="AK20" s="393"/>
    </row>
    <row r="21" spans="1:37" s="462" customFormat="1" ht="3.75" customHeight="1" thickBot="1">
      <c r="H21" s="392"/>
      <c r="I21" s="392"/>
      <c r="J21" s="392"/>
      <c r="K21" s="392"/>
      <c r="L21" s="392"/>
      <c r="M21" s="392"/>
      <c r="N21" s="392"/>
      <c r="O21" s="392"/>
      <c r="P21" s="392"/>
      <c r="Q21" s="392"/>
      <c r="R21" s="392"/>
      <c r="S21" s="392"/>
      <c r="W21" s="392"/>
      <c r="X21" s="392"/>
      <c r="Y21" s="392"/>
      <c r="Z21" s="392"/>
      <c r="AA21" s="392"/>
      <c r="AB21" s="392"/>
      <c r="AC21" s="392"/>
      <c r="AD21" s="392"/>
      <c r="AE21" s="392"/>
      <c r="AF21" s="392"/>
      <c r="AG21" s="392"/>
      <c r="AH21" s="392"/>
      <c r="AI21" s="392"/>
      <c r="AJ21" s="392"/>
      <c r="AK21" s="392"/>
    </row>
    <row r="22" spans="1:37" s="462" customFormat="1" ht="15.5">
      <c r="A22" s="464" t="s">
        <v>1563</v>
      </c>
      <c r="B22" s="463"/>
      <c r="C22" s="463"/>
      <c r="D22" s="463"/>
      <c r="E22" s="463"/>
      <c r="F22" s="463"/>
      <c r="G22" s="463"/>
      <c r="H22" s="407"/>
      <c r="I22" s="407"/>
      <c r="J22" s="407"/>
      <c r="K22" s="407"/>
      <c r="L22" s="407"/>
      <c r="M22" s="407"/>
      <c r="N22" s="407"/>
      <c r="O22" s="407"/>
      <c r="P22" s="407"/>
      <c r="Q22" s="407"/>
      <c r="R22" s="407"/>
      <c r="S22" s="407"/>
      <c r="T22" s="463"/>
      <c r="U22" s="463"/>
      <c r="V22" s="463"/>
      <c r="W22" s="407"/>
      <c r="X22" s="407"/>
      <c r="Y22" s="407"/>
      <c r="Z22" s="407"/>
      <c r="AA22" s="407"/>
      <c r="AB22" s="407"/>
      <c r="AC22" s="407"/>
      <c r="AD22" s="407"/>
      <c r="AE22" s="407"/>
      <c r="AF22" s="407"/>
      <c r="AG22" s="407"/>
      <c r="AH22" s="407"/>
      <c r="AI22" s="407"/>
      <c r="AJ22" s="407"/>
      <c r="AK22" s="406"/>
    </row>
    <row r="23" spans="1:37" s="462" customFormat="1" ht="19.5" customHeight="1">
      <c r="A23" s="449" t="str">
        <f>+LEFT('Input data'!$F$3,1)</f>
        <v>F</v>
      </c>
      <c r="B23" s="441" t="str">
        <f>+MID('Input data'!$F$3,2,1)</f>
        <v>o</v>
      </c>
      <c r="C23" s="441" t="str">
        <f>+MID('Input data'!$F$3,3,1)</f>
        <v>s</v>
      </c>
      <c r="D23" s="441" t="str">
        <f>+MID('Input data'!$F$3,4,1)</f>
        <v>s</v>
      </c>
      <c r="E23" s="441" t="str">
        <f>+MID('Input data'!$F$3,5,1)</f>
        <v xml:space="preserve"> </v>
      </c>
      <c r="F23" s="441" t="str">
        <f>+MID('Input data'!$F$3,6,1)</f>
        <v>F</v>
      </c>
      <c r="G23" s="441" t="str">
        <f>+MID('Input data'!$F$3,7,1)</f>
        <v>i</v>
      </c>
      <c r="H23" s="441" t="str">
        <f>+MID('Input data'!$F$3,8,1)</f>
        <v>b</v>
      </c>
      <c r="I23" s="441" t="str">
        <f>+MID('Input data'!$F$3,9,1)</f>
        <v>r</v>
      </c>
      <c r="J23" s="441" t="str">
        <f>+MID('Input data'!$F$3,10,1)</f>
        <v>e</v>
      </c>
      <c r="K23" s="441" t="str">
        <f>+MID('Input data'!$F$3,11,1)</f>
        <v xml:space="preserve"> </v>
      </c>
      <c r="L23" s="441" t="str">
        <f>+MID('Input data'!$F$3,12,1)</f>
        <v>O</v>
      </c>
      <c r="M23" s="441" t="str">
        <f>+MID('Input data'!$F$3,13,1)</f>
        <v>p</v>
      </c>
      <c r="N23" s="441" t="str">
        <f>+MID('Input data'!$F$3,14,1)</f>
        <v>t</v>
      </c>
      <c r="O23" s="441" t="str">
        <f>+MID('Input data'!$F$3,15,1)</f>
        <v>i</v>
      </c>
      <c r="P23" s="441" t="str">
        <f>+MID('Input data'!$F$3,16,1)</f>
        <v>c</v>
      </c>
      <c r="Q23" s="441" t="str">
        <f>+MID('Input data'!$F$3,17,1)</f>
        <v>s</v>
      </c>
      <c r="R23" s="441" t="str">
        <f>+MID('Input data'!$F$3,18,1)</f>
        <v>,</v>
      </c>
      <c r="S23" s="441" t="str">
        <f>+MID('Input data'!$F$3,19,1)</f>
        <v xml:space="preserve"> </v>
      </c>
      <c r="T23" s="441" t="str">
        <f>+MID('Input data'!$F$3,20,1)</f>
        <v>s</v>
      </c>
      <c r="U23" s="441" t="str">
        <f>+MID('Input data'!$F$3,21,1)</f>
        <v>.</v>
      </c>
      <c r="V23" s="441" t="str">
        <f>+MID('Input data'!$F$3,22,1)</f>
        <v>r</v>
      </c>
      <c r="W23" s="441" t="str">
        <f>+MID('Input data'!$F$3,23,1)</f>
        <v>.</v>
      </c>
      <c r="X23" s="441" t="str">
        <f>+MID('Input data'!$F$3,24,1)</f>
        <v>o</v>
      </c>
      <c r="Y23" s="441" t="str">
        <f>+MID('Input data'!$F$3,25,1)</f>
        <v>.</v>
      </c>
      <c r="Z23" s="441" t="str">
        <f>+MID('Input data'!$F$3,26,1)</f>
        <v xml:space="preserve"> </v>
      </c>
      <c r="AA23" s="441" t="str">
        <f>+MID('Input data'!$F$3,27,1)</f>
        <v xml:space="preserve">
</v>
      </c>
      <c r="AB23" s="441" t="str">
        <f>+MID('Input data'!$F$3,28,1)</f>
        <v/>
      </c>
      <c r="AC23" s="441" t="str">
        <f>+MID('Input data'!$F$3,29,1)</f>
        <v/>
      </c>
      <c r="AD23" s="441" t="str">
        <f>+MID('Input data'!$F$3,30,1)</f>
        <v/>
      </c>
      <c r="AE23" s="441" t="str">
        <f>+MID('Input data'!$F$3,31,1)</f>
        <v/>
      </c>
      <c r="AF23" s="441" t="str">
        <f>+MID('Input data'!$F$3,32,1)</f>
        <v/>
      </c>
      <c r="AG23" s="441" t="str">
        <f>+MID('Input data'!$F$3,33,1)</f>
        <v/>
      </c>
      <c r="AH23" s="441" t="str">
        <f>+MID('Input data'!$F$3,34,1)</f>
        <v/>
      </c>
      <c r="AI23" s="441" t="str">
        <f>+MID('Input data'!$F$3,35,1)</f>
        <v/>
      </c>
      <c r="AJ23" s="441" t="str">
        <f>+MID('Input data'!$F$3,36,1)</f>
        <v/>
      </c>
      <c r="AK23" s="448" t="str">
        <f>+MID('Input data'!$F$3,37,1)</f>
        <v/>
      </c>
    </row>
    <row r="24" spans="1:37" ht="19.5" customHeight="1">
      <c r="A24" s="449" t="str">
        <f>+MID('Input data'!$F$3,38,1)</f>
        <v/>
      </c>
      <c r="B24" s="441" t="str">
        <f>+MID('Input data'!$F$3,39,1)</f>
        <v/>
      </c>
      <c r="C24" s="441" t="str">
        <f>+MID('Input data'!$F$3,40,1)</f>
        <v/>
      </c>
      <c r="D24" s="441" t="str">
        <f>+MID('Input data'!$F$3,41,1)</f>
        <v/>
      </c>
      <c r="E24" s="441" t="str">
        <f>+MID('Input data'!$F$3,42,1)</f>
        <v/>
      </c>
      <c r="F24" s="441" t="str">
        <f>+MID('Input data'!$F$3,43,1)</f>
        <v/>
      </c>
      <c r="G24" s="441" t="str">
        <f>+MID('Input data'!$F$3,44,1)</f>
        <v/>
      </c>
      <c r="H24" s="441" t="str">
        <f>+MID('Input data'!$F$3,45,1)</f>
        <v/>
      </c>
      <c r="I24" s="441" t="str">
        <f>+MID('Input data'!$F$3,46,1)</f>
        <v/>
      </c>
      <c r="J24" s="441" t="str">
        <f>+MID('Input data'!$F$3,47,1)</f>
        <v/>
      </c>
      <c r="K24" s="441" t="str">
        <f>+MID('Input data'!$F$3,48,1)</f>
        <v/>
      </c>
      <c r="L24" s="441" t="str">
        <f>+MID('Input data'!$F$3,49,1)</f>
        <v/>
      </c>
      <c r="M24" s="441" t="str">
        <f>+MID('Input data'!$F$3,50,1)</f>
        <v/>
      </c>
      <c r="N24" s="441" t="str">
        <f>+MID('Input data'!$F$3,51,1)</f>
        <v/>
      </c>
      <c r="O24" s="441" t="str">
        <f>+MID('Input data'!$F$3,52,1)</f>
        <v/>
      </c>
      <c r="P24" s="441" t="str">
        <f>+MID('Input data'!$F$3,53,1)</f>
        <v/>
      </c>
      <c r="Q24" s="441" t="str">
        <f>+MID('Input data'!$F$3,54,1)</f>
        <v/>
      </c>
      <c r="R24" s="441" t="str">
        <f>+MID('Input data'!$F$3,55,1)</f>
        <v/>
      </c>
      <c r="S24" s="441" t="str">
        <f>+MID('Input data'!$F$3,56,1)</f>
        <v/>
      </c>
      <c r="T24" s="441" t="str">
        <f>+MID('Input data'!$F$3,57,1)</f>
        <v/>
      </c>
      <c r="U24" s="441" t="str">
        <f>+MID('Input data'!$F$3,58,1)</f>
        <v/>
      </c>
      <c r="V24" s="441" t="str">
        <f>+MID('Input data'!$F$3,59,1)</f>
        <v/>
      </c>
      <c r="W24" s="441" t="str">
        <f>+MID('Input data'!$F$3,60,1)</f>
        <v/>
      </c>
      <c r="X24" s="441" t="str">
        <f>+MID('Input data'!$F$3,61,1)</f>
        <v/>
      </c>
      <c r="Y24" s="441" t="str">
        <f>+MID('Input data'!$F$3,62,1)</f>
        <v/>
      </c>
      <c r="Z24" s="441" t="str">
        <f>+MID('Input data'!$F$3,63,1)</f>
        <v/>
      </c>
      <c r="AA24" s="441" t="str">
        <f>+MID('Input data'!$F$3,64,1)</f>
        <v/>
      </c>
      <c r="AB24" s="441" t="str">
        <f>+MID('Input data'!$F$3,65,1)</f>
        <v/>
      </c>
      <c r="AC24" s="441" t="str">
        <f>+MID('Input data'!$F$3,66,1)</f>
        <v/>
      </c>
      <c r="AD24" s="441" t="str">
        <f>+MID('Input data'!$F$3,67,1)</f>
        <v/>
      </c>
      <c r="AE24" s="441" t="str">
        <f>+MID('Input data'!$F$3,68,1)</f>
        <v/>
      </c>
      <c r="AF24" s="441" t="str">
        <f>+MID('Input data'!$F$3,69,1)</f>
        <v/>
      </c>
      <c r="AG24" s="441" t="str">
        <f>+MID('Input data'!$F$3,70,1)</f>
        <v/>
      </c>
      <c r="AH24" s="441" t="str">
        <f>+MID('Input data'!$F$3,71,1)</f>
        <v/>
      </c>
      <c r="AI24" s="441" t="str">
        <f>+MID('Input data'!$F$3,72,1)</f>
        <v/>
      </c>
      <c r="AJ24" s="441" t="str">
        <f>+MID('Input data'!$F$3,73,1)</f>
        <v/>
      </c>
      <c r="AK24" s="448" t="str">
        <f>+MID('Input data'!$F$3,74,1)</f>
        <v/>
      </c>
    </row>
    <row r="25" spans="1:37" ht="14.25" customHeight="1">
      <c r="A25" s="461"/>
      <c r="B25" s="460"/>
      <c r="C25" s="460"/>
      <c r="D25" s="460"/>
      <c r="E25" s="460"/>
      <c r="F25" s="460"/>
      <c r="G25" s="460"/>
      <c r="H25" s="460"/>
      <c r="I25" s="460"/>
      <c r="J25" s="460"/>
      <c r="K25" s="460"/>
      <c r="L25" s="460"/>
      <c r="M25" s="460"/>
      <c r="N25" s="460"/>
      <c r="O25" s="460"/>
      <c r="P25" s="460"/>
      <c r="Q25" s="460"/>
      <c r="R25" s="460"/>
      <c r="S25" s="460"/>
      <c r="T25" s="460"/>
      <c r="U25" s="460"/>
      <c r="V25" s="460"/>
      <c r="W25" s="459"/>
      <c r="X25" s="459"/>
      <c r="Y25" s="459"/>
      <c r="Z25" s="459"/>
      <c r="AA25" s="459"/>
      <c r="AB25" s="459"/>
      <c r="AC25" s="459"/>
      <c r="AD25" s="459"/>
      <c r="AE25" s="459"/>
      <c r="AF25" s="459"/>
      <c r="AG25" s="459"/>
      <c r="AH25" s="459"/>
      <c r="AI25" s="459"/>
      <c r="AJ25" s="459"/>
      <c r="AK25" s="458"/>
    </row>
    <row r="26" spans="1:37" ht="19.5" hidden="1" customHeight="1">
      <c r="A26" s="457"/>
      <c r="B26" s="456"/>
      <c r="C26" s="456"/>
      <c r="D26" s="456"/>
      <c r="E26" s="456"/>
      <c r="F26" s="456"/>
      <c r="G26" s="456" t="e">
        <f>+MID('Input data'!#REF!,7,1)</f>
        <v>#REF!</v>
      </c>
      <c r="H26" s="456" t="e">
        <f>+MID('Input data'!#REF!,8,1)</f>
        <v>#REF!</v>
      </c>
      <c r="I26" s="456" t="e">
        <f>+MID('Input data'!#REF!,9,1)</f>
        <v>#REF!</v>
      </c>
      <c r="J26" s="456" t="e">
        <f>+MID('Input data'!#REF!,10,1)</f>
        <v>#REF!</v>
      </c>
      <c r="K26" s="456" t="e">
        <f>+MID('Input data'!#REF!,11,1)</f>
        <v>#REF!</v>
      </c>
      <c r="L26" s="456" t="e">
        <f>+MID('Input data'!#REF!,12,1)</f>
        <v>#REF!</v>
      </c>
      <c r="M26" s="456" t="e">
        <f>+MID('Input data'!#REF!,13,1)</f>
        <v>#REF!</v>
      </c>
      <c r="N26" s="456" t="e">
        <f>+MID('Input data'!#REF!,14,1)</f>
        <v>#REF!</v>
      </c>
      <c r="O26" s="456" t="e">
        <f>+MID('Input data'!#REF!,15,1)</f>
        <v>#REF!</v>
      </c>
      <c r="P26" s="456" t="e">
        <f>+MID('Input data'!#REF!,16,1)</f>
        <v>#REF!</v>
      </c>
      <c r="Q26" s="456" t="e">
        <f>+MID('Input data'!#REF!,17,1)</f>
        <v>#REF!</v>
      </c>
      <c r="R26" s="456" t="e">
        <f>+MID('Input data'!#REF!,18,1)</f>
        <v>#REF!</v>
      </c>
      <c r="S26" s="456" t="e">
        <f>+MID('Input data'!#REF!,19,1)</f>
        <v>#REF!</v>
      </c>
      <c r="T26" s="456" t="e">
        <f>+MID('Input data'!#REF!,20,1)</f>
        <v>#REF!</v>
      </c>
      <c r="U26" s="456" t="e">
        <f>+MID('Input data'!#REF!,21,1)</f>
        <v>#REF!</v>
      </c>
      <c r="V26" s="456" t="e">
        <f>+MID('Input data'!#REF!,22,1)</f>
        <v>#REF!</v>
      </c>
      <c r="W26" s="456" t="e">
        <f>+MID('Input data'!#REF!,23,1)</f>
        <v>#REF!</v>
      </c>
      <c r="X26" s="456" t="e">
        <f>+MID('Input data'!#REF!,24,1)</f>
        <v>#REF!</v>
      </c>
      <c r="Y26" s="456" t="e">
        <f>+MID('Input data'!#REF!,25,1)</f>
        <v>#REF!</v>
      </c>
      <c r="Z26" s="456" t="e">
        <f>+MID('Input data'!#REF!,26,1)</f>
        <v>#REF!</v>
      </c>
      <c r="AA26" s="456" t="e">
        <f>+MID('Input data'!#REF!,27,1)</f>
        <v>#REF!</v>
      </c>
      <c r="AB26" s="456" t="e">
        <f>+MID('Input data'!#REF!,28,1)</f>
        <v>#REF!</v>
      </c>
      <c r="AC26" s="456" t="e">
        <f>+MID('Input data'!#REF!,29,1)</f>
        <v>#REF!</v>
      </c>
      <c r="AD26" s="456" t="e">
        <f>+MID('Input data'!#REF!,30,1)</f>
        <v>#REF!</v>
      </c>
      <c r="AE26" s="456" t="e">
        <f>+MID('Input data'!#REF!,31,1)</f>
        <v>#REF!</v>
      </c>
      <c r="AF26" s="456" t="e">
        <f>+MID('Input data'!#REF!,32,1)</f>
        <v>#REF!</v>
      </c>
      <c r="AG26" s="456" t="e">
        <f>+MID('Input data'!#REF!,33,1)</f>
        <v>#REF!</v>
      </c>
      <c r="AH26" s="456" t="e">
        <f>+MID('Input data'!#REF!,34,1)</f>
        <v>#REF!</v>
      </c>
      <c r="AI26" s="456" t="e">
        <f>+MID('Input data'!#REF!,35,1)</f>
        <v>#REF!</v>
      </c>
      <c r="AJ26" s="456" t="e">
        <f>+MID('Input data'!#REF!,36,1)</f>
        <v>#REF!</v>
      </c>
      <c r="AK26" s="455" t="e">
        <f>+MID('Input data'!#REF!,37,1)</f>
        <v>#REF!</v>
      </c>
    </row>
    <row r="27" spans="1:37" s="450" customFormat="1" ht="12" customHeight="1">
      <c r="A27" s="868" t="s">
        <v>1564</v>
      </c>
      <c r="B27" s="868"/>
      <c r="C27" s="453"/>
      <c r="D27" s="453"/>
      <c r="E27" s="453"/>
      <c r="F27" s="453"/>
      <c r="G27" s="453"/>
      <c r="H27" s="453"/>
      <c r="I27" s="453"/>
      <c r="J27" s="453"/>
      <c r="K27" s="453"/>
      <c r="L27" s="453"/>
      <c r="M27" s="453"/>
      <c r="N27" s="453"/>
      <c r="O27" s="453"/>
      <c r="P27" s="453"/>
      <c r="Q27" s="453"/>
      <c r="R27" s="453"/>
      <c r="S27" s="453"/>
      <c r="T27" s="453"/>
      <c r="U27" s="453"/>
      <c r="V27" s="453"/>
      <c r="W27" s="452"/>
      <c r="X27" s="452"/>
      <c r="Y27" s="452"/>
      <c r="Z27" s="452"/>
      <c r="AA27" s="452"/>
      <c r="AB27" s="452"/>
      <c r="AC27" s="452"/>
      <c r="AD27" s="452"/>
      <c r="AE27" s="452"/>
      <c r="AF27" s="452"/>
      <c r="AG27" s="452"/>
      <c r="AH27" s="452"/>
      <c r="AI27" s="452"/>
      <c r="AJ27" s="452"/>
      <c r="AK27" s="451"/>
    </row>
    <row r="28" spans="1:37" ht="13">
      <c r="A28" s="446" t="s">
        <v>1565</v>
      </c>
      <c r="B28" s="1320"/>
      <c r="C28" s="1320"/>
      <c r="D28" s="1320"/>
      <c r="E28" s="1320"/>
      <c r="F28" s="1320"/>
      <c r="G28" s="1320"/>
      <c r="H28" s="1320"/>
      <c r="I28" s="1320"/>
      <c r="J28" s="1320"/>
      <c r="K28" s="1320"/>
      <c r="L28" s="1320"/>
      <c r="M28" s="1320"/>
      <c r="N28" s="1320"/>
      <c r="O28" s="1320"/>
      <c r="P28" s="1320"/>
      <c r="Q28" s="1320"/>
      <c r="R28" s="1320"/>
      <c r="S28" s="1320"/>
      <c r="T28" s="1320"/>
      <c r="U28" s="1320"/>
      <c r="V28" s="1320"/>
      <c r="W28" s="399"/>
      <c r="X28" s="399"/>
      <c r="Y28" s="399"/>
      <c r="Z28" s="399"/>
      <c r="AA28" s="399"/>
      <c r="AB28" s="1320"/>
      <c r="AC28" s="399"/>
      <c r="AD28" s="402" t="s">
        <v>1566</v>
      </c>
      <c r="AE28" s="399"/>
      <c r="AF28" s="399"/>
      <c r="AG28" s="399"/>
      <c r="AH28" s="399"/>
      <c r="AI28" s="399"/>
      <c r="AJ28" s="399"/>
      <c r="AK28" s="398"/>
    </row>
    <row r="29" spans="1:37" ht="19.5" customHeight="1">
      <c r="A29" s="449" t="str">
        <f>+LEFT('Input data'!$C$28,1)</f>
        <v>O</v>
      </c>
      <c r="B29" s="441" t="str">
        <f>+MID('Input data'!$C$28,2,1)</f>
        <v>d</v>
      </c>
      <c r="C29" s="441" t="str">
        <f>+MID('Input data'!$C$28,3,1)</f>
        <v>b</v>
      </c>
      <c r="D29" s="441" t="str">
        <f>+MID('Input data'!$C$28,4,1)</f>
        <v>o</v>
      </c>
      <c r="E29" s="441" t="str">
        <f>+MID('Input data'!$C$28,5,1)</f>
        <v>r</v>
      </c>
      <c r="F29" s="441" t="str">
        <f>+MID('Input data'!$C$28,6,1)</f>
        <v>á</v>
      </c>
      <c r="G29" s="441" t="str">
        <f>+MID('Input data'!$C$28,7,1)</f>
        <v>r</v>
      </c>
      <c r="H29" s="441" t="str">
        <f>+MID('Input data'!$C$28,8,1)</f>
        <v>s</v>
      </c>
      <c r="I29" s="441" t="str">
        <f>+MID('Input data'!$C$28,9,1)</f>
        <v>k</v>
      </c>
      <c r="J29" s="441" t="str">
        <f>+MID('Input data'!$C$28,10,1)</f>
        <v>a</v>
      </c>
      <c r="K29" s="441" t="str">
        <f>+MID('Input data'!$C$28,11,1)</f>
        <v/>
      </c>
      <c r="L29" s="441" t="str">
        <f>+MID('Input data'!$C$28,12,1)</f>
        <v/>
      </c>
      <c r="M29" s="441" t="str">
        <f>+MID('Input data'!$C$28,13,1)</f>
        <v/>
      </c>
      <c r="N29" s="441" t="str">
        <f>+MID('Input data'!$C$28,14,1)</f>
        <v/>
      </c>
      <c r="O29" s="441" t="str">
        <f>+MID('Input data'!$C$28,15,1)</f>
        <v/>
      </c>
      <c r="P29" s="441" t="str">
        <f>+MID('Input data'!$C$28,16,1)</f>
        <v/>
      </c>
      <c r="Q29" s="441" t="str">
        <f>+MID('Input data'!$C$28,17,1)</f>
        <v/>
      </c>
      <c r="R29" s="441" t="str">
        <f>+MID('Input data'!$C$28,18,1)</f>
        <v/>
      </c>
      <c r="S29" s="441" t="str">
        <f>+MID('Input data'!$C$28,19,1)</f>
        <v/>
      </c>
      <c r="T29" s="441" t="str">
        <f>+MID('Input data'!$C$28,20,1)</f>
        <v/>
      </c>
      <c r="U29" s="441" t="str">
        <f>+MID('Input data'!$C$28,21,1)</f>
        <v/>
      </c>
      <c r="V29" s="441" t="str">
        <f>+MID('Input data'!$C$28,22,1)</f>
        <v/>
      </c>
      <c r="W29" s="441" t="str">
        <f>+MID('Input data'!$C$28,23,1)</f>
        <v/>
      </c>
      <c r="X29" s="441" t="str">
        <f>+MID('Input data'!$C$28,24,1)</f>
        <v/>
      </c>
      <c r="Y29" s="441" t="str">
        <f>+MID('Input data'!$C$28,25,1)</f>
        <v/>
      </c>
      <c r="Z29" s="441" t="str">
        <f>+MID('Input data'!$C$28,26,1)</f>
        <v/>
      </c>
      <c r="AA29" s="441" t="str">
        <f>+MID('Input data'!$C$28,27,1)</f>
        <v/>
      </c>
      <c r="AB29" s="441" t="str">
        <f>+MID('Input data'!$C$28,28,1)</f>
        <v/>
      </c>
      <c r="AC29" s="443"/>
      <c r="AD29" s="441" t="str">
        <f>+LEFT('Input data'!$C$30,1)</f>
        <v>5</v>
      </c>
      <c r="AE29" s="441" t="str">
        <f>+MID('Input data'!$C$30,2,1)</f>
        <v>2</v>
      </c>
      <c r="AF29" s="441" t="str">
        <f>+MID('Input data'!$C$30,3,1)</f>
        <v/>
      </c>
      <c r="AG29" s="441" t="str">
        <f>+MID('Input data'!$C$30,4,1)</f>
        <v/>
      </c>
      <c r="AH29" s="441" t="str">
        <f>+MID('Input data'!$C$30,5,1)</f>
        <v/>
      </c>
      <c r="AI29" s="441" t="str">
        <f>+MID('Input data'!$C$30,6,1)</f>
        <v/>
      </c>
      <c r="AJ29" s="441" t="str">
        <f>+MID('Input data'!$C$30,7,1)</f>
        <v/>
      </c>
      <c r="AK29" s="448" t="str">
        <f>+MID('Input data'!$C$30,8,1)</f>
        <v/>
      </c>
    </row>
    <row r="30" spans="1:37" ht="13">
      <c r="A30" s="446" t="s">
        <v>1567</v>
      </c>
      <c r="B30" s="1320"/>
      <c r="C30" s="1320"/>
      <c r="D30" s="1320"/>
      <c r="E30" s="1320"/>
      <c r="F30" s="1320"/>
      <c r="G30" s="445" t="s">
        <v>1568</v>
      </c>
      <c r="H30" s="445"/>
      <c r="I30" s="445"/>
      <c r="J30" s="445"/>
      <c r="K30" s="445"/>
      <c r="L30" s="445"/>
      <c r="M30" s="445"/>
      <c r="N30" s="445"/>
      <c r="O30" s="445"/>
      <c r="P30" s="445"/>
      <c r="Q30" s="445"/>
      <c r="R30" s="445"/>
      <c r="S30" s="445"/>
      <c r="T30" s="445"/>
      <c r="U30" s="445"/>
      <c r="V30" s="445"/>
      <c r="W30" s="445"/>
      <c r="X30" s="445"/>
      <c r="Y30" s="445"/>
      <c r="Z30" s="445"/>
      <c r="AA30" s="445"/>
      <c r="AB30" s="445"/>
      <c r="AC30" s="445"/>
      <c r="AD30" s="445"/>
      <c r="AE30" s="399"/>
      <c r="AF30" s="399"/>
      <c r="AG30" s="399"/>
      <c r="AH30" s="399"/>
      <c r="AI30" s="399"/>
      <c r="AJ30" s="399"/>
      <c r="AK30" s="398"/>
    </row>
    <row r="31" spans="1:37" s="447" customFormat="1" ht="19.5" customHeight="1">
      <c r="A31" s="449" t="str">
        <f>+LEFT('Input data'!$C$32,1)</f>
        <v>8</v>
      </c>
      <c r="B31" s="441" t="str">
        <f>+MID('Input data'!$C$32,2,1)</f>
        <v>3</v>
      </c>
      <c r="C31" s="441" t="str">
        <f>+MID('Input data'!$C$32,3,1)</f>
        <v>1</v>
      </c>
      <c r="D31" s="441" t="str">
        <f>+MID('Input data'!$C$32,4,1)</f>
        <v xml:space="preserve"> </v>
      </c>
      <c r="E31" s="441" t="str">
        <f>+MID('Input data'!$C$32,5,1)</f>
        <v>0</v>
      </c>
      <c r="F31" s="441"/>
      <c r="G31" s="441" t="str">
        <f>+LEFT('Input data'!$C$34,1)</f>
        <v>B</v>
      </c>
      <c r="H31" s="441" t="str">
        <f>+MID('Input data'!$C$34,2,1)</f>
        <v>r</v>
      </c>
      <c r="I31" s="441" t="str">
        <f>+MID('Input data'!$C$34,3,1)</f>
        <v>a</v>
      </c>
      <c r="J31" s="441" t="str">
        <f>+MID('Input data'!$C$34,4,1)</f>
        <v>t</v>
      </c>
      <c r="K31" s="441" t="str">
        <f>+MID('Input data'!$C$34,5,1)</f>
        <v>i</v>
      </c>
      <c r="L31" s="441" t="str">
        <f>+MID('Input data'!$C$34,6,1)</f>
        <v>s</v>
      </c>
      <c r="M31" s="441" t="str">
        <f>+MID('Input data'!$C$34,7,1)</f>
        <v>l</v>
      </c>
      <c r="N31" s="441" t="str">
        <f>+MID('Input data'!$C$34,8,1)</f>
        <v>a</v>
      </c>
      <c r="O31" s="441" t="str">
        <f>+MID('Input data'!$C$34,9,1)</f>
        <v>v</v>
      </c>
      <c r="P31" s="441" t="str">
        <f>+MID('Input data'!$C$34,10,1)</f>
        <v>a</v>
      </c>
      <c r="Q31" s="441" t="str">
        <f>+MID('Input data'!$C$34,11,1)</f>
        <v xml:space="preserve"> </v>
      </c>
      <c r="R31" s="441" t="str">
        <f>+MID('Input data'!$C$34,12,1)</f>
        <v/>
      </c>
      <c r="S31" s="441" t="str">
        <f>+MID('Input data'!$C$34,13,1)</f>
        <v/>
      </c>
      <c r="T31" s="441" t="str">
        <f>+MID('Input data'!$C$34,14,1)</f>
        <v/>
      </c>
      <c r="U31" s="441" t="str">
        <f>+MID('Input data'!$C$34,15,1)</f>
        <v/>
      </c>
      <c r="V31" s="441" t="str">
        <f>+MID('Input data'!$C$34,16,1)</f>
        <v/>
      </c>
      <c r="W31" s="441" t="str">
        <f>+MID('Input data'!$C$34,17,1)</f>
        <v/>
      </c>
      <c r="X31" s="441" t="str">
        <f>+MID('Input data'!$C$34,18,1)</f>
        <v/>
      </c>
      <c r="Y31" s="441" t="str">
        <f>+MID('Input data'!$C$34,19,1)</f>
        <v/>
      </c>
      <c r="Z31" s="441" t="str">
        <f>+MID('Input data'!$C$34,20,1)</f>
        <v/>
      </c>
      <c r="AA31" s="441" t="str">
        <f>+MID('Input data'!$C$34,21,1)</f>
        <v/>
      </c>
      <c r="AB31" s="441" t="str">
        <f>+MID('Input data'!$C$34,22,1)</f>
        <v/>
      </c>
      <c r="AC31" s="441" t="str">
        <f>+MID('Input data'!$C$34,23,1)</f>
        <v/>
      </c>
      <c r="AD31" s="441" t="str">
        <f>+MID('Input data'!$C$34,24,1)</f>
        <v/>
      </c>
      <c r="AE31" s="441" t="str">
        <f>+MID('Input data'!$C$34,25,1)</f>
        <v/>
      </c>
      <c r="AF31" s="441" t="str">
        <f>+MID('Input data'!$C$34,26,1)</f>
        <v/>
      </c>
      <c r="AG31" s="441" t="str">
        <f>+MID('Input data'!$C$34,27,1)</f>
        <v/>
      </c>
      <c r="AH31" s="441" t="str">
        <f>+MID('Input data'!$C$34,28,1)</f>
        <v/>
      </c>
      <c r="AI31" s="441" t="str">
        <f>+MID('Input data'!$C$34,29,1)</f>
        <v/>
      </c>
      <c r="AJ31" s="441" t="str">
        <f>+MID('Input data'!$C$34,30,1)</f>
        <v/>
      </c>
      <c r="AK31" s="448" t="str">
        <f>+MID('Input data'!$C$34,31,1)</f>
        <v/>
      </c>
    </row>
    <row r="32" spans="1:37" s="447" customFormat="1" ht="13" customHeight="1">
      <c r="A32" s="1339" t="s">
        <v>2598</v>
      </c>
      <c r="B32" s="1340"/>
      <c r="C32" s="1340"/>
      <c r="D32" s="1340"/>
      <c r="E32" s="1340"/>
      <c r="F32" s="1340"/>
      <c r="G32" s="1340"/>
      <c r="H32" s="1340"/>
      <c r="I32" s="1340"/>
      <c r="J32" s="1340"/>
      <c r="K32" s="1340"/>
      <c r="L32" s="1340"/>
      <c r="M32" s="1340"/>
      <c r="N32" s="1340"/>
      <c r="O32" s="1340"/>
      <c r="P32" s="1340"/>
      <c r="Q32" s="1340"/>
      <c r="R32" s="1340"/>
      <c r="S32" s="1340"/>
      <c r="T32" s="441"/>
      <c r="U32" s="441"/>
      <c r="V32" s="441"/>
      <c r="W32" s="441"/>
      <c r="X32" s="441"/>
      <c r="Y32" s="441"/>
      <c r="Z32" s="441"/>
      <c r="AA32" s="441"/>
      <c r="AB32" s="441"/>
      <c r="AC32" s="441"/>
      <c r="AD32" s="441"/>
      <c r="AE32" s="441"/>
      <c r="AF32" s="441"/>
      <c r="AG32" s="441"/>
      <c r="AH32" s="441"/>
      <c r="AI32" s="441"/>
      <c r="AJ32" s="441"/>
      <c r="AK32" s="448"/>
    </row>
    <row r="33" spans="1:38" s="447" customFormat="1" ht="19.5" customHeight="1">
      <c r="A33" s="449" t="str">
        <f>+LEFT('Input data'!$F$22,1)</f>
        <v>O</v>
      </c>
      <c r="B33" s="441" t="str">
        <f>+MID('Input data'!$F$22,2,1)</f>
        <v>k</v>
      </c>
      <c r="C33" s="441" t="str">
        <f>+MID('Input data'!$F$22,3,1)</f>
        <v>r</v>
      </c>
      <c r="D33" s="441" t="str">
        <f>+MID('Input data'!$F$22,4,1)</f>
        <v>e</v>
      </c>
      <c r="E33" s="441" t="str">
        <f>+MID('Input data'!$F$22,5,1)</f>
        <v>s</v>
      </c>
      <c r="F33" s="441" t="str">
        <f>+MID('Input data'!$F$22,6,1)</f>
        <v>n</v>
      </c>
      <c r="G33" s="441" t="str">
        <f>+MID('Input data'!$F$22,7,1)</f>
        <v>ý</v>
      </c>
      <c r="H33" s="441" t="str">
        <f>+MID('Input data'!$F$22,8,1)</f>
        <v xml:space="preserve"> </v>
      </c>
      <c r="I33" s="441" t="str">
        <f>+MID('Input data'!$F$22,9,1)</f>
        <v>s</v>
      </c>
      <c r="J33" s="441" t="str">
        <f>+MID('Input data'!$F$22,10,1)</f>
        <v>ú</v>
      </c>
      <c r="K33" s="441" t="str">
        <f>+MID('Input data'!$F$22,11,1)</f>
        <v>d</v>
      </c>
      <c r="L33" s="441" t="str">
        <f>+MID('Input data'!$F$22,12,1)</f>
        <v xml:space="preserve"> </v>
      </c>
      <c r="M33" s="441" t="str">
        <f>+MID('Input data'!$F$22,13,1)</f>
        <v>B</v>
      </c>
      <c r="N33" s="441" t="str">
        <f>+MID('Input data'!$F$22,14,1)</f>
        <v>r</v>
      </c>
      <c r="O33" s="441" t="str">
        <f>+MID('Input data'!$F$22,15,1)</f>
        <v>a</v>
      </c>
      <c r="P33" s="441" t="str">
        <f>+MID('Input data'!$F$22,16,1)</f>
        <v>t</v>
      </c>
      <c r="Q33" s="441" t="str">
        <f>+MID('Input data'!$F$22,17,1)</f>
        <v>i</v>
      </c>
      <c r="R33" s="441" t="str">
        <f>+MID('Input data'!$F$22,18,1)</f>
        <v>s</v>
      </c>
      <c r="S33" s="441" t="str">
        <f>+MID('Input data'!$F$22,19,1)</f>
        <v>l</v>
      </c>
      <c r="T33" s="441" t="str">
        <f>+MID('Input data'!$F$22,20,1)</f>
        <v>a</v>
      </c>
      <c r="U33" s="441" t="str">
        <f>+MID('Input data'!$F$22,21,1)</f>
        <v>v</v>
      </c>
      <c r="V33" s="441" t="str">
        <f>+MID('Input data'!$F$22,22,1)</f>
        <v>a</v>
      </c>
      <c r="W33" s="441" t="str">
        <f>+MID('Input data'!$F$22,23,1)</f>
        <v xml:space="preserve"> </v>
      </c>
      <c r="X33" s="441" t="str">
        <f>+MID('Input data'!$F$22,24,1)</f>
        <v>I</v>
      </c>
      <c r="Y33" s="441" t="str">
        <f>+MID('Input data'!$F$22,25,1)</f>
        <v>.</v>
      </c>
      <c r="Z33" s="441" t="str">
        <f>+MID('Input data'!$F$22,26,1)</f>
        <v xml:space="preserve">
</v>
      </c>
      <c r="AA33" s="441" t="str">
        <f>+MID('Input data'!$F$22,27,1)</f>
        <v>O</v>
      </c>
      <c r="AB33" s="441" t="str">
        <f>+MID('Input data'!$F$22,28,1)</f>
        <v>d</v>
      </c>
      <c r="AC33" s="441" t="str">
        <f>+MID('Input data'!$F$22,29,1)</f>
        <v>d</v>
      </c>
      <c r="AD33" s="441" t="str">
        <f>+MID('Input data'!$F$22,30,1)</f>
        <v>i</v>
      </c>
      <c r="AE33" s="441" t="str">
        <f>+MID('Input data'!$F$22,31,1)</f>
        <v>e</v>
      </c>
      <c r="AF33" s="441" t="str">
        <f>+MID('Input data'!$F$22,32,1)</f>
        <v>l</v>
      </c>
      <c r="AG33" s="441" t="str">
        <f>+MID('Input data'!$F$22,33,1)</f>
        <v xml:space="preserve"> </v>
      </c>
      <c r="AH33" s="441" t="str">
        <f>+MID('Input data'!$F$22,34,1)</f>
        <v>S</v>
      </c>
      <c r="AI33" s="441" t="str">
        <f>+MID('Input data'!$F$22,35,1)</f>
        <v>r</v>
      </c>
      <c r="AJ33" s="441" t="str">
        <f>+MID('Input data'!$F$22,36,1)</f>
        <v>o</v>
      </c>
      <c r="AK33" s="448" t="str">
        <f>+MID('Input data'!$F$22,37,1)</f>
        <v>,</v>
      </c>
    </row>
    <row r="34" spans="1:38" s="447" customFormat="1" ht="19.5" customHeight="1">
      <c r="A34" s="449" t="str">
        <f>+MID('Input data'!$F$22,38,1)</f>
        <v xml:space="preserve"> </v>
      </c>
      <c r="B34" s="441" t="str">
        <f>+MID('Input data'!$F$22,39,1)</f>
        <v>v</v>
      </c>
      <c r="C34" s="441" t="str">
        <f>+MID('Input data'!$F$22,40,1)</f>
        <v>l</v>
      </c>
      <c r="D34" s="441" t="str">
        <f>+MID('Input data'!$F$22,41,1)</f>
        <v>o</v>
      </c>
      <c r="E34" s="441" t="str">
        <f>+MID('Input data'!$F$22,42,1)</f>
        <v>ž</v>
      </c>
      <c r="F34" s="441" t="str">
        <f>+MID('Input data'!$F$22,43,1)</f>
        <v>k</v>
      </c>
      <c r="G34" s="441" t="str">
        <f>+MID('Input data'!$F$22,44,1)</f>
        <v>a</v>
      </c>
      <c r="H34" s="441" t="str">
        <f>+MID('Input data'!$F$22,45,1)</f>
        <v xml:space="preserve"> </v>
      </c>
      <c r="I34" s="441" t="str">
        <f>+MID('Input data'!$F$22,46,1)</f>
        <v>č</v>
      </c>
      <c r="J34" s="441" t="str">
        <f>+MID('Input data'!$F$22,47,1)</f>
        <v>.</v>
      </c>
      <c r="K34" s="441" t="str">
        <f>+MID('Input data'!$F$22,48,1)</f>
        <v xml:space="preserve"> </v>
      </c>
      <c r="L34" s="441" t="str">
        <f>+MID('Input data'!$F$22,49,1)</f>
        <v>6</v>
      </c>
      <c r="M34" s="441" t="str">
        <f>+MID('Input data'!$F$22,50,1)</f>
        <v>3</v>
      </c>
      <c r="N34" s="441" t="str">
        <f>+MID('Input data'!$F$22,51,1)</f>
        <v>7</v>
      </c>
      <c r="O34" s="441" t="str">
        <f>+MID('Input data'!$F$22,52,1)</f>
        <v>4</v>
      </c>
      <c r="P34" s="441" t="str">
        <f>+MID('Input data'!$F$22,53,1)</f>
        <v>/</v>
      </c>
      <c r="Q34" s="441" t="str">
        <f>+MID('Input data'!$F$22,54,1)</f>
        <v>B</v>
      </c>
      <c r="R34" s="441" t="str">
        <f>+MID('Input data'!$F$22,55,1)</f>
        <v/>
      </c>
      <c r="S34" s="441" t="str">
        <f>+MID('Input data'!$F$22,56,1)</f>
        <v/>
      </c>
      <c r="T34" s="441" t="str">
        <f>+MID('Input data'!$F$22,57,1)</f>
        <v/>
      </c>
      <c r="U34" s="441" t="str">
        <f>+MID('Input data'!$F$22,58,1)</f>
        <v/>
      </c>
      <c r="V34" s="441" t="str">
        <f>+MID('Input data'!$F$22,59,1)</f>
        <v/>
      </c>
      <c r="W34" s="441" t="str">
        <f>+MID('Input data'!$F$22,60,1)</f>
        <v/>
      </c>
      <c r="X34" s="441" t="str">
        <f>+MID('Input data'!$F$22,61,1)</f>
        <v/>
      </c>
      <c r="Y34" s="441" t="str">
        <f>+MID('Input data'!$F$22,62,1)</f>
        <v/>
      </c>
      <c r="Z34" s="441" t="str">
        <f>+MID('Input data'!$F$22,63,1)</f>
        <v/>
      </c>
      <c r="AA34" s="441" t="str">
        <f>+MID('Input data'!$F$22,64,1)</f>
        <v/>
      </c>
      <c r="AB34" s="441" t="str">
        <f>+MID('Input data'!$F$22,65,1)</f>
        <v/>
      </c>
      <c r="AC34" s="441" t="str">
        <f>+MID('Input data'!$F$22,66,1)</f>
        <v/>
      </c>
      <c r="AD34" s="441" t="str">
        <f>+MID('Input data'!$F$22,67,1)</f>
        <v/>
      </c>
      <c r="AE34" s="441" t="str">
        <f>+MID('Input data'!$F$22,68,1)</f>
        <v/>
      </c>
      <c r="AF34" s="441" t="str">
        <f>+MID('Input data'!$F$22,69,1)</f>
        <v/>
      </c>
      <c r="AG34" s="441" t="str">
        <f>+MID('Input data'!$F$22,70,1)</f>
        <v/>
      </c>
      <c r="AH34" s="441" t="str">
        <f>+MID('Input data'!$F$22,71,1)</f>
        <v/>
      </c>
      <c r="AI34" s="441" t="str">
        <f>+MID('Input data'!$F$22,72,1)</f>
        <v/>
      </c>
      <c r="AJ34" s="441" t="str">
        <f>+MID('Input data'!$F$22,73,1)</f>
        <v/>
      </c>
      <c r="AK34" s="448" t="str">
        <f>+MID('Input data'!$F$22,74,1)</f>
        <v/>
      </c>
    </row>
    <row r="35" spans="1:38" ht="13">
      <c r="A35" s="446" t="s">
        <v>1569</v>
      </c>
      <c r="B35" s="1320"/>
      <c r="C35" s="1320"/>
      <c r="D35" s="1320"/>
      <c r="E35" s="1320"/>
      <c r="F35" s="1320"/>
      <c r="G35" s="445"/>
      <c r="H35" s="445"/>
      <c r="I35" s="445"/>
      <c r="J35" s="445"/>
      <c r="K35" s="445"/>
      <c r="L35" s="445"/>
      <c r="M35" s="445"/>
      <c r="N35" s="1320"/>
      <c r="O35" s="445" t="s">
        <v>1570</v>
      </c>
      <c r="P35" s="445"/>
      <c r="Q35" s="445"/>
      <c r="R35" s="445"/>
      <c r="S35" s="445"/>
      <c r="T35" s="445"/>
      <c r="U35" s="445"/>
      <c r="V35" s="445"/>
      <c r="W35" s="445"/>
      <c r="X35" s="445"/>
      <c r="Y35" s="445"/>
      <c r="Z35" s="445"/>
      <c r="AA35" s="445"/>
      <c r="AB35" s="445"/>
      <c r="AC35" s="445"/>
      <c r="AD35" s="445"/>
      <c r="AE35" s="399"/>
      <c r="AF35" s="399"/>
      <c r="AG35" s="399"/>
      <c r="AH35" s="399"/>
      <c r="AI35" s="399"/>
      <c r="AJ35" s="399"/>
      <c r="AK35" s="398"/>
    </row>
    <row r="36" spans="1:38" ht="19.5" customHeight="1">
      <c r="A36" s="444">
        <v>0</v>
      </c>
      <c r="B36" s="441" t="str">
        <f>+LEFT('Input data'!$C$36,1)</f>
        <v>2</v>
      </c>
      <c r="C36" s="441" t="str">
        <f>+MID('Input data'!$C$36,2,1)</f>
        <v/>
      </c>
      <c r="D36" s="441" t="str">
        <f>+MID('Input data'!$C$36,3,1)</f>
        <v/>
      </c>
      <c r="E36" s="441" t="s">
        <v>1092</v>
      </c>
      <c r="F36" s="441" t="str">
        <f>+LEFT('Input data'!$C$38,1)</f>
        <v>4</v>
      </c>
      <c r="G36" s="441" t="str">
        <f>+MID('Input data'!$C$38,2,1)</f>
        <v>8</v>
      </c>
      <c r="H36" s="441" t="str">
        <f>+MID('Input data'!$C$38,3,1)</f>
        <v>2</v>
      </c>
      <c r="I36" s="441" t="str">
        <f>+MID('Input data'!$C$38,4,1)</f>
        <v>0</v>
      </c>
      <c r="J36" s="441" t="str">
        <f>+MID('Input data'!$C$38,5,1)</f>
        <v>5</v>
      </c>
      <c r="K36" s="441" t="str">
        <f>+MID('Input data'!$C$38,6,1)</f>
        <v>2</v>
      </c>
      <c r="L36" s="441" t="str">
        <f>+MID('Input data'!$C$38,7,1)</f>
        <v>0</v>
      </c>
      <c r="M36" s="441" t="str">
        <f>+MID('Input data'!$C$38,8,1)</f>
        <v>0</v>
      </c>
      <c r="N36" s="443"/>
      <c r="O36" s="442">
        <v>0</v>
      </c>
      <c r="P36" s="441" t="str">
        <f>+LEFT('Input data'!$C$36,1)</f>
        <v>2</v>
      </c>
      <c r="Q36" s="441" t="str">
        <f>+MID('Input data'!$C$36,2,1)</f>
        <v/>
      </c>
      <c r="R36" s="441" t="str">
        <f>+MID('Input data'!$C$36,3,1)</f>
        <v/>
      </c>
      <c r="S36" s="441" t="s">
        <v>1092</v>
      </c>
      <c r="T36" s="441" t="str">
        <f>+LEFT('Input data'!$C$40,1)</f>
        <v/>
      </c>
      <c r="U36" s="441" t="str">
        <f>+MID('Input data'!$C$40,2,1)</f>
        <v/>
      </c>
      <c r="V36" s="441" t="str">
        <f>+MID('Input data'!$C$40,3,1)</f>
        <v/>
      </c>
      <c r="W36" s="441" t="str">
        <f>+MID('Input data'!$C$40,4,1)</f>
        <v/>
      </c>
      <c r="X36" s="441" t="str">
        <f>+MID('Input data'!$C$40,5,1)</f>
        <v/>
      </c>
      <c r="Y36" s="441" t="str">
        <f>+MID('Input data'!$C$40,6,1)</f>
        <v/>
      </c>
      <c r="Z36" s="441" t="str">
        <f>+MID('Input data'!$C$40,7,1)</f>
        <v/>
      </c>
      <c r="AA36" s="441" t="str">
        <f>+MID('Input data'!$C$40,8,1)</f>
        <v/>
      </c>
      <c r="AB36" s="441"/>
      <c r="AC36" s="441"/>
      <c r="AD36" s="441"/>
      <c r="AE36" s="399"/>
      <c r="AF36" s="399"/>
      <c r="AG36" s="399" t="s">
        <v>1093</v>
      </c>
      <c r="AH36" s="399"/>
      <c r="AI36" s="399"/>
      <c r="AJ36" s="399"/>
      <c r="AK36" s="398"/>
    </row>
    <row r="37" spans="1:38" s="391" customFormat="1" ht="13">
      <c r="A37" s="403" t="s">
        <v>1571</v>
      </c>
      <c r="B37" s="402"/>
      <c r="C37" s="402"/>
      <c r="D37" s="402"/>
      <c r="E37" s="402"/>
      <c r="F37" s="402"/>
      <c r="G37" s="402"/>
      <c r="H37" s="402"/>
      <c r="I37" s="402"/>
      <c r="J37" s="402"/>
      <c r="K37" s="402"/>
      <c r="L37" s="402"/>
      <c r="M37" s="402"/>
      <c r="N37" s="402"/>
      <c r="O37" s="402"/>
      <c r="P37" s="402"/>
      <c r="Q37" s="402"/>
      <c r="R37" s="402"/>
      <c r="S37" s="402"/>
      <c r="T37" s="402"/>
      <c r="U37" s="402"/>
      <c r="V37" s="402"/>
      <c r="W37" s="399"/>
      <c r="X37" s="399"/>
      <c r="Y37" s="399"/>
      <c r="Z37" s="399"/>
      <c r="AA37" s="399"/>
      <c r="AB37" s="399"/>
      <c r="AC37" s="399"/>
      <c r="AD37" s="399"/>
      <c r="AE37" s="399"/>
      <c r="AF37" s="399"/>
      <c r="AG37" s="399"/>
      <c r="AH37" s="399"/>
      <c r="AI37" s="399"/>
      <c r="AJ37" s="399"/>
      <c r="AK37" s="398"/>
    </row>
    <row r="38" spans="1:38" ht="19.5" customHeight="1" thickBot="1">
      <c r="A38" s="440" t="str">
        <f>+LEFT('Input data'!$B$42,1)</f>
        <v>o</v>
      </c>
      <c r="B38" s="439" t="str">
        <f>+MID('Input data'!$B$42,2,1)</f>
        <v>f</v>
      </c>
      <c r="C38" s="439" t="str">
        <f>+MID('Input data'!$B$42,3,1)</f>
        <v>f</v>
      </c>
      <c r="D38" s="439" t="str">
        <f>+MID('Input data'!$B$42,4,1)</f>
        <v>i</v>
      </c>
      <c r="E38" s="439" t="str">
        <f>+MID('Input data'!$B$42,5,1)</f>
        <v>c</v>
      </c>
      <c r="F38" s="439" t="str">
        <f>+MID('Input data'!$B$42,6,1)</f>
        <v>e</v>
      </c>
      <c r="G38" s="439" t="str">
        <f>+MID('Input data'!$B$42,7,1)</f>
        <v>.</v>
      </c>
      <c r="H38" s="439" t="str">
        <f>+MID('Input data'!$B$42,8,1)</f>
        <v>s</v>
      </c>
      <c r="I38" s="439" t="str">
        <f>+MID('Input data'!$B$42,9,1)</f>
        <v>k</v>
      </c>
      <c r="J38" s="439" t="str">
        <f>+MID('Input data'!$B$42,10,1)</f>
        <v>@</v>
      </c>
      <c r="K38" s="439" t="str">
        <f>+MID('Input data'!$B$42,11,1)</f>
        <v>f</v>
      </c>
      <c r="L38" s="439" t="str">
        <f>+MID('Input data'!$B$42,12,1)</f>
        <v>o</v>
      </c>
      <c r="M38" s="439" t="str">
        <f>+MID('Input data'!$B$42,13,1)</f>
        <v>s</v>
      </c>
      <c r="N38" s="439" t="str">
        <f>+MID('Input data'!$B$42,14,1)</f>
        <v>s</v>
      </c>
      <c r="O38" s="439" t="str">
        <f>+MID('Input data'!$B$42,15,1)</f>
        <v>f</v>
      </c>
      <c r="P38" s="439" t="str">
        <f>+MID('Input data'!$B$42,16,1)</f>
        <v>i</v>
      </c>
      <c r="Q38" s="439" t="str">
        <f>+MID('Input data'!$B$42,17,1)</f>
        <v>b</v>
      </c>
      <c r="R38" s="439" t="str">
        <f>+MID('Input data'!$B$42,18,1)</f>
        <v>r</v>
      </c>
      <c r="S38" s="439" t="str">
        <f>+MID('Input data'!$B$42,19,1)</f>
        <v>e</v>
      </c>
      <c r="T38" s="439" t="str">
        <f>+MID('Input data'!$B$42,20,1)</f>
        <v>o</v>
      </c>
      <c r="U38" s="439" t="str">
        <f>+MID('Input data'!$B$42,21,1)</f>
        <v>p</v>
      </c>
      <c r="V38" s="439" t="str">
        <f>+MID('Input data'!$B$42,22,1)</f>
        <v>t</v>
      </c>
      <c r="W38" s="439" t="str">
        <f>+MID('Input data'!$B$42,23,1)</f>
        <v>i</v>
      </c>
      <c r="X38" s="439" t="str">
        <f>+MID('Input data'!$B$42,24,1)</f>
        <v>c</v>
      </c>
      <c r="Y38" s="439" t="str">
        <f>+MID('Input data'!$B$42,25,1)</f>
        <v>s</v>
      </c>
      <c r="Z38" s="439" t="str">
        <f>+MID('Input data'!$B$42,26,1)</f>
        <v>.</v>
      </c>
      <c r="AA38" s="439" t="str">
        <f>+MID('Input data'!$B$42,27,1)</f>
        <v>c</v>
      </c>
      <c r="AB38" s="439" t="str">
        <f>+MID('Input data'!$B$42,28,1)</f>
        <v>o</v>
      </c>
      <c r="AC38" s="439" t="str">
        <f>+MID('Input data'!$B$42,29,1)</f>
        <v>m</v>
      </c>
      <c r="AD38" s="439" t="str">
        <f>+MID('Input data'!$B$42,30,1)</f>
        <v/>
      </c>
      <c r="AE38" s="439" t="str">
        <f>+MID('Input data'!$B$42,31,1)</f>
        <v/>
      </c>
      <c r="AF38" s="439" t="str">
        <f>+MID('Input data'!$B$42,32,1)</f>
        <v/>
      </c>
      <c r="AG38" s="439" t="str">
        <f>+MID('Input data'!$B$42,33,1)</f>
        <v/>
      </c>
      <c r="AH38" s="439" t="str">
        <f>+MID('Input data'!$B$42,34,1)</f>
        <v/>
      </c>
      <c r="AI38" s="439" t="str">
        <f>+MID('Input data'!$B$42,35,1)</f>
        <v/>
      </c>
      <c r="AJ38" s="439" t="str">
        <f>+MID('Input data'!$B$42,36,1)</f>
        <v/>
      </c>
      <c r="AK38" s="438" t="str">
        <f>+MID('Input data'!$B$42,37,1)</f>
        <v/>
      </c>
    </row>
    <row r="39" spans="1:38" s="391" customFormat="1" ht="3.75" customHeight="1" thickBot="1">
      <c r="A39" s="1347"/>
      <c r="B39" s="402"/>
      <c r="C39" s="402"/>
      <c r="D39" s="402"/>
      <c r="E39" s="402"/>
      <c r="F39" s="402"/>
      <c r="G39" s="402"/>
      <c r="H39" s="402"/>
      <c r="I39" s="402"/>
      <c r="J39" s="402"/>
      <c r="K39" s="402"/>
      <c r="L39" s="402"/>
      <c r="M39" s="402"/>
      <c r="N39" s="402"/>
      <c r="O39" s="402"/>
      <c r="P39" s="402"/>
      <c r="Q39" s="402"/>
      <c r="R39" s="402"/>
      <c r="S39" s="402"/>
      <c r="T39" s="402"/>
      <c r="U39" s="402"/>
      <c r="V39" s="402"/>
      <c r="W39" s="399"/>
      <c r="X39" s="399"/>
      <c r="Y39" s="399"/>
      <c r="Z39" s="399"/>
      <c r="AA39" s="399"/>
      <c r="AB39" s="399"/>
      <c r="AC39" s="399"/>
      <c r="AD39" s="399"/>
      <c r="AE39" s="399"/>
      <c r="AF39" s="399"/>
      <c r="AG39" s="399"/>
      <c r="AH39" s="399"/>
      <c r="AI39" s="399"/>
      <c r="AJ39" s="399"/>
      <c r="AK39" s="1348"/>
    </row>
    <row r="40" spans="1:38" s="434" customFormat="1" ht="13" customHeight="1">
      <c r="A40" s="437" t="s">
        <v>1572</v>
      </c>
      <c r="B40" s="436"/>
      <c r="C40" s="436"/>
      <c r="D40" s="436"/>
      <c r="E40" s="436"/>
      <c r="F40" s="436"/>
      <c r="G40" s="436"/>
      <c r="H40" s="436"/>
      <c r="I40" s="436"/>
      <c r="J40" s="436"/>
      <c r="K40" s="435"/>
      <c r="L40" s="480" t="s">
        <v>1576</v>
      </c>
      <c r="M40" s="436"/>
      <c r="N40" s="436"/>
      <c r="O40" s="436"/>
      <c r="P40" s="436"/>
      <c r="Q40" s="436"/>
      <c r="R40" s="436"/>
      <c r="S40" s="436"/>
      <c r="T40" s="436"/>
      <c r="U40" s="436"/>
      <c r="V40" s="435"/>
      <c r="W40" s="2719" t="s">
        <v>2599</v>
      </c>
      <c r="X40" s="2719"/>
      <c r="Y40" s="2719"/>
      <c r="Z40" s="2719"/>
      <c r="AA40" s="2719"/>
      <c r="AB40" s="2719"/>
      <c r="AC40" s="2719"/>
      <c r="AD40" s="2719"/>
      <c r="AE40" s="2719"/>
      <c r="AF40" s="2719"/>
      <c r="AG40" s="2719"/>
      <c r="AH40" s="2719"/>
      <c r="AI40" s="2719"/>
      <c r="AJ40" s="2719"/>
      <c r="AK40" s="2720"/>
    </row>
    <row r="41" spans="1:38" s="391" customFormat="1" ht="31.5" customHeight="1">
      <c r="A41" s="420" t="str">
        <f>MID(TEXT('Input data'!$F$34,"dd.mm.yyyy"),1,1)</f>
        <v>1</v>
      </c>
      <c r="B41" s="419" t="str">
        <f>MID(TEXT('Input data'!$F$34,"dd.mm.yyyy"),2,1)</f>
        <v>5</v>
      </c>
      <c r="C41" s="418" t="s">
        <v>1063</v>
      </c>
      <c r="D41" s="419" t="str">
        <f>MID(TEXT('Input data'!$F$34,"dd.mm.yyyy"),4,1)</f>
        <v>0</v>
      </c>
      <c r="E41" s="419" t="str">
        <f>MID(TEXT('Input data'!$F$34,"dd.mm.yyyy"),5,1)</f>
        <v>5</v>
      </c>
      <c r="F41" s="418" t="s">
        <v>1063</v>
      </c>
      <c r="G41" s="417" t="str">
        <f>MID(TEXT('Input data'!$F$34,"dd.mm.yyyy"),7,1)</f>
        <v>2</v>
      </c>
      <c r="H41" s="417" t="str">
        <f>MID(TEXT('Input data'!$F$34,"dd.mm.yyyy"),8,1)</f>
        <v>0</v>
      </c>
      <c r="I41" s="417" t="str">
        <f>MID(TEXT('Input data'!$F$34,"dd.mm.yyyy"),9,1)</f>
        <v>1</v>
      </c>
      <c r="J41" s="417" t="str">
        <f>MID(TEXT('Input data'!$F$34,"dd.mm.yyyy"),10,1)</f>
        <v>9</v>
      </c>
      <c r="K41" s="433"/>
      <c r="L41" s="419" t="str">
        <f>IF('Input data'!$F$36="","",LEFT(TEXT('Input data'!$F$36,"dd.mm.yyyy"),1))</f>
        <v/>
      </c>
      <c r="M41" s="419" t="str">
        <f>IF('Input data'!$F$36="","",MID(TEXT('Input data'!$F$36,"dd.mm.yyyy"),2,1))</f>
        <v/>
      </c>
      <c r="N41" s="418" t="s">
        <v>1063</v>
      </c>
      <c r="O41" s="419" t="str">
        <f>IF('Input data'!$F$36="","",MID(TEXT('Input data'!$F$36,"dd.mm.yyyy"),4,1))</f>
        <v/>
      </c>
      <c r="P41" s="419" t="str">
        <f>IF('Input data'!$F$36="","",MID(TEXT('Input data'!$F$36,"dd.mm.yyyy"),5,1))</f>
        <v/>
      </c>
      <c r="Q41" s="418" t="s">
        <v>1063</v>
      </c>
      <c r="R41" s="417" t="str">
        <f>IF('Input data'!$F$36="","",MID(TEXT('Input data'!$F$36,"dd.mm.yyyy"),7,1))</f>
        <v/>
      </c>
      <c r="S41" s="417" t="str">
        <f>IF('Input data'!$F$36="","",MID(TEXT('Input data'!$F$36,"dd.mm.yyyy"),8,1))</f>
        <v/>
      </c>
      <c r="T41" s="417" t="str">
        <f>IF('Input data'!$F$36="","",MID(TEXT('Input data'!$F$36,"dd.mm.yyyy"),9,1))</f>
        <v/>
      </c>
      <c r="U41" s="417" t="str">
        <f>IF('Input data'!$F$36="","",MID(TEXT('Input data'!$F$36,"dd.mm.yyyy"),10,1))</f>
        <v/>
      </c>
      <c r="V41" s="433"/>
      <c r="W41" s="2721"/>
      <c r="X41" s="2721"/>
      <c r="Y41" s="2721"/>
      <c r="Z41" s="2721"/>
      <c r="AA41" s="2721"/>
      <c r="AB41" s="2721"/>
      <c r="AC41" s="2721"/>
      <c r="AD41" s="2721"/>
      <c r="AE41" s="2721"/>
      <c r="AF41" s="2721"/>
      <c r="AG41" s="2721"/>
      <c r="AH41" s="2721"/>
      <c r="AI41" s="2721"/>
      <c r="AJ41" s="2721"/>
      <c r="AK41" s="2722"/>
    </row>
    <row r="42" spans="1:38" s="391" customFormat="1" ht="13.5" customHeight="1">
      <c r="A42" s="403"/>
      <c r="B42" s="402"/>
      <c r="C42" s="402"/>
      <c r="D42" s="402"/>
      <c r="E42" s="402"/>
      <c r="F42" s="402"/>
      <c r="G42" s="428"/>
      <c r="H42" s="428"/>
      <c r="I42" s="428"/>
      <c r="J42" s="428"/>
      <c r="K42" s="427"/>
      <c r="L42" s="402"/>
      <c r="M42" s="402"/>
      <c r="N42" s="402"/>
      <c r="O42" s="402"/>
      <c r="P42" s="402"/>
      <c r="Q42" s="402"/>
      <c r="R42" s="428"/>
      <c r="S42" s="428"/>
      <c r="T42" s="428"/>
      <c r="U42" s="428"/>
      <c r="V42" s="427"/>
      <c r="W42" s="1643">
        <f>'Input data'!F40</f>
        <v>0</v>
      </c>
      <c r="X42" s="1644"/>
      <c r="Y42" s="1644"/>
      <c r="Z42" s="1644"/>
      <c r="AA42" s="1644"/>
      <c r="AB42" s="1644"/>
      <c r="AC42" s="1644"/>
      <c r="AD42" s="1644"/>
      <c r="AE42" s="1644"/>
      <c r="AF42" s="1644"/>
      <c r="AG42" s="1644"/>
      <c r="AH42" s="1644"/>
      <c r="AI42" s="1644"/>
      <c r="AJ42" s="1644"/>
      <c r="AK42" s="1645"/>
    </row>
    <row r="43" spans="1:38" s="391" customFormat="1" ht="15.75" customHeight="1" thickBot="1">
      <c r="A43" s="396"/>
      <c r="B43" s="395"/>
      <c r="C43" s="395"/>
      <c r="D43" s="395"/>
      <c r="E43" s="395"/>
      <c r="F43" s="395"/>
      <c r="G43" s="1052"/>
      <c r="H43" s="1052"/>
      <c r="I43" s="1052"/>
      <c r="J43" s="1052"/>
      <c r="K43" s="1053"/>
      <c r="L43" s="1054"/>
      <c r="M43" s="1054"/>
      <c r="N43" s="1054"/>
      <c r="O43" s="1054"/>
      <c r="P43" s="1054"/>
      <c r="Q43" s="1054"/>
      <c r="R43" s="1054"/>
      <c r="S43" s="395"/>
      <c r="T43" s="1055"/>
      <c r="U43" s="1055"/>
      <c r="V43" s="1056"/>
      <c r="W43" s="1646"/>
      <c r="X43" s="1647"/>
      <c r="Y43" s="1647"/>
      <c r="Z43" s="1647"/>
      <c r="AA43" s="1647"/>
      <c r="AB43" s="1647"/>
      <c r="AC43" s="1647"/>
      <c r="AD43" s="1647"/>
      <c r="AE43" s="1647"/>
      <c r="AF43" s="1647"/>
      <c r="AG43" s="1647"/>
      <c r="AH43" s="1647"/>
      <c r="AI43" s="1647"/>
      <c r="AJ43" s="1647"/>
      <c r="AK43" s="1648"/>
    </row>
    <row r="44" spans="1:38" s="397" customFormat="1" ht="5.25" customHeight="1" thickBot="1">
      <c r="A44" s="408"/>
      <c r="B44" s="411"/>
      <c r="C44" s="411"/>
      <c r="D44" s="411"/>
      <c r="E44" s="411"/>
      <c r="F44" s="411"/>
      <c r="G44" s="411"/>
      <c r="H44" s="411"/>
      <c r="I44" s="411"/>
      <c r="J44" s="411"/>
      <c r="K44" s="411"/>
      <c r="L44" s="1288"/>
      <c r="M44" s="1288"/>
      <c r="N44" s="1288"/>
      <c r="O44" s="1288"/>
      <c r="P44" s="1288"/>
      <c r="Q44" s="1288"/>
      <c r="R44" s="1288"/>
      <c r="S44" s="1288"/>
      <c r="T44" s="1288"/>
      <c r="U44" s="1288"/>
      <c r="V44" s="1288"/>
      <c r="W44" s="1288"/>
      <c r="X44" s="1288"/>
      <c r="Y44" s="1288"/>
      <c r="Z44" s="1288"/>
      <c r="AA44" s="1288"/>
      <c r="AB44" s="1288"/>
      <c r="AC44" s="1342"/>
      <c r="AD44" s="1342"/>
      <c r="AE44" s="1342"/>
      <c r="AF44" s="1342"/>
      <c r="AG44" s="1342"/>
      <c r="AH44" s="1342"/>
      <c r="AI44" s="1342"/>
      <c r="AJ44" s="1342"/>
      <c r="AK44" s="1039"/>
      <c r="AL44" s="400"/>
    </row>
    <row r="45" spans="1:38" s="397" customFormat="1" ht="13">
      <c r="A45" s="1345"/>
      <c r="B45" s="1341" t="s">
        <v>1577</v>
      </c>
      <c r="C45" s="400"/>
      <c r="D45" s="400"/>
      <c r="E45" s="400"/>
      <c r="F45" s="400"/>
      <c r="G45" s="400"/>
      <c r="H45" s="400"/>
      <c r="I45" s="400"/>
      <c r="J45" s="400"/>
      <c r="K45" s="400"/>
      <c r="L45" s="400"/>
      <c r="M45" s="400"/>
      <c r="N45" s="400"/>
      <c r="O45" s="400"/>
      <c r="P45" s="400"/>
      <c r="Q45" s="400"/>
      <c r="R45" s="400"/>
      <c r="S45" s="400"/>
      <c r="T45" s="400"/>
      <c r="U45" s="400"/>
      <c r="V45" s="400"/>
      <c r="W45" s="399"/>
      <c r="X45" s="399"/>
      <c r="Y45" s="399"/>
      <c r="Z45" s="399"/>
      <c r="AA45" s="399"/>
      <c r="AB45" s="399"/>
      <c r="AC45" s="399"/>
      <c r="AD45" s="399"/>
      <c r="AE45" s="399"/>
      <c r="AF45" s="399"/>
      <c r="AG45" s="399"/>
      <c r="AH45" s="399"/>
      <c r="AI45" s="399"/>
      <c r="AJ45" s="398"/>
      <c r="AK45" s="1346"/>
      <c r="AL45" s="400"/>
    </row>
    <row r="46" spans="1:38" s="397" customFormat="1" ht="13">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38" ht="13" customHeight="1">
      <c r="B47" s="405"/>
      <c r="C47" s="1290"/>
      <c r="D47" s="1290"/>
      <c r="E47" s="1290"/>
      <c r="F47" s="1290"/>
      <c r="G47" s="1290"/>
      <c r="H47" s="1290"/>
      <c r="I47" s="1290"/>
      <c r="J47" s="1290"/>
      <c r="K47" s="1290"/>
      <c r="L47" s="1290"/>
      <c r="M47" s="1290"/>
      <c r="N47" s="1290"/>
      <c r="O47" s="1290"/>
      <c r="P47" s="1290"/>
      <c r="Q47" s="1290"/>
      <c r="R47" s="1290"/>
      <c r="S47" s="1290"/>
      <c r="T47" s="1290"/>
      <c r="U47" s="1290"/>
      <c r="V47" s="1290"/>
      <c r="W47" s="399"/>
      <c r="X47" s="399"/>
      <c r="Y47" s="399"/>
      <c r="Z47" s="399"/>
      <c r="AA47" s="399"/>
      <c r="AB47" s="399"/>
      <c r="AC47" s="399"/>
      <c r="AD47" s="399"/>
      <c r="AE47" s="399"/>
      <c r="AF47" s="399"/>
      <c r="AG47" s="399"/>
      <c r="AH47" s="399"/>
      <c r="AI47" s="399"/>
      <c r="AJ47" s="398"/>
      <c r="AK47" s="392"/>
    </row>
    <row r="48" spans="1:38" s="391" customFormat="1" ht="13">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1" customFormat="1" ht="13">
      <c r="B49" s="403"/>
      <c r="C49" s="402"/>
      <c r="D49" s="402"/>
      <c r="E49" s="402"/>
      <c r="F49" s="402"/>
      <c r="G49" s="402"/>
      <c r="H49" s="402"/>
      <c r="I49" s="402"/>
      <c r="J49" s="402"/>
      <c r="K49" s="402"/>
      <c r="L49" s="402"/>
      <c r="M49" s="402"/>
      <c r="N49" s="402"/>
      <c r="O49" s="402"/>
      <c r="P49" s="402"/>
      <c r="Q49" s="402"/>
      <c r="R49" s="402"/>
      <c r="S49" s="402"/>
      <c r="T49" s="402"/>
      <c r="U49" s="402"/>
      <c r="V49" s="402"/>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ht="13">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ht="13">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7" customFormat="1" ht="13">
      <c r="B53" s="401"/>
      <c r="C53" s="400"/>
      <c r="D53" s="400"/>
      <c r="E53" s="400"/>
      <c r="F53" s="400"/>
      <c r="G53" s="400"/>
      <c r="H53" s="400"/>
      <c r="I53" s="400"/>
      <c r="J53" s="400"/>
      <c r="K53" s="400"/>
      <c r="L53" s="400"/>
      <c r="M53" s="400"/>
      <c r="N53" s="400"/>
      <c r="O53" s="400"/>
      <c r="P53" s="400"/>
      <c r="Q53" s="400"/>
      <c r="R53" s="400"/>
      <c r="S53" s="400"/>
      <c r="T53" s="400"/>
      <c r="U53" s="400"/>
      <c r="V53" s="400"/>
      <c r="W53" s="399"/>
      <c r="X53" s="399"/>
      <c r="Y53" s="399"/>
      <c r="Z53" s="399"/>
      <c r="AA53" s="399"/>
      <c r="AB53" s="399"/>
      <c r="AC53" s="399"/>
      <c r="AD53" s="399"/>
      <c r="AE53" s="399"/>
      <c r="AF53" s="399"/>
      <c r="AG53" s="399"/>
      <c r="AH53" s="399"/>
      <c r="AI53" s="399"/>
      <c r="AJ53" s="398"/>
      <c r="AK53" s="392"/>
    </row>
    <row r="54" spans="2:37" s="397" customFormat="1" ht="13.5" thickBot="1">
      <c r="B54" s="412"/>
      <c r="C54" s="411"/>
      <c r="D54" s="411"/>
      <c r="E54" s="411"/>
      <c r="F54" s="411"/>
      <c r="G54" s="395" t="s">
        <v>1578</v>
      </c>
      <c r="H54" s="411"/>
      <c r="I54" s="411"/>
      <c r="J54" s="411"/>
      <c r="K54" s="411"/>
      <c r="L54" s="411"/>
      <c r="M54" s="411"/>
      <c r="N54" s="411"/>
      <c r="O54" s="411"/>
      <c r="P54" s="411"/>
      <c r="Q54" s="411"/>
      <c r="R54" s="411"/>
      <c r="S54" s="411"/>
      <c r="T54" s="411"/>
      <c r="U54" s="395" t="s">
        <v>1579</v>
      </c>
      <c r="V54" s="411"/>
      <c r="W54" s="394"/>
      <c r="X54" s="394"/>
      <c r="Y54" s="394"/>
      <c r="Z54" s="394"/>
      <c r="AA54" s="394"/>
      <c r="AB54" s="394"/>
      <c r="AC54" s="394"/>
      <c r="AD54" s="394"/>
      <c r="AE54" s="394"/>
      <c r="AF54" s="394"/>
      <c r="AG54" s="394"/>
      <c r="AH54" s="394"/>
      <c r="AI54" s="394"/>
      <c r="AJ54" s="393"/>
      <c r="AK54" s="392"/>
    </row>
    <row r="55" spans="2:37" s="391" customFormat="1" ht="4.5" customHeight="1">
      <c r="B55" s="402"/>
      <c r="C55" s="402"/>
      <c r="D55" s="402"/>
      <c r="E55" s="402"/>
      <c r="F55" s="402"/>
      <c r="G55" s="402"/>
      <c r="H55" s="402"/>
      <c r="I55" s="402"/>
      <c r="J55" s="402"/>
      <c r="K55" s="402"/>
      <c r="L55" s="402"/>
      <c r="M55" s="402"/>
      <c r="N55" s="402"/>
      <c r="O55" s="402"/>
      <c r="P55" s="402"/>
      <c r="Q55" s="402"/>
      <c r="R55" s="402"/>
      <c r="S55" s="402"/>
      <c r="T55" s="402"/>
      <c r="U55" s="402"/>
      <c r="V55" s="402"/>
      <c r="W55" s="399"/>
      <c r="X55" s="399"/>
      <c r="Y55" s="399"/>
      <c r="Z55" s="399"/>
      <c r="AA55" s="399"/>
      <c r="AB55" s="399"/>
      <c r="AC55" s="399"/>
      <c r="AD55" s="399"/>
      <c r="AE55" s="399"/>
      <c r="AF55" s="399"/>
      <c r="AG55" s="399"/>
      <c r="AH55" s="399"/>
      <c r="AI55" s="399"/>
      <c r="AJ55" s="399"/>
      <c r="AK55" s="392"/>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4.5" outlineLevelCol="1"/>
  <cols>
    <col min="1" max="1" width="29.26953125" customWidth="1"/>
    <col min="2" max="10" width="11.26953125" customWidth="1"/>
    <col min="11" max="11" width="9.1796875" style="340"/>
    <col min="12" max="19" width="9.1796875" style="607" customWidth="1" outlineLevel="1"/>
    <col min="20" max="20" width="18.26953125" style="619" customWidth="1"/>
    <col min="21" max="21" width="9.1796875" style="635"/>
    <col min="22" max="22" width="9.1796875" style="607" customWidth="1" outlineLevel="1"/>
    <col min="23" max="29" width="9.1796875" style="18" customWidth="1" outlineLevel="1"/>
    <col min="30" max="30" width="26.81640625" style="619" customWidth="1"/>
    <col min="31" max="31" width="9.1796875" style="619"/>
    <col min="32" max="32" width="9.1796875" style="606" customWidth="1" outlineLevel="1"/>
    <col min="33" max="39" width="9.1796875" style="18" customWidth="1" outlineLevel="1"/>
    <col min="40" max="40" width="26.7265625" style="619" customWidth="1"/>
  </cols>
  <sheetData>
    <row r="1" spans="1:40">
      <c r="A1" s="1" t="s">
        <v>39</v>
      </c>
      <c r="L1" s="1589" t="s">
        <v>1056</v>
      </c>
      <c r="M1" s="1590"/>
      <c r="N1" s="1590"/>
      <c r="O1" s="1590"/>
      <c r="P1" s="1590"/>
      <c r="Q1" s="1590"/>
      <c r="R1" s="1590"/>
      <c r="S1" s="1590"/>
      <c r="T1" s="1591"/>
      <c r="V1" s="1589" t="s">
        <v>1057</v>
      </c>
      <c r="W1" s="1590"/>
      <c r="X1" s="1590"/>
      <c r="Y1" s="1590"/>
      <c r="Z1" s="1590"/>
      <c r="AA1" s="1590"/>
      <c r="AB1" s="1590"/>
      <c r="AC1" s="1590"/>
      <c r="AD1" s="1591"/>
      <c r="AF1" s="1589" t="s">
        <v>1058</v>
      </c>
      <c r="AG1" s="1590"/>
      <c r="AH1" s="1590"/>
      <c r="AI1" s="1590"/>
      <c r="AJ1" s="1590"/>
      <c r="AK1" s="1590"/>
      <c r="AL1" s="1590"/>
      <c r="AM1" s="1590"/>
      <c r="AN1" s="1591"/>
    </row>
    <row r="2" spans="1:40" ht="15" thickBot="1">
      <c r="A2" s="2" t="s">
        <v>8</v>
      </c>
    </row>
    <row r="3" spans="1:40" ht="15.5" thickTop="1" thickBot="1">
      <c r="A3" s="1585" t="s">
        <v>40</v>
      </c>
      <c r="B3" s="1587" t="s">
        <v>2</v>
      </c>
      <c r="C3" s="1593"/>
      <c r="D3" s="1593"/>
      <c r="E3" s="1593"/>
      <c r="F3" s="1593"/>
      <c r="G3" s="1593"/>
      <c r="H3" s="1593"/>
      <c r="I3" s="1593"/>
      <c r="J3" s="1588"/>
      <c r="K3" s="344"/>
    </row>
    <row r="4" spans="1:40" ht="62.25" customHeight="1" thickTop="1" thickBot="1">
      <c r="A4" s="1592"/>
      <c r="B4" s="10" t="s">
        <v>41</v>
      </c>
      <c r="C4" s="10" t="s">
        <v>42</v>
      </c>
      <c r="D4" s="10" t="s">
        <v>43</v>
      </c>
      <c r="E4" s="10" t="s">
        <v>444</v>
      </c>
      <c r="F4" s="10" t="s">
        <v>44</v>
      </c>
      <c r="G4" s="10" t="s">
        <v>45</v>
      </c>
      <c r="H4" s="10" t="s">
        <v>445</v>
      </c>
      <c r="I4" s="10" t="s">
        <v>46</v>
      </c>
      <c r="J4" s="10" t="s">
        <v>14</v>
      </c>
      <c r="K4" s="336"/>
      <c r="L4" s="59" t="s">
        <v>41</v>
      </c>
      <c r="M4" s="59" t="s">
        <v>42</v>
      </c>
      <c r="N4" s="59" t="s">
        <v>43</v>
      </c>
      <c r="O4" s="59" t="s">
        <v>444</v>
      </c>
      <c r="P4" s="59" t="s">
        <v>44</v>
      </c>
      <c r="Q4" s="59" t="s">
        <v>45</v>
      </c>
      <c r="R4" s="59" t="s">
        <v>445</v>
      </c>
      <c r="S4" s="59" t="s">
        <v>46</v>
      </c>
      <c r="T4" s="59" t="s">
        <v>14</v>
      </c>
      <c r="U4" s="607"/>
      <c r="V4" s="59" t="s">
        <v>41</v>
      </c>
      <c r="W4" s="59" t="s">
        <v>42</v>
      </c>
      <c r="X4" s="59" t="s">
        <v>43</v>
      </c>
      <c r="Y4" s="59" t="s">
        <v>444</v>
      </c>
      <c r="Z4" s="59" t="s">
        <v>44</v>
      </c>
      <c r="AA4" s="59" t="s">
        <v>45</v>
      </c>
      <c r="AB4" s="59" t="s">
        <v>445</v>
      </c>
      <c r="AC4" s="59" t="s">
        <v>46</v>
      </c>
      <c r="AD4" s="59" t="s">
        <v>14</v>
      </c>
      <c r="AF4" s="59" t="s">
        <v>41</v>
      </c>
      <c r="AG4" s="59" t="s">
        <v>42</v>
      </c>
      <c r="AH4" s="59" t="s">
        <v>43</v>
      </c>
      <c r="AI4" s="59" t="s">
        <v>444</v>
      </c>
      <c r="AJ4" s="59" t="s">
        <v>44</v>
      </c>
      <c r="AK4" s="59" t="s">
        <v>45</v>
      </c>
      <c r="AL4" s="59" t="s">
        <v>445</v>
      </c>
      <c r="AM4" s="59" t="s">
        <v>46</v>
      </c>
      <c r="AN4" s="59" t="s">
        <v>14</v>
      </c>
    </row>
    <row r="5" spans="1:40" ht="15" customHeight="1" thickTop="1" thickBot="1">
      <c r="A5" s="41" t="s">
        <v>25</v>
      </c>
      <c r="B5" s="42"/>
      <c r="C5" s="42"/>
      <c r="D5" s="42"/>
      <c r="E5" s="42"/>
      <c r="F5" s="42"/>
      <c r="G5" s="42"/>
      <c r="H5" s="42"/>
      <c r="I5" s="42"/>
      <c r="J5" s="43"/>
      <c r="K5" s="344"/>
    </row>
    <row r="6" spans="1:40" ht="15" customHeight="1" thickTop="1" thickBot="1">
      <c r="A6" s="44" t="s">
        <v>26</v>
      </c>
      <c r="B6" s="22"/>
      <c r="C6" s="22"/>
      <c r="D6" s="22"/>
      <c r="E6" s="22"/>
      <c r="F6" s="45"/>
      <c r="G6" s="22"/>
      <c r="H6" s="22"/>
      <c r="I6" s="22"/>
      <c r="J6" s="15">
        <f>SUM(B6:H6)</f>
        <v>0</v>
      </c>
      <c r="T6" s="608">
        <f>SUM(B6:I6)-J6</f>
        <v>0</v>
      </c>
      <c r="V6" s="661">
        <f>B6-B34</f>
        <v>0</v>
      </c>
      <c r="W6" s="661">
        <f t="shared" ref="W6:AB6" si="0">C6-C34</f>
        <v>0</v>
      </c>
      <c r="X6" s="661">
        <f t="shared" si="0"/>
        <v>0</v>
      </c>
      <c r="Y6" s="661">
        <f t="shared" si="0"/>
        <v>0</v>
      </c>
      <c r="Z6" s="661">
        <f t="shared" si="0"/>
        <v>0</v>
      </c>
      <c r="AA6" s="661">
        <f t="shared" si="0"/>
        <v>0</v>
      </c>
      <c r="AB6" s="661">
        <f t="shared" si="0"/>
        <v>0</v>
      </c>
      <c r="AC6" s="661">
        <f>I6-I34</f>
        <v>0</v>
      </c>
      <c r="AD6" s="608">
        <f>J6-J34</f>
        <v>0</v>
      </c>
    </row>
    <row r="7" spans="1:40" ht="15" customHeight="1" thickBot="1">
      <c r="A7" s="14" t="s">
        <v>27</v>
      </c>
      <c r="B7" s="22"/>
      <c r="C7" s="22"/>
      <c r="D7" s="22"/>
      <c r="E7" s="22"/>
      <c r="F7" s="46"/>
      <c r="G7" s="22"/>
      <c r="H7" s="22"/>
      <c r="I7" s="22"/>
      <c r="J7" s="15">
        <f t="shared" ref="J7:J9" si="1">SUM(B7:H7)</f>
        <v>0</v>
      </c>
      <c r="T7" s="608">
        <f t="shared" ref="T7:T9" si="2">SUM(B7:I7)-J7</f>
        <v>0</v>
      </c>
      <c r="W7" s="607"/>
      <c r="X7" s="607"/>
      <c r="Y7" s="607"/>
      <c r="Z7" s="607"/>
      <c r="AA7" s="607"/>
      <c r="AB7" s="607"/>
      <c r="AC7" s="607"/>
    </row>
    <row r="8" spans="1:40" ht="15" customHeight="1" thickBot="1">
      <c r="A8" s="14" t="s">
        <v>28</v>
      </c>
      <c r="B8" s="22"/>
      <c r="C8" s="22"/>
      <c r="D8" s="22"/>
      <c r="E8" s="22"/>
      <c r="F8" s="46"/>
      <c r="G8" s="22"/>
      <c r="H8" s="22"/>
      <c r="I8" s="22"/>
      <c r="J8" s="15">
        <f t="shared" si="1"/>
        <v>0</v>
      </c>
      <c r="T8" s="608">
        <f t="shared" si="2"/>
        <v>0</v>
      </c>
      <c r="W8" s="607"/>
      <c r="X8" s="607"/>
      <c r="Y8" s="607"/>
      <c r="Z8" s="607"/>
      <c r="AA8" s="607"/>
      <c r="AB8" s="607"/>
      <c r="AC8" s="607"/>
    </row>
    <row r="9" spans="1:40" ht="15" customHeight="1" thickBot="1">
      <c r="A9" s="14" t="s">
        <v>29</v>
      </c>
      <c r="B9" s="22"/>
      <c r="C9" s="22"/>
      <c r="D9" s="22"/>
      <c r="E9" s="22"/>
      <c r="F9" s="46"/>
      <c r="G9" s="22"/>
      <c r="H9" s="22"/>
      <c r="I9" s="22"/>
      <c r="J9" s="15">
        <f t="shared" si="1"/>
        <v>0</v>
      </c>
      <c r="T9" s="608">
        <f t="shared" si="2"/>
        <v>0</v>
      </c>
      <c r="W9" s="607"/>
      <c r="X9" s="607"/>
      <c r="Y9" s="607"/>
      <c r="Z9" s="607"/>
      <c r="AA9" s="607"/>
      <c r="AB9" s="607"/>
      <c r="AC9" s="607"/>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621">
        <f>B6+B7-B8+B9-B10</f>
        <v>0</v>
      </c>
      <c r="M10" s="661">
        <f t="shared" ref="M10:T10" si="4">C6+C7-C8+C9-C10</f>
        <v>0</v>
      </c>
      <c r="N10" s="661">
        <f t="shared" si="4"/>
        <v>0</v>
      </c>
      <c r="O10" s="661">
        <f t="shared" si="4"/>
        <v>0</v>
      </c>
      <c r="P10" s="661">
        <f t="shared" si="4"/>
        <v>0</v>
      </c>
      <c r="Q10" s="661">
        <f t="shared" si="4"/>
        <v>0</v>
      </c>
      <c r="R10" s="661">
        <f t="shared" si="4"/>
        <v>0</v>
      </c>
      <c r="S10" s="661">
        <f t="shared" si="4"/>
        <v>0</v>
      </c>
      <c r="T10" s="661">
        <f t="shared" si="4"/>
        <v>0</v>
      </c>
      <c r="W10" s="607"/>
      <c r="X10" s="607"/>
      <c r="Y10" s="607"/>
      <c r="Z10" s="607"/>
      <c r="AA10" s="607"/>
      <c r="AB10" s="607"/>
      <c r="AC10" s="607"/>
      <c r="AF10" s="621">
        <f>B10-'BS old'!$D$21</f>
        <v>0</v>
      </c>
      <c r="AG10" s="661">
        <f>C10-'BS old'!$D$22</f>
        <v>0</v>
      </c>
      <c r="AH10" s="661">
        <f>D10-'BS old'!$D$23</f>
        <v>0</v>
      </c>
      <c r="AI10" s="661">
        <f>E10-'BS old'!$D$24</f>
        <v>0</v>
      </c>
      <c r="AJ10" s="661">
        <f>F10-'BS old'!$D$25</f>
        <v>0</v>
      </c>
      <c r="AK10" s="661">
        <f>G10-'BS old'!$D$26</f>
        <v>0</v>
      </c>
      <c r="AL10" s="661">
        <f>H10-'BS old'!$D$27</f>
        <v>0</v>
      </c>
      <c r="AM10" s="661">
        <f>I10-'BS old'!$D$28</f>
        <v>0</v>
      </c>
      <c r="AN10" s="608">
        <f>J10-'BS old'!$D$20</f>
        <v>0</v>
      </c>
    </row>
    <row r="11" spans="1:40" ht="15" customHeight="1" thickTop="1" thickBot="1">
      <c r="A11" s="41" t="s">
        <v>31</v>
      </c>
      <c r="B11" s="42"/>
      <c r="C11" s="42"/>
      <c r="D11" s="42"/>
      <c r="E11" s="42"/>
      <c r="F11" s="42"/>
      <c r="G11" s="42"/>
      <c r="H11" s="42"/>
      <c r="I11" s="42"/>
      <c r="J11" s="43"/>
      <c r="L11" s="606"/>
      <c r="T11" s="608"/>
      <c r="W11" s="607"/>
      <c r="X11" s="607"/>
      <c r="Y11" s="607"/>
      <c r="Z11" s="607"/>
      <c r="AA11" s="607"/>
      <c r="AB11" s="607"/>
      <c r="AC11" s="607"/>
    </row>
    <row r="12" spans="1:40" ht="15" customHeight="1" thickTop="1" thickBot="1">
      <c r="A12" s="44" t="s">
        <v>32</v>
      </c>
      <c r="B12" s="22"/>
      <c r="C12" s="22"/>
      <c r="D12" s="22"/>
      <c r="E12" s="22"/>
      <c r="F12" s="22"/>
      <c r="G12" s="22"/>
      <c r="H12" s="22"/>
      <c r="I12" s="22"/>
      <c r="J12" s="15">
        <f>SUM(B12:H12)</f>
        <v>0</v>
      </c>
      <c r="L12" s="606"/>
      <c r="T12" s="608">
        <f t="shared" ref="T12:T14" si="5">SUM(B12:I12)-J12</f>
        <v>0</v>
      </c>
      <c r="V12" s="661">
        <f>B12-B39</f>
        <v>0</v>
      </c>
      <c r="W12" s="661">
        <f t="shared" ref="W12:AB12" si="6">C12-C39</f>
        <v>0</v>
      </c>
      <c r="X12" s="661">
        <f t="shared" si="6"/>
        <v>0</v>
      </c>
      <c r="Y12" s="661">
        <f t="shared" si="6"/>
        <v>0</v>
      </c>
      <c r="Z12" s="661">
        <f t="shared" si="6"/>
        <v>0</v>
      </c>
      <c r="AA12" s="661">
        <f t="shared" si="6"/>
        <v>0</v>
      </c>
      <c r="AB12" s="661">
        <f t="shared" si="6"/>
        <v>0</v>
      </c>
      <c r="AC12" s="661">
        <f>I12-I39</f>
        <v>0</v>
      </c>
      <c r="AD12" s="608">
        <f>J12-J39</f>
        <v>0</v>
      </c>
    </row>
    <row r="13" spans="1:40" ht="15" customHeight="1" thickBot="1">
      <c r="A13" s="14" t="s">
        <v>27</v>
      </c>
      <c r="B13" s="22"/>
      <c r="C13" s="22"/>
      <c r="D13" s="22"/>
      <c r="E13" s="22"/>
      <c r="F13" s="22"/>
      <c r="G13" s="22"/>
      <c r="H13" s="22"/>
      <c r="I13" s="22"/>
      <c r="J13" s="15">
        <f t="shared" ref="J13:J14" si="7">SUM(B13:H13)</f>
        <v>0</v>
      </c>
      <c r="L13" s="606"/>
      <c r="T13" s="608">
        <f t="shared" si="5"/>
        <v>0</v>
      </c>
      <c r="W13" s="607"/>
      <c r="X13" s="607"/>
      <c r="Y13" s="607"/>
      <c r="Z13" s="607"/>
      <c r="AA13" s="607"/>
      <c r="AB13" s="607"/>
      <c r="AC13" s="607"/>
    </row>
    <row r="14" spans="1:40" ht="15" customHeight="1" thickBot="1">
      <c r="A14" s="14" t="s">
        <v>28</v>
      </c>
      <c r="B14" s="22"/>
      <c r="C14" s="22"/>
      <c r="D14" s="22"/>
      <c r="E14" s="22"/>
      <c r="F14" s="22"/>
      <c r="G14" s="22"/>
      <c r="H14" s="22"/>
      <c r="I14" s="22"/>
      <c r="J14" s="15">
        <f t="shared" si="7"/>
        <v>0</v>
      </c>
      <c r="L14" s="606"/>
      <c r="T14" s="608">
        <f t="shared" si="5"/>
        <v>0</v>
      </c>
      <c r="W14" s="607"/>
      <c r="X14" s="607"/>
      <c r="Y14" s="607"/>
      <c r="Z14" s="607"/>
      <c r="AA14" s="607"/>
      <c r="AB14" s="607"/>
      <c r="AC14" s="607"/>
      <c r="AF14" s="674" t="s">
        <v>1059</v>
      </c>
    </row>
    <row r="15" spans="1:40" ht="15" customHeight="1" thickBot="1">
      <c r="A15" s="25" t="s">
        <v>30</v>
      </c>
      <c r="B15" s="26">
        <f>B12+B13-B14</f>
        <v>0</v>
      </c>
      <c r="C15" s="26">
        <f>C12+C13-C14</f>
        <v>0</v>
      </c>
      <c r="D15" s="26">
        <f t="shared" ref="D15:I15" si="8">D12+D13-D14</f>
        <v>0</v>
      </c>
      <c r="E15" s="26">
        <f t="shared" si="8"/>
        <v>0</v>
      </c>
      <c r="F15" s="26">
        <f t="shared" si="8"/>
        <v>0</v>
      </c>
      <c r="G15" s="26">
        <f t="shared" si="8"/>
        <v>0</v>
      </c>
      <c r="H15" s="26">
        <f t="shared" si="8"/>
        <v>0</v>
      </c>
      <c r="I15" s="26">
        <f t="shared" si="8"/>
        <v>0</v>
      </c>
      <c r="J15" s="17">
        <f>J12+J13-J14</f>
        <v>0</v>
      </c>
      <c r="L15" s="621">
        <f>B12+B13-B14-B15</f>
        <v>0</v>
      </c>
      <c r="M15" s="661">
        <f t="shared" ref="M15:T15" si="9">C12+C13-C14-C15</f>
        <v>0</v>
      </c>
      <c r="N15" s="661">
        <f t="shared" si="9"/>
        <v>0</v>
      </c>
      <c r="O15" s="661">
        <f t="shared" si="9"/>
        <v>0</v>
      </c>
      <c r="P15" s="661">
        <f t="shared" si="9"/>
        <v>0</v>
      </c>
      <c r="Q15" s="661">
        <f t="shared" si="9"/>
        <v>0</v>
      </c>
      <c r="R15" s="661">
        <f t="shared" si="9"/>
        <v>0</v>
      </c>
      <c r="S15" s="661">
        <f t="shared" si="9"/>
        <v>0</v>
      </c>
      <c r="T15" s="661">
        <f t="shared" si="9"/>
        <v>0</v>
      </c>
      <c r="W15" s="607"/>
      <c r="X15" s="607"/>
      <c r="Y15" s="607"/>
      <c r="Z15" s="607"/>
      <c r="AA15" s="607"/>
      <c r="AB15" s="607"/>
      <c r="AC15" s="607"/>
      <c r="AF15" s="621">
        <f>B15+B20-'BS old'!$E$21</f>
        <v>0</v>
      </c>
      <c r="AG15" s="661">
        <f>C15+C20-'BS old'!$E$22</f>
        <v>0</v>
      </c>
      <c r="AH15" s="661">
        <f>D15+D20-'BS old'!$E$23</f>
        <v>0</v>
      </c>
      <c r="AI15" s="661">
        <f>E15+E20-'BS old'!$E$24</f>
        <v>0</v>
      </c>
      <c r="AJ15" s="661">
        <f>F15+F20-'BS old'!$E$25</f>
        <v>0</v>
      </c>
      <c r="AK15" s="661">
        <f>G15+G20-'BS old'!$E$26</f>
        <v>0</v>
      </c>
      <c r="AL15" s="661">
        <f>H15+H20-'BS old'!$E$27</f>
        <v>0</v>
      </c>
      <c r="AM15" s="661">
        <f>I15+I20-'BS old'!$E$28</f>
        <v>0</v>
      </c>
      <c r="AN15" s="608">
        <f>J15+J20-'BS old'!$E$20</f>
        <v>0</v>
      </c>
    </row>
    <row r="16" spans="1:40" ht="15" customHeight="1" thickTop="1" thickBot="1">
      <c r="A16" s="41" t="s">
        <v>33</v>
      </c>
      <c r="B16" s="42"/>
      <c r="C16" s="42"/>
      <c r="D16" s="42"/>
      <c r="E16" s="42"/>
      <c r="F16" s="42"/>
      <c r="G16" s="42"/>
      <c r="H16" s="42"/>
      <c r="I16" s="42"/>
      <c r="J16" s="43"/>
      <c r="L16" s="606"/>
      <c r="T16" s="608"/>
      <c r="W16" s="607"/>
      <c r="X16" s="607"/>
      <c r="Y16" s="607"/>
      <c r="Z16" s="607"/>
      <c r="AA16" s="607"/>
      <c r="AB16" s="607"/>
      <c r="AC16" s="607"/>
      <c r="AG16" s="607"/>
      <c r="AH16" s="607"/>
      <c r="AI16" s="607"/>
      <c r="AJ16" s="607"/>
      <c r="AK16" s="607"/>
      <c r="AL16" s="607"/>
    </row>
    <row r="17" spans="1:40" ht="15" customHeight="1" thickTop="1" thickBot="1">
      <c r="A17" s="44" t="s">
        <v>32</v>
      </c>
      <c r="B17" s="22"/>
      <c r="C17" s="22"/>
      <c r="D17" s="22"/>
      <c r="E17" s="22"/>
      <c r="F17" s="22"/>
      <c r="G17" s="22"/>
      <c r="H17" s="22"/>
      <c r="I17" s="22"/>
      <c r="J17" s="15">
        <f>SUM(B17:H17)</f>
        <v>0</v>
      </c>
      <c r="L17" s="606"/>
      <c r="T17" s="608">
        <f t="shared" ref="T17:T19" si="10">SUM(B17:I17)-J17</f>
        <v>0</v>
      </c>
      <c r="V17" s="661">
        <f>B17-B44</f>
        <v>0</v>
      </c>
      <c r="W17" s="661">
        <f t="shared" ref="W17:AB17" si="11">C17-C44</f>
        <v>0</v>
      </c>
      <c r="X17" s="661">
        <f t="shared" si="11"/>
        <v>0</v>
      </c>
      <c r="Y17" s="661">
        <f t="shared" si="11"/>
        <v>0</v>
      </c>
      <c r="Z17" s="661">
        <f t="shared" si="11"/>
        <v>0</v>
      </c>
      <c r="AA17" s="661">
        <f t="shared" si="11"/>
        <v>0</v>
      </c>
      <c r="AB17" s="661">
        <f t="shared" si="11"/>
        <v>0</v>
      </c>
      <c r="AC17" s="661">
        <f>I17-I44</f>
        <v>0</v>
      </c>
      <c r="AD17" s="608">
        <f>J17-J44</f>
        <v>0</v>
      </c>
      <c r="AG17" s="607"/>
      <c r="AH17" s="607"/>
      <c r="AI17" s="607"/>
      <c r="AJ17" s="607"/>
      <c r="AK17" s="607"/>
      <c r="AL17" s="607"/>
    </row>
    <row r="18" spans="1:40" ht="15" customHeight="1" thickBot="1">
      <c r="A18" s="14" t="s">
        <v>27</v>
      </c>
      <c r="B18" s="22"/>
      <c r="C18" s="22"/>
      <c r="D18" s="22"/>
      <c r="E18" s="22"/>
      <c r="F18" s="22"/>
      <c r="G18" s="22"/>
      <c r="H18" s="22"/>
      <c r="I18" s="22"/>
      <c r="J18" s="15">
        <f t="shared" ref="J18:J19" si="12">SUM(B18:H18)</f>
        <v>0</v>
      </c>
      <c r="L18" s="606"/>
      <c r="T18" s="608">
        <f t="shared" si="10"/>
        <v>0</v>
      </c>
      <c r="W18" s="607"/>
      <c r="X18" s="607"/>
      <c r="Y18" s="607"/>
      <c r="Z18" s="607"/>
      <c r="AA18" s="607"/>
      <c r="AB18" s="607"/>
      <c r="AC18" s="607"/>
      <c r="AG18" s="607"/>
      <c r="AH18" s="607"/>
      <c r="AI18" s="607"/>
      <c r="AJ18" s="607"/>
      <c r="AK18" s="607"/>
      <c r="AL18" s="607"/>
    </row>
    <row r="19" spans="1:40" ht="15" customHeight="1" thickBot="1">
      <c r="A19" s="14" t="s">
        <v>28</v>
      </c>
      <c r="B19" s="22"/>
      <c r="C19" s="22"/>
      <c r="D19" s="22"/>
      <c r="E19" s="22"/>
      <c r="F19" s="22"/>
      <c r="G19" s="22"/>
      <c r="H19" s="22"/>
      <c r="I19" s="22"/>
      <c r="J19" s="15">
        <f t="shared" si="12"/>
        <v>0</v>
      </c>
      <c r="L19" s="606"/>
      <c r="T19" s="608">
        <f t="shared" si="10"/>
        <v>0</v>
      </c>
      <c r="W19" s="607"/>
      <c r="X19" s="607"/>
      <c r="Y19" s="607"/>
      <c r="Z19" s="607"/>
      <c r="AA19" s="607"/>
      <c r="AB19" s="607"/>
      <c r="AC19" s="607"/>
      <c r="AG19" s="607"/>
      <c r="AH19" s="607"/>
      <c r="AI19" s="607"/>
      <c r="AJ19" s="607"/>
      <c r="AK19" s="607"/>
      <c r="AL19" s="607"/>
    </row>
    <row r="20" spans="1:40" ht="15" customHeight="1" thickBot="1">
      <c r="A20" s="25" t="s">
        <v>30</v>
      </c>
      <c r="B20" s="26">
        <f>B17+B18-B19</f>
        <v>0</v>
      </c>
      <c r="C20" s="26">
        <f>C17+C18-C19</f>
        <v>0</v>
      </c>
      <c r="D20" s="26">
        <f t="shared" ref="D20:I20" si="13">D17+D18-D19</f>
        <v>0</v>
      </c>
      <c r="E20" s="26">
        <f t="shared" si="13"/>
        <v>0</v>
      </c>
      <c r="F20" s="26">
        <f t="shared" si="13"/>
        <v>0</v>
      </c>
      <c r="G20" s="26">
        <f t="shared" si="13"/>
        <v>0</v>
      </c>
      <c r="H20" s="26">
        <f t="shared" si="13"/>
        <v>0</v>
      </c>
      <c r="I20" s="26">
        <f t="shared" si="13"/>
        <v>0</v>
      </c>
      <c r="J20" s="17">
        <f>J17+J18-J19</f>
        <v>0</v>
      </c>
      <c r="L20" s="621">
        <f>B17+B18-B19-B20</f>
        <v>0</v>
      </c>
      <c r="M20" s="661">
        <f t="shared" ref="M20:T20" si="14">C17+C18-C19-C20</f>
        <v>0</v>
      </c>
      <c r="N20" s="661">
        <f t="shared" si="14"/>
        <v>0</v>
      </c>
      <c r="O20" s="661">
        <f t="shared" si="14"/>
        <v>0</v>
      </c>
      <c r="P20" s="661">
        <f t="shared" si="14"/>
        <v>0</v>
      </c>
      <c r="Q20" s="661">
        <f t="shared" si="14"/>
        <v>0</v>
      </c>
      <c r="R20" s="661">
        <f t="shared" si="14"/>
        <v>0</v>
      </c>
      <c r="S20" s="661">
        <f t="shared" si="14"/>
        <v>0</v>
      </c>
      <c r="T20" s="661">
        <f t="shared" si="14"/>
        <v>0</v>
      </c>
      <c r="W20" s="607"/>
      <c r="X20" s="607"/>
      <c r="Y20" s="607"/>
      <c r="Z20" s="607"/>
      <c r="AA20" s="607"/>
      <c r="AB20" s="607"/>
      <c r="AC20" s="607"/>
      <c r="AG20" s="607"/>
      <c r="AH20" s="607"/>
      <c r="AI20" s="607"/>
      <c r="AJ20" s="607"/>
      <c r="AK20" s="607"/>
      <c r="AL20" s="607"/>
    </row>
    <row r="21" spans="1:40" ht="15" customHeight="1" thickTop="1" thickBot="1">
      <c r="A21" s="41" t="s">
        <v>34</v>
      </c>
      <c r="B21" s="42"/>
      <c r="C21" s="42"/>
      <c r="D21" s="42"/>
      <c r="E21" s="42"/>
      <c r="F21" s="42"/>
      <c r="G21" s="42"/>
      <c r="H21" s="42"/>
      <c r="I21" s="42"/>
      <c r="J21" s="43"/>
      <c r="L21" s="606"/>
      <c r="T21" s="608"/>
      <c r="W21" s="607"/>
      <c r="X21" s="607"/>
      <c r="Y21" s="607"/>
      <c r="Z21" s="607"/>
      <c r="AA21" s="607"/>
      <c r="AB21" s="607"/>
      <c r="AC21" s="607"/>
      <c r="AG21" s="607"/>
      <c r="AH21" s="607"/>
      <c r="AI21" s="607"/>
      <c r="AJ21" s="607"/>
      <c r="AK21" s="607"/>
      <c r="AL21" s="607"/>
    </row>
    <row r="22" spans="1:40" ht="15" customHeight="1" thickTop="1" thickBot="1">
      <c r="A22" s="44" t="s">
        <v>32</v>
      </c>
      <c r="B22" s="22">
        <f>B6-B12-B17</f>
        <v>0</v>
      </c>
      <c r="C22" s="22">
        <f>C6-C12-C17</f>
        <v>0</v>
      </c>
      <c r="D22" s="22">
        <f t="shared" ref="D22:J22" si="15">D6-D12-D17</f>
        <v>0</v>
      </c>
      <c r="E22" s="22">
        <f t="shared" si="15"/>
        <v>0</v>
      </c>
      <c r="F22" s="22">
        <f t="shared" si="15"/>
        <v>0</v>
      </c>
      <c r="G22" s="22">
        <f t="shared" si="15"/>
        <v>0</v>
      </c>
      <c r="H22" s="22">
        <f t="shared" si="15"/>
        <v>0</v>
      </c>
      <c r="I22" s="22">
        <f t="shared" ref="I22" si="16">I6-I12-I17</f>
        <v>0</v>
      </c>
      <c r="J22" s="15">
        <f t="shared" si="15"/>
        <v>0</v>
      </c>
      <c r="L22" s="621">
        <f>B6-B12-B17-B22</f>
        <v>0</v>
      </c>
      <c r="M22" s="661">
        <f t="shared" ref="M22:S22" si="17">C6-C12-C17-C22</f>
        <v>0</v>
      </c>
      <c r="N22" s="661">
        <f t="shared" si="17"/>
        <v>0</v>
      </c>
      <c r="O22" s="661">
        <f t="shared" si="17"/>
        <v>0</v>
      </c>
      <c r="P22" s="661">
        <f t="shared" si="17"/>
        <v>0</v>
      </c>
      <c r="Q22" s="661">
        <f t="shared" si="17"/>
        <v>0</v>
      </c>
      <c r="R22" s="661">
        <f t="shared" si="17"/>
        <v>0</v>
      </c>
      <c r="S22" s="661">
        <f t="shared" si="17"/>
        <v>0</v>
      </c>
      <c r="T22" s="608">
        <f t="shared" ref="T22:T23" si="18">SUM(B22:I22)-J22</f>
        <v>0</v>
      </c>
      <c r="V22" s="661">
        <f>B22-B47</f>
        <v>0</v>
      </c>
      <c r="W22" s="661">
        <f t="shared" ref="W22:AB22" si="19">C22-C47</f>
        <v>0</v>
      </c>
      <c r="X22" s="661">
        <f t="shared" si="19"/>
        <v>0</v>
      </c>
      <c r="Y22" s="661">
        <f t="shared" si="19"/>
        <v>0</v>
      </c>
      <c r="Z22" s="661">
        <f t="shared" si="19"/>
        <v>0</v>
      </c>
      <c r="AA22" s="661">
        <f t="shared" si="19"/>
        <v>0</v>
      </c>
      <c r="AB22" s="661">
        <f t="shared" si="19"/>
        <v>0</v>
      </c>
      <c r="AC22" s="661">
        <f>I22-I47</f>
        <v>0</v>
      </c>
      <c r="AD22" s="608">
        <f>J22-J47</f>
        <v>0</v>
      </c>
      <c r="AG22" s="607"/>
      <c r="AH22" s="607"/>
      <c r="AI22" s="607"/>
      <c r="AJ22" s="607"/>
      <c r="AK22" s="607"/>
      <c r="AL22" s="607"/>
    </row>
    <row r="23" spans="1:40" ht="15" customHeight="1" thickBot="1">
      <c r="A23" s="25" t="s">
        <v>30</v>
      </c>
      <c r="B23" s="26">
        <f>B10-B15-B20</f>
        <v>0</v>
      </c>
      <c r="C23" s="26">
        <f>C10-C15-C20</f>
        <v>0</v>
      </c>
      <c r="D23" s="26">
        <f t="shared" ref="D23:J23" si="20">D10-D15-D20</f>
        <v>0</v>
      </c>
      <c r="E23" s="26">
        <f t="shared" si="20"/>
        <v>0</v>
      </c>
      <c r="F23" s="26">
        <f t="shared" si="20"/>
        <v>0</v>
      </c>
      <c r="G23" s="26">
        <f t="shared" si="20"/>
        <v>0</v>
      </c>
      <c r="H23" s="26">
        <f t="shared" si="20"/>
        <v>0</v>
      </c>
      <c r="I23" s="26">
        <f t="shared" ref="I23" si="21">I10-I15-I20</f>
        <v>0</v>
      </c>
      <c r="J23" s="17">
        <f t="shared" si="20"/>
        <v>0</v>
      </c>
      <c r="L23" s="621">
        <f>B10-B15-B20-B23</f>
        <v>0</v>
      </c>
      <c r="M23" s="661">
        <f t="shared" ref="M23:S23" si="22">C10-C15-C20-C23</f>
        <v>0</v>
      </c>
      <c r="N23" s="661">
        <f t="shared" si="22"/>
        <v>0</v>
      </c>
      <c r="O23" s="661">
        <f t="shared" si="22"/>
        <v>0</v>
      </c>
      <c r="P23" s="661">
        <f t="shared" si="22"/>
        <v>0</v>
      </c>
      <c r="Q23" s="661">
        <f t="shared" si="22"/>
        <v>0</v>
      </c>
      <c r="R23" s="661">
        <f t="shared" si="22"/>
        <v>0</v>
      </c>
      <c r="S23" s="661">
        <f t="shared" si="22"/>
        <v>0</v>
      </c>
      <c r="T23" s="608">
        <f t="shared" si="18"/>
        <v>0</v>
      </c>
      <c r="AF23" s="621">
        <f>B23-'BS old'!$F$21</f>
        <v>0</v>
      </c>
      <c r="AG23" s="661">
        <f>C23-'BS old'!$F$22</f>
        <v>0</v>
      </c>
      <c r="AH23" s="661">
        <f>D23-'BS old'!$F$23</f>
        <v>0</v>
      </c>
      <c r="AI23" s="661">
        <f>E23-'BS old'!$F$24</f>
        <v>0</v>
      </c>
      <c r="AJ23" s="661">
        <f>F23-'BS old'!$F$25</f>
        <v>0</v>
      </c>
      <c r="AK23" s="661">
        <f>G23-'BS old'!$F$26</f>
        <v>0</v>
      </c>
      <c r="AL23" s="661">
        <f>H23-'BS old'!$F$27</f>
        <v>0</v>
      </c>
      <c r="AM23" s="661">
        <f>I23-'BS old'!$F$28</f>
        <v>0</v>
      </c>
      <c r="AN23" s="608">
        <f>J23-'BS old'!$F$20</f>
        <v>0</v>
      </c>
    </row>
    <row r="24" spans="1:40" ht="15" thickTop="1">
      <c r="A24" s="20"/>
      <c r="B24" s="20"/>
      <c r="C24" s="20"/>
      <c r="D24" s="20"/>
      <c r="E24" s="20"/>
      <c r="F24" s="20"/>
      <c r="G24" s="20"/>
      <c r="H24" s="20"/>
      <c r="I24" s="20"/>
      <c r="J24" s="20"/>
    </row>
    <row r="25" spans="1:40">
      <c r="A25" s="20"/>
      <c r="B25" s="20"/>
      <c r="C25" s="20"/>
      <c r="D25" s="20"/>
      <c r="E25" s="20"/>
      <c r="F25" s="20"/>
      <c r="G25" s="20"/>
      <c r="H25" s="20"/>
      <c r="I25" s="20"/>
      <c r="J25" s="20"/>
    </row>
    <row r="26" spans="1:40" ht="15" thickBot="1">
      <c r="A26" s="20" t="s">
        <v>15</v>
      </c>
      <c r="B26" s="20"/>
      <c r="C26" s="20"/>
      <c r="D26" s="20"/>
      <c r="E26" s="20"/>
      <c r="F26" s="20"/>
      <c r="G26" s="20"/>
      <c r="H26" s="20"/>
      <c r="I26" s="20"/>
      <c r="J26" s="20"/>
    </row>
    <row r="27" spans="1:40" ht="16.75" customHeight="1" thickTop="1" thickBot="1">
      <c r="A27" s="1585" t="s">
        <v>40</v>
      </c>
      <c r="B27" s="1594" t="s">
        <v>3</v>
      </c>
      <c r="C27" s="1595"/>
      <c r="D27" s="1595"/>
      <c r="E27" s="1595"/>
      <c r="F27" s="1595"/>
      <c r="G27" s="1595"/>
      <c r="H27" s="1595"/>
      <c r="I27" s="1595"/>
      <c r="J27" s="1596"/>
      <c r="K27" s="344"/>
    </row>
    <row r="28" spans="1:40" ht="62.25" customHeight="1" thickTop="1" thickBot="1">
      <c r="A28" s="1586"/>
      <c r="B28" s="10" t="s">
        <v>41</v>
      </c>
      <c r="C28" s="10" t="s">
        <v>42</v>
      </c>
      <c r="D28" s="10" t="s">
        <v>43</v>
      </c>
      <c r="E28" s="10" t="s">
        <v>444</v>
      </c>
      <c r="F28" s="10" t="s">
        <v>44</v>
      </c>
      <c r="G28" s="10" t="s">
        <v>45</v>
      </c>
      <c r="H28" s="10" t="s">
        <v>445</v>
      </c>
      <c r="I28" s="10" t="s">
        <v>46</v>
      </c>
      <c r="J28" s="10" t="s">
        <v>14</v>
      </c>
    </row>
    <row r="29" spans="1:40" ht="15" customHeight="1" thickTop="1" thickBot="1">
      <c r="A29" s="41" t="s">
        <v>25</v>
      </c>
      <c r="B29" s="42"/>
      <c r="C29" s="42"/>
      <c r="D29" s="42"/>
      <c r="E29" s="42"/>
      <c r="F29" s="42"/>
      <c r="G29" s="42"/>
      <c r="H29" s="42"/>
      <c r="I29" s="42"/>
      <c r="J29" s="43"/>
      <c r="K29" s="344"/>
    </row>
    <row r="30" spans="1:40" ht="15" customHeight="1" thickTop="1" thickBot="1">
      <c r="A30" s="44" t="s">
        <v>26</v>
      </c>
      <c r="B30" s="22"/>
      <c r="C30" s="22"/>
      <c r="D30" s="22"/>
      <c r="E30" s="22"/>
      <c r="F30" s="45"/>
      <c r="G30" s="22"/>
      <c r="H30" s="22"/>
      <c r="I30" s="22"/>
      <c r="J30" s="15">
        <f>SUM(B30:H30)</f>
        <v>0</v>
      </c>
      <c r="T30" s="608">
        <f>SUM(B30:I30)-J30</f>
        <v>0</v>
      </c>
    </row>
    <row r="31" spans="1:40" ht="15" customHeight="1" thickBot="1">
      <c r="A31" s="14" t="s">
        <v>27</v>
      </c>
      <c r="B31" s="22"/>
      <c r="C31" s="22"/>
      <c r="D31" s="22"/>
      <c r="E31" s="22"/>
      <c r="F31" s="46"/>
      <c r="G31" s="22"/>
      <c r="H31" s="22"/>
      <c r="I31" s="22"/>
      <c r="J31" s="15">
        <f t="shared" ref="J31:J33" si="23">SUM(B31:H31)</f>
        <v>0</v>
      </c>
      <c r="T31" s="608">
        <f t="shared" ref="T31:T33" si="24">SUM(B31:I31)-J31</f>
        <v>0</v>
      </c>
    </row>
    <row r="32" spans="1:40" ht="15" customHeight="1" thickBot="1">
      <c r="A32" s="14" t="s">
        <v>28</v>
      </c>
      <c r="B32" s="22"/>
      <c r="C32" s="22"/>
      <c r="D32" s="22"/>
      <c r="E32" s="22"/>
      <c r="F32" s="46"/>
      <c r="G32" s="22"/>
      <c r="H32" s="22"/>
      <c r="I32" s="22"/>
      <c r="J32" s="15">
        <f t="shared" si="23"/>
        <v>0</v>
      </c>
      <c r="T32" s="608">
        <f t="shared" si="24"/>
        <v>0</v>
      </c>
    </row>
    <row r="33" spans="1:40" ht="15" customHeight="1" thickBot="1">
      <c r="A33" s="14" t="s">
        <v>29</v>
      </c>
      <c r="B33" s="22"/>
      <c r="C33" s="22"/>
      <c r="D33" s="22"/>
      <c r="E33" s="22"/>
      <c r="F33" s="46"/>
      <c r="G33" s="22"/>
      <c r="H33" s="22"/>
      <c r="I33" s="22"/>
      <c r="J33" s="15">
        <f t="shared" si="23"/>
        <v>0</v>
      </c>
      <c r="T33" s="608">
        <f t="shared" si="24"/>
        <v>0</v>
      </c>
    </row>
    <row r="34" spans="1:40" ht="15" customHeight="1" thickBot="1">
      <c r="A34" s="25" t="s">
        <v>30</v>
      </c>
      <c r="B34" s="26">
        <f>B30+B31-B32+B33</f>
        <v>0</v>
      </c>
      <c r="C34" s="26">
        <f>C30+C31-C32+C33</f>
        <v>0</v>
      </c>
      <c r="D34" s="26">
        <f>D30+D31-D32+D33</f>
        <v>0</v>
      </c>
      <c r="E34" s="26">
        <f t="shared" ref="E34:H34" si="25">E30+E31-E32+E33</f>
        <v>0</v>
      </c>
      <c r="F34" s="26">
        <f t="shared" si="25"/>
        <v>0</v>
      </c>
      <c r="G34" s="26">
        <f t="shared" si="25"/>
        <v>0</v>
      </c>
      <c r="H34" s="26">
        <f t="shared" si="25"/>
        <v>0</v>
      </c>
      <c r="I34" s="26">
        <f>I30+I31-I32+I33</f>
        <v>0</v>
      </c>
      <c r="J34" s="17">
        <f>J30+J31-J32+J33</f>
        <v>0</v>
      </c>
      <c r="L34" s="621">
        <f>B30+B31-B32+B33-B34</f>
        <v>0</v>
      </c>
      <c r="M34" s="661">
        <f t="shared" ref="M34:T34" si="26">C30+C31-C32+C33-C34</f>
        <v>0</v>
      </c>
      <c r="N34" s="661">
        <f t="shared" si="26"/>
        <v>0</v>
      </c>
      <c r="O34" s="661">
        <f t="shared" si="26"/>
        <v>0</v>
      </c>
      <c r="P34" s="661">
        <f t="shared" si="26"/>
        <v>0</v>
      </c>
      <c r="Q34" s="661">
        <f t="shared" si="26"/>
        <v>0</v>
      </c>
      <c r="R34" s="661">
        <f t="shared" si="26"/>
        <v>0</v>
      </c>
      <c r="S34" s="661">
        <f t="shared" si="26"/>
        <v>0</v>
      </c>
      <c r="T34" s="661">
        <f t="shared" si="26"/>
        <v>0</v>
      </c>
    </row>
    <row r="35" spans="1:40" ht="15" customHeight="1" thickTop="1" thickBot="1">
      <c r="A35" s="41" t="s">
        <v>31</v>
      </c>
      <c r="B35" s="42"/>
      <c r="C35" s="42"/>
      <c r="D35" s="42"/>
      <c r="E35" s="42"/>
      <c r="F35" s="42"/>
      <c r="G35" s="42"/>
      <c r="H35" s="42"/>
      <c r="I35" s="42"/>
      <c r="J35" s="43"/>
      <c r="L35" s="606"/>
      <c r="T35" s="608"/>
    </row>
    <row r="36" spans="1:40" ht="15" customHeight="1" thickTop="1" thickBot="1">
      <c r="A36" s="44" t="s">
        <v>32</v>
      </c>
      <c r="B36" s="22"/>
      <c r="C36" s="22"/>
      <c r="D36" s="22"/>
      <c r="E36" s="22"/>
      <c r="F36" s="22"/>
      <c r="G36" s="22"/>
      <c r="H36" s="22"/>
      <c r="I36" s="22"/>
      <c r="J36" s="15">
        <f>SUM(B36:H36)</f>
        <v>0</v>
      </c>
      <c r="L36" s="606"/>
      <c r="T36" s="608">
        <f t="shared" ref="T36:T38" si="27">SUM(B36:I36)-J36</f>
        <v>0</v>
      </c>
    </row>
    <row r="37" spans="1:40" ht="15" customHeight="1" thickBot="1">
      <c r="A37" s="14" t="s">
        <v>27</v>
      </c>
      <c r="B37" s="22"/>
      <c r="C37" s="22"/>
      <c r="D37" s="22"/>
      <c r="E37" s="22"/>
      <c r="F37" s="22"/>
      <c r="G37" s="22"/>
      <c r="H37" s="22"/>
      <c r="I37" s="22"/>
      <c r="J37" s="15">
        <f t="shared" ref="J37:J38" si="28">SUM(B37:H37)</f>
        <v>0</v>
      </c>
      <c r="L37" s="606"/>
      <c r="T37" s="608">
        <f t="shared" si="27"/>
        <v>0</v>
      </c>
    </row>
    <row r="38" spans="1:40" ht="15" customHeight="1" thickBot="1">
      <c r="A38" s="14" t="s">
        <v>28</v>
      </c>
      <c r="B38" s="22"/>
      <c r="C38" s="22"/>
      <c r="D38" s="22"/>
      <c r="E38" s="22"/>
      <c r="F38" s="22"/>
      <c r="G38" s="22"/>
      <c r="H38" s="22"/>
      <c r="I38" s="22"/>
      <c r="J38" s="15">
        <f t="shared" si="28"/>
        <v>0</v>
      </c>
      <c r="L38" s="606"/>
      <c r="T38" s="608">
        <f t="shared" si="27"/>
        <v>0</v>
      </c>
    </row>
    <row r="39" spans="1:40" ht="15" customHeight="1" thickBot="1">
      <c r="A39" s="25" t="s">
        <v>30</v>
      </c>
      <c r="B39" s="26">
        <f>B36+B37-B38</f>
        <v>0</v>
      </c>
      <c r="C39" s="26">
        <f>C36+C37-C38</f>
        <v>0</v>
      </c>
      <c r="D39" s="26">
        <f t="shared" ref="D39:I39" si="29">D36+D37-D38</f>
        <v>0</v>
      </c>
      <c r="E39" s="26">
        <f t="shared" si="29"/>
        <v>0</v>
      </c>
      <c r="F39" s="26">
        <f t="shared" si="29"/>
        <v>0</v>
      </c>
      <c r="G39" s="26">
        <f t="shared" si="29"/>
        <v>0</v>
      </c>
      <c r="H39" s="26">
        <f t="shared" si="29"/>
        <v>0</v>
      </c>
      <c r="I39" s="26">
        <f t="shared" si="29"/>
        <v>0</v>
      </c>
      <c r="J39" s="17">
        <f>J36+J37-J38</f>
        <v>0</v>
      </c>
      <c r="L39" s="621">
        <f>B36+B37-B38-B39</f>
        <v>0</v>
      </c>
      <c r="M39" s="661">
        <f t="shared" ref="M39:T39" si="30">C36+C37-C38-C39</f>
        <v>0</v>
      </c>
      <c r="N39" s="661">
        <f t="shared" si="30"/>
        <v>0</v>
      </c>
      <c r="O39" s="661">
        <f t="shared" si="30"/>
        <v>0</v>
      </c>
      <c r="P39" s="661">
        <f t="shared" si="30"/>
        <v>0</v>
      </c>
      <c r="Q39" s="661">
        <f t="shared" si="30"/>
        <v>0</v>
      </c>
      <c r="R39" s="661">
        <f t="shared" si="30"/>
        <v>0</v>
      </c>
      <c r="S39" s="661">
        <f t="shared" si="30"/>
        <v>0</v>
      </c>
      <c r="T39" s="661">
        <f t="shared" si="30"/>
        <v>0</v>
      </c>
    </row>
    <row r="40" spans="1:40" ht="15" customHeight="1" thickTop="1" thickBot="1">
      <c r="A40" s="41" t="s">
        <v>33</v>
      </c>
      <c r="B40" s="42"/>
      <c r="C40" s="42"/>
      <c r="D40" s="42"/>
      <c r="E40" s="42"/>
      <c r="F40" s="42"/>
      <c r="G40" s="42"/>
      <c r="H40" s="42"/>
      <c r="I40" s="42"/>
      <c r="J40" s="43"/>
      <c r="L40" s="606"/>
      <c r="T40" s="608"/>
    </row>
    <row r="41" spans="1:40" ht="15" customHeight="1" thickTop="1" thickBot="1">
      <c r="A41" s="44" t="s">
        <v>32</v>
      </c>
      <c r="B41" s="22"/>
      <c r="C41" s="22"/>
      <c r="D41" s="22"/>
      <c r="E41" s="22"/>
      <c r="F41" s="22"/>
      <c r="G41" s="22"/>
      <c r="H41" s="22"/>
      <c r="I41" s="22"/>
      <c r="J41" s="15">
        <f>SUM(B41:H41)</f>
        <v>0</v>
      </c>
      <c r="L41" s="606"/>
      <c r="T41" s="608">
        <f t="shared" ref="T41:T43" si="31">SUM(B41:I41)-J41</f>
        <v>0</v>
      </c>
    </row>
    <row r="42" spans="1:40" ht="15" customHeight="1" thickBot="1">
      <c r="A42" s="14" t="s">
        <v>27</v>
      </c>
      <c r="B42" s="22"/>
      <c r="C42" s="22"/>
      <c r="D42" s="22"/>
      <c r="E42" s="22"/>
      <c r="F42" s="22"/>
      <c r="G42" s="22"/>
      <c r="H42" s="22"/>
      <c r="I42" s="22"/>
      <c r="J42" s="15">
        <f t="shared" ref="J42:J43" si="32">SUM(B42:H42)</f>
        <v>0</v>
      </c>
      <c r="L42" s="606"/>
      <c r="T42" s="608">
        <f t="shared" si="31"/>
        <v>0</v>
      </c>
    </row>
    <row r="43" spans="1:40" ht="15" customHeight="1" thickBot="1">
      <c r="A43" s="14" t="s">
        <v>28</v>
      </c>
      <c r="B43" s="22"/>
      <c r="C43" s="22"/>
      <c r="D43" s="22"/>
      <c r="E43" s="22"/>
      <c r="F43" s="22"/>
      <c r="G43" s="22"/>
      <c r="H43" s="22"/>
      <c r="I43" s="22"/>
      <c r="J43" s="15">
        <f t="shared" si="32"/>
        <v>0</v>
      </c>
      <c r="L43" s="606"/>
      <c r="T43" s="608">
        <f t="shared" si="31"/>
        <v>0</v>
      </c>
    </row>
    <row r="44" spans="1:40" ht="15" customHeight="1" thickBot="1">
      <c r="A44" s="25" t="s">
        <v>30</v>
      </c>
      <c r="B44" s="26">
        <f>B41+B42-B43</f>
        <v>0</v>
      </c>
      <c r="C44" s="26">
        <f>C41+C42-C43</f>
        <v>0</v>
      </c>
      <c r="D44" s="26">
        <f t="shared" ref="D44:I44" si="33">D41+D42-D43</f>
        <v>0</v>
      </c>
      <c r="E44" s="26">
        <f t="shared" si="33"/>
        <v>0</v>
      </c>
      <c r="F44" s="26">
        <f t="shared" si="33"/>
        <v>0</v>
      </c>
      <c r="G44" s="26">
        <f t="shared" si="33"/>
        <v>0</v>
      </c>
      <c r="H44" s="26">
        <f t="shared" si="33"/>
        <v>0</v>
      </c>
      <c r="I44" s="26">
        <f t="shared" si="33"/>
        <v>0</v>
      </c>
      <c r="J44" s="17">
        <f>J41+J42-J43</f>
        <v>0</v>
      </c>
      <c r="L44" s="621">
        <f>B41+B42-B43-B44</f>
        <v>0</v>
      </c>
      <c r="M44" s="661">
        <f t="shared" ref="M44:T44" si="34">C41+C42-C43-C44</f>
        <v>0</v>
      </c>
      <c r="N44" s="661">
        <f t="shared" si="34"/>
        <v>0</v>
      </c>
      <c r="O44" s="661">
        <f t="shared" si="34"/>
        <v>0</v>
      </c>
      <c r="P44" s="661">
        <f t="shared" si="34"/>
        <v>0</v>
      </c>
      <c r="Q44" s="661">
        <f t="shared" si="34"/>
        <v>0</v>
      </c>
      <c r="R44" s="661">
        <f t="shared" si="34"/>
        <v>0</v>
      </c>
      <c r="S44" s="661">
        <f t="shared" si="34"/>
        <v>0</v>
      </c>
      <c r="T44" s="661">
        <f t="shared" si="34"/>
        <v>0</v>
      </c>
    </row>
    <row r="45" spans="1:40" ht="15" customHeight="1" thickTop="1" thickBot="1">
      <c r="A45" s="41" t="s">
        <v>34</v>
      </c>
      <c r="B45" s="42"/>
      <c r="C45" s="42"/>
      <c r="D45" s="42"/>
      <c r="E45" s="42"/>
      <c r="F45" s="42"/>
      <c r="G45" s="42"/>
      <c r="H45" s="42"/>
      <c r="I45" s="42"/>
      <c r="J45" s="43"/>
      <c r="L45" s="606"/>
      <c r="T45" s="608"/>
    </row>
    <row r="46" spans="1:40" ht="15" customHeight="1" thickTop="1" thickBot="1">
      <c r="A46" s="44" t="s">
        <v>32</v>
      </c>
      <c r="B46" s="22">
        <f>B30-B36-B41</f>
        <v>0</v>
      </c>
      <c r="C46" s="22">
        <f t="shared" ref="C46:J46" si="35">C30-C36-C41</f>
        <v>0</v>
      </c>
      <c r="D46" s="22">
        <f t="shared" si="35"/>
        <v>0</v>
      </c>
      <c r="E46" s="22">
        <f t="shared" si="35"/>
        <v>0</v>
      </c>
      <c r="F46" s="22">
        <f t="shared" si="35"/>
        <v>0</v>
      </c>
      <c r="G46" s="22">
        <f t="shared" si="35"/>
        <v>0</v>
      </c>
      <c r="H46" s="22">
        <f t="shared" si="35"/>
        <v>0</v>
      </c>
      <c r="I46" s="22">
        <f t="shared" si="35"/>
        <v>0</v>
      </c>
      <c r="J46" s="15">
        <f t="shared" si="35"/>
        <v>0</v>
      </c>
      <c r="L46" s="621">
        <f>B30-B36-B41-B46</f>
        <v>0</v>
      </c>
      <c r="M46" s="661">
        <f t="shared" ref="M46:S46" si="36">C30-C36-C41-C46</f>
        <v>0</v>
      </c>
      <c r="N46" s="661">
        <f t="shared" si="36"/>
        <v>0</v>
      </c>
      <c r="O46" s="661">
        <f t="shared" si="36"/>
        <v>0</v>
      </c>
      <c r="P46" s="661">
        <f t="shared" si="36"/>
        <v>0</v>
      </c>
      <c r="Q46" s="661">
        <f t="shared" si="36"/>
        <v>0</v>
      </c>
      <c r="R46" s="661">
        <f t="shared" si="36"/>
        <v>0</v>
      </c>
      <c r="S46" s="661">
        <f t="shared" si="36"/>
        <v>0</v>
      </c>
      <c r="T46" s="608">
        <f t="shared" ref="T46:T47" si="37">SUM(B46:I46)-J46</f>
        <v>0</v>
      </c>
    </row>
    <row r="47" spans="1:40" ht="15" customHeight="1" thickBot="1">
      <c r="A47" s="25" t="s">
        <v>30</v>
      </c>
      <c r="B47" s="26">
        <f>B34-B39-B44</f>
        <v>0</v>
      </c>
      <c r="C47" s="26">
        <f t="shared" ref="C47:J47" si="38">C34-C39-C44</f>
        <v>0</v>
      </c>
      <c r="D47" s="26">
        <f t="shared" si="38"/>
        <v>0</v>
      </c>
      <c r="E47" s="26">
        <f t="shared" si="38"/>
        <v>0</v>
      </c>
      <c r="F47" s="26">
        <f t="shared" si="38"/>
        <v>0</v>
      </c>
      <c r="G47" s="26">
        <f t="shared" si="38"/>
        <v>0</v>
      </c>
      <c r="H47" s="26">
        <f t="shared" si="38"/>
        <v>0</v>
      </c>
      <c r="I47" s="26">
        <f t="shared" si="38"/>
        <v>0</v>
      </c>
      <c r="J47" s="17">
        <f t="shared" si="38"/>
        <v>0</v>
      </c>
      <c r="L47" s="621">
        <f>B34-B39-B44-B47</f>
        <v>0</v>
      </c>
      <c r="M47" s="661">
        <f t="shared" ref="M47:S47" si="39">C34-C39-C44-C47</f>
        <v>0</v>
      </c>
      <c r="N47" s="661">
        <f t="shared" si="39"/>
        <v>0</v>
      </c>
      <c r="O47" s="661">
        <f t="shared" si="39"/>
        <v>0</v>
      </c>
      <c r="P47" s="661">
        <f t="shared" si="39"/>
        <v>0</v>
      </c>
      <c r="Q47" s="661">
        <f t="shared" si="39"/>
        <v>0</v>
      </c>
      <c r="R47" s="661">
        <f t="shared" si="39"/>
        <v>0</v>
      </c>
      <c r="S47" s="661">
        <f t="shared" si="39"/>
        <v>0</v>
      </c>
      <c r="T47" s="608">
        <f t="shared" si="37"/>
        <v>0</v>
      </c>
      <c r="AF47" s="621">
        <f>B47-'BS old'!$G$21</f>
        <v>0</v>
      </c>
      <c r="AG47" s="661">
        <f>C47-'BS old'!$G$22</f>
        <v>0</v>
      </c>
      <c r="AH47" s="661">
        <f>D47-'BS old'!$G$23</f>
        <v>0</v>
      </c>
      <c r="AI47" s="661">
        <f>E47-'BS old'!$G$24</f>
        <v>0</v>
      </c>
      <c r="AJ47" s="661">
        <f>F47-'BS old'!$G$25</f>
        <v>0</v>
      </c>
      <c r="AK47" s="661">
        <f>G47-'BS old'!$G$26</f>
        <v>0</v>
      </c>
      <c r="AL47" s="661">
        <f>H47-'BS old'!$G$27</f>
        <v>0</v>
      </c>
      <c r="AM47" s="661">
        <f>I47-'BS old'!$G$28</f>
        <v>0</v>
      </c>
      <c r="AN47" s="608">
        <f>J47-'BS old'!$G$20</f>
        <v>0</v>
      </c>
    </row>
    <row r="48" spans="1:40" ht="15" thickTop="1"/>
  </sheetData>
  <mergeCells count="7">
    <mergeCell ref="V1:AD1"/>
    <mergeCell ref="AF1:AN1"/>
    <mergeCell ref="A3:A4"/>
    <mergeCell ref="A27:A28"/>
    <mergeCell ref="B27:J27"/>
    <mergeCell ref="B3:J3"/>
    <mergeCell ref="L1:T1"/>
  </mergeCells>
  <conditionalFormatting sqref="L6:T23 V6:AD22 AF10:AN29">
    <cfRule type="cellIs" dxfId="308" priority="57" operator="lessThan">
      <formula>0</formula>
    </cfRule>
    <cfRule type="cellIs" dxfId="307" priority="58" operator="greaterThan">
      <formula>0</formula>
    </cfRule>
  </conditionalFormatting>
  <conditionalFormatting sqref="L30:T47">
    <cfRule type="cellIs" dxfId="306" priority="55" operator="lessThan">
      <formula>0</formula>
    </cfRule>
    <cfRule type="cellIs" dxfId="305" priority="56" operator="greaterThan">
      <formula>0</formula>
    </cfRule>
  </conditionalFormatting>
  <conditionalFormatting sqref="AF30:AN47">
    <cfRule type="cellIs" dxfId="304" priority="51" operator="lessThan">
      <formula>0</formula>
    </cfRule>
    <cfRule type="cellIs" dxfId="303" priority="52" operator="greaterThan">
      <formula>0</formula>
    </cfRule>
  </conditionalFormatting>
  <conditionalFormatting sqref="L30:T47">
    <cfRule type="cellIs" dxfId="302" priority="49" operator="lessThan">
      <formula>0</formula>
    </cfRule>
    <cfRule type="cellIs" dxfId="301" priority="50" operator="greaterThan">
      <formula>0</formula>
    </cfRule>
  </conditionalFormatting>
  <conditionalFormatting sqref="L6:T23">
    <cfRule type="cellIs" dxfId="300" priority="47" operator="lessThan">
      <formula>0</formula>
    </cfRule>
    <cfRule type="cellIs" dxfId="299" priority="48" operator="greaterThan">
      <formula>0</formula>
    </cfRule>
  </conditionalFormatting>
  <conditionalFormatting sqref="L30:T47">
    <cfRule type="cellIs" dxfId="298" priority="45" operator="lessThan">
      <formula>0</formula>
    </cfRule>
    <cfRule type="cellIs" dxfId="297" priority="46" operator="greaterThan">
      <formula>0</formula>
    </cfRule>
  </conditionalFormatting>
  <conditionalFormatting sqref="L30:T47">
    <cfRule type="cellIs" dxfId="296" priority="43" operator="lessThan">
      <formula>0</formula>
    </cfRule>
    <cfRule type="cellIs" dxfId="295" priority="44" operator="greaterThan">
      <formula>0</formula>
    </cfRule>
  </conditionalFormatting>
  <conditionalFormatting sqref="M10:T10 L15:T15 L20:T20 M11:S14 L10:L14 L16:S19 L21:S23">
    <cfRule type="cellIs" dxfId="294" priority="41" operator="lessThan">
      <formula>0</formula>
    </cfRule>
    <cfRule type="cellIs" dxfId="293" priority="42" operator="greaterThan">
      <formula>0</formula>
    </cfRule>
  </conditionalFormatting>
  <conditionalFormatting sqref="T10">
    <cfRule type="cellIs" dxfId="292" priority="39" operator="lessThan">
      <formula>0</formula>
    </cfRule>
    <cfRule type="cellIs" dxfId="291" priority="40" operator="greaterThan">
      <formula>0</formula>
    </cfRule>
  </conditionalFormatting>
  <conditionalFormatting sqref="T15">
    <cfRule type="cellIs" dxfId="290" priority="37" operator="lessThan">
      <formula>0</formula>
    </cfRule>
    <cfRule type="cellIs" dxfId="289" priority="38" operator="greaterThan">
      <formula>0</formula>
    </cfRule>
  </conditionalFormatting>
  <conditionalFormatting sqref="T20">
    <cfRule type="cellIs" dxfId="288" priority="35" operator="lessThan">
      <formula>0</formula>
    </cfRule>
    <cfRule type="cellIs" dxfId="287" priority="36" operator="greaterThan">
      <formula>0</formula>
    </cfRule>
  </conditionalFormatting>
  <conditionalFormatting sqref="T10">
    <cfRule type="cellIs" dxfId="286" priority="33" operator="lessThan">
      <formula>0</formula>
    </cfRule>
    <cfRule type="cellIs" dxfId="285" priority="34" operator="greaterThan">
      <formula>0</formula>
    </cfRule>
  </conditionalFormatting>
  <conditionalFormatting sqref="T15">
    <cfRule type="cellIs" dxfId="284" priority="31" operator="lessThan">
      <formula>0</formula>
    </cfRule>
    <cfRule type="cellIs" dxfId="283" priority="32" operator="greaterThan">
      <formula>0</formula>
    </cfRule>
  </conditionalFormatting>
  <conditionalFormatting sqref="T15">
    <cfRule type="cellIs" dxfId="282" priority="29" operator="lessThan">
      <formula>0</formula>
    </cfRule>
    <cfRule type="cellIs" dxfId="281" priority="30" operator="greaterThan">
      <formula>0</formula>
    </cfRule>
  </conditionalFormatting>
  <conditionalFormatting sqref="T20">
    <cfRule type="cellIs" dxfId="280" priority="27" operator="lessThan">
      <formula>0</formula>
    </cfRule>
    <cfRule type="cellIs" dxfId="279" priority="28" operator="greaterThan">
      <formula>0</formula>
    </cfRule>
  </conditionalFormatting>
  <conditionalFormatting sqref="T20">
    <cfRule type="cellIs" dxfId="278" priority="25" operator="lessThan">
      <formula>0</formula>
    </cfRule>
    <cfRule type="cellIs" dxfId="277" priority="26" operator="greaterThan">
      <formula>0</formula>
    </cfRule>
  </conditionalFormatting>
  <conditionalFormatting sqref="T20">
    <cfRule type="cellIs" dxfId="276" priority="23" operator="lessThan">
      <formula>0</formula>
    </cfRule>
    <cfRule type="cellIs" dxfId="275" priority="24" operator="greaterThan">
      <formula>0</formula>
    </cfRule>
  </conditionalFormatting>
  <conditionalFormatting sqref="L30:T47">
    <cfRule type="cellIs" dxfId="274" priority="21" operator="lessThan">
      <formula>0</formula>
    </cfRule>
    <cfRule type="cellIs" dxfId="273" priority="22" operator="greaterThan">
      <formula>0</formula>
    </cfRule>
  </conditionalFormatting>
  <conditionalFormatting sqref="M34:T34 L39:T39 L44:T44 M35:S38 L34:L38 L40:S43 L45:S47">
    <cfRule type="cellIs" dxfId="272" priority="19" operator="lessThan">
      <formula>0</formula>
    </cfRule>
    <cfRule type="cellIs" dxfId="271" priority="20" operator="greaterThan">
      <formula>0</formula>
    </cfRule>
  </conditionalFormatting>
  <conditionalFormatting sqref="T34">
    <cfRule type="cellIs" dxfId="270" priority="17" operator="lessThan">
      <formula>0</formula>
    </cfRule>
    <cfRule type="cellIs" dxfId="269" priority="18" operator="greaterThan">
      <formula>0</formula>
    </cfRule>
  </conditionalFormatting>
  <conditionalFormatting sqref="T39">
    <cfRule type="cellIs" dxfId="268" priority="15" operator="lessThan">
      <formula>0</formula>
    </cfRule>
    <cfRule type="cellIs" dxfId="267" priority="16" operator="greaterThan">
      <formula>0</formula>
    </cfRule>
  </conditionalFormatting>
  <conditionalFormatting sqref="T44">
    <cfRule type="cellIs" dxfId="266" priority="13" operator="lessThan">
      <formula>0</formula>
    </cfRule>
    <cfRule type="cellIs" dxfId="265" priority="14" operator="greaterThan">
      <formula>0</formula>
    </cfRule>
  </conditionalFormatting>
  <conditionalFormatting sqref="T34">
    <cfRule type="cellIs" dxfId="264" priority="11" operator="lessThan">
      <formula>0</formula>
    </cfRule>
    <cfRule type="cellIs" dxfId="263" priority="12" operator="greaterThan">
      <formula>0</formula>
    </cfRule>
  </conditionalFormatting>
  <conditionalFormatting sqref="T39">
    <cfRule type="cellIs" dxfId="262" priority="9" operator="lessThan">
      <formula>0</formula>
    </cfRule>
    <cfRule type="cellIs" dxfId="261" priority="10" operator="greaterThan">
      <formula>0</formula>
    </cfRule>
  </conditionalFormatting>
  <conditionalFormatting sqref="T39">
    <cfRule type="cellIs" dxfId="260" priority="7" operator="lessThan">
      <formula>0</formula>
    </cfRule>
    <cfRule type="cellIs" dxfId="259" priority="8" operator="greaterThan">
      <formula>0</formula>
    </cfRule>
  </conditionalFormatting>
  <conditionalFormatting sqref="T44">
    <cfRule type="cellIs" dxfId="258" priority="5" operator="lessThan">
      <formula>0</formula>
    </cfRule>
    <cfRule type="cellIs" dxfId="257" priority="6" operator="greaterThan">
      <formula>0</formula>
    </cfRule>
  </conditionalFormatting>
  <conditionalFormatting sqref="T44">
    <cfRule type="cellIs" dxfId="256" priority="3" operator="lessThan">
      <formula>0</formula>
    </cfRule>
    <cfRule type="cellIs" dxfId="255" priority="4" operator="greaterThan">
      <formula>0</formula>
    </cfRule>
  </conditionalFormatting>
  <conditionalFormatting sqref="T44">
    <cfRule type="cellIs" dxfId="254" priority="1" operator="lessThan">
      <formula>0</formula>
    </cfRule>
    <cfRule type="cellIs" dxfId="253" priority="2" operator="greaterThan">
      <formula>0</formula>
    </cfRule>
  </conditionalFormatting>
  <pageMargins left="0.7" right="0.7" top="0.75" bottom="0.75" header="0.3" footer="0.3"/>
  <pageSetup paperSize="9"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ColWidth="9.1796875" defaultRowHeight="12.5"/>
  <cols>
    <col min="1" max="10" width="2.54296875" style="818" customWidth="1"/>
    <col min="11" max="11" width="3.453125" style="818" customWidth="1"/>
    <col min="12" max="36" width="2.54296875" style="818" customWidth="1"/>
    <col min="37" max="37" width="2.1796875" style="818" customWidth="1"/>
    <col min="38" max="38" width="1.81640625" style="818" customWidth="1"/>
    <col min="39" max="39" width="2.1796875" style="818" customWidth="1"/>
    <col min="40" max="45" width="2.54296875" style="818" customWidth="1"/>
    <col min="46" max="46" width="7.7265625" style="818" customWidth="1"/>
    <col min="47" max="61" width="2.54296875" style="818" customWidth="1"/>
    <col min="62" max="16384" width="9.1796875" style="818"/>
  </cols>
  <sheetData>
    <row r="1" spans="1:38" s="500" customFormat="1" ht="9.5" thickBot="1">
      <c r="C1" s="817" t="s">
        <v>1061</v>
      </c>
    </row>
    <row r="2" spans="1:38" s="397" customFormat="1" ht="21" customHeight="1" thickBot="1">
      <c r="C2" s="819" t="s">
        <v>1541</v>
      </c>
      <c r="D2" s="820"/>
      <c r="E2" s="820"/>
      <c r="F2" s="820"/>
      <c r="G2" s="820"/>
      <c r="H2" s="820"/>
      <c r="I2" s="820"/>
      <c r="J2" s="821"/>
      <c r="Q2" s="496" t="s">
        <v>1542</v>
      </c>
    </row>
    <row r="3" spans="1:38" ht="13" thickBot="1"/>
    <row r="4" spans="1:38" ht="28.5" customHeight="1" thickBot="1">
      <c r="K4" s="856" t="s">
        <v>1543</v>
      </c>
      <c r="L4" s="494" t="str">
        <f>+MID('Input data'!$B$11,1,1)</f>
        <v>3</v>
      </c>
      <c r="M4" s="494" t="str">
        <f>+MID('Input data'!$B$11,2,1)</f>
        <v>1</v>
      </c>
      <c r="N4" s="494" t="s">
        <v>1063</v>
      </c>
      <c r="O4" s="494" t="str">
        <f>LEFT('Input data'!B13,1)</f>
        <v>0</v>
      </c>
      <c r="P4" s="494" t="str">
        <f>RIGHT('Input data'!B13,1)</f>
        <v>3</v>
      </c>
      <c r="Q4" s="494" t="s">
        <v>1063</v>
      </c>
      <c r="R4" s="494" t="str">
        <f>+LEFT('Input data'!$B$14,1)</f>
        <v>2</v>
      </c>
      <c r="S4" s="494" t="str">
        <f>+MID('Input data'!$B$14,2,1)</f>
        <v>0</v>
      </c>
      <c r="T4" s="494" t="str">
        <f>+MID('Input data'!$B$14,3,1)</f>
        <v>1</v>
      </c>
      <c r="U4" s="494" t="str">
        <f>+MID('Input data'!$B$14,4,1)</f>
        <v>9</v>
      </c>
      <c r="V4" s="2723" t="s">
        <v>1544</v>
      </c>
      <c r="W4" s="2724"/>
      <c r="X4" s="2724"/>
      <c r="Y4" s="2724"/>
      <c r="Z4" s="2724"/>
      <c r="AA4" s="2725"/>
    </row>
    <row r="5" spans="1:38" ht="7.5" customHeight="1" thickBot="1"/>
    <row r="6" spans="1:38" s="487" customFormat="1" ht="14.25" customHeight="1">
      <c r="A6" s="490" t="s">
        <v>1545</v>
      </c>
      <c r="B6" s="490"/>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9"/>
      <c r="AL6" s="488"/>
    </row>
    <row r="7" spans="1:38" s="487" customFormat="1" ht="14.25" customHeight="1">
      <c r="A7" s="857" t="s">
        <v>1546</v>
      </c>
      <c r="B7" s="857"/>
      <c r="C7" s="858"/>
      <c r="D7" s="858"/>
      <c r="E7" s="858"/>
      <c r="F7" s="858"/>
      <c r="G7" s="858"/>
      <c r="H7" s="858"/>
      <c r="I7" s="858"/>
      <c r="J7" s="858"/>
      <c r="K7" s="858"/>
      <c r="L7" s="858"/>
      <c r="M7" s="858"/>
      <c r="N7" s="858"/>
      <c r="O7" s="858"/>
      <c r="P7" s="858"/>
      <c r="Q7" s="858"/>
      <c r="R7" s="858"/>
      <c r="S7" s="858"/>
      <c r="T7" s="858"/>
      <c r="U7" s="858"/>
      <c r="V7" s="858"/>
      <c r="W7" s="858"/>
      <c r="X7" s="858"/>
      <c r="Y7" s="858"/>
      <c r="Z7" s="858"/>
      <c r="AA7" s="858"/>
      <c r="AB7" s="858"/>
      <c r="AC7" s="858"/>
      <c r="AD7" s="858"/>
      <c r="AE7" s="858"/>
      <c r="AF7" s="858"/>
      <c r="AG7" s="858"/>
      <c r="AH7" s="858"/>
      <c r="AI7" s="858"/>
      <c r="AJ7" s="858"/>
      <c r="AK7" s="858"/>
      <c r="AL7" s="859"/>
    </row>
    <row r="8" spans="1:38" s="863" customFormat="1" ht="15" customHeight="1">
      <c r="A8" s="860" t="s">
        <v>1547</v>
      </c>
      <c r="B8" s="860"/>
      <c r="C8" s="861"/>
      <c r="D8" s="861"/>
      <c r="E8" s="861"/>
      <c r="F8" s="861"/>
      <c r="G8" s="861"/>
      <c r="H8" s="861"/>
      <c r="I8" s="861"/>
      <c r="J8" s="861"/>
      <c r="K8" s="861"/>
      <c r="L8" s="861"/>
      <c r="M8" s="861"/>
      <c r="N8" s="861"/>
      <c r="O8" s="861"/>
      <c r="P8" s="861"/>
      <c r="Q8" s="861"/>
      <c r="R8" s="861"/>
      <c r="S8" s="862"/>
      <c r="T8" s="861"/>
      <c r="U8" s="861"/>
      <c r="V8" s="861"/>
      <c r="W8" s="861"/>
      <c r="X8" s="861"/>
      <c r="Y8" s="861"/>
      <c r="Z8" s="861"/>
      <c r="AA8" s="861"/>
      <c r="AB8" s="861"/>
      <c r="AC8" s="861"/>
      <c r="AD8" s="861"/>
      <c r="AE8" s="861"/>
      <c r="AF8" s="861"/>
      <c r="AG8" s="861"/>
      <c r="AH8" s="861"/>
      <c r="AI8" s="861"/>
      <c r="AJ8" s="861"/>
      <c r="AK8" s="861"/>
      <c r="AL8" s="859"/>
    </row>
    <row r="9" spans="1:38" s="482" customFormat="1" ht="18" customHeight="1" thickBot="1">
      <c r="A9" s="485" t="s">
        <v>1548</v>
      </c>
      <c r="B9" s="485"/>
      <c r="C9" s="484"/>
      <c r="D9" s="484"/>
      <c r="E9" s="485"/>
      <c r="F9" s="484"/>
      <c r="G9" s="484"/>
      <c r="H9" s="484"/>
      <c r="I9" s="484"/>
      <c r="J9" s="484"/>
      <c r="K9" s="484"/>
      <c r="L9" s="484"/>
      <c r="M9" s="484"/>
      <c r="N9" s="484"/>
      <c r="O9" s="484"/>
      <c r="P9" s="484"/>
      <c r="Q9" s="484"/>
      <c r="R9" s="484"/>
      <c r="S9" s="483"/>
      <c r="T9" s="484"/>
      <c r="U9" s="484"/>
      <c r="V9" s="484"/>
      <c r="W9" s="484"/>
      <c r="X9" s="484"/>
      <c r="Y9" s="484"/>
      <c r="Z9" s="484"/>
      <c r="AA9" s="484"/>
      <c r="AB9" s="484"/>
      <c r="AC9" s="484"/>
      <c r="AD9" s="484"/>
      <c r="AE9" s="484"/>
      <c r="AF9" s="484"/>
      <c r="AG9" s="484"/>
      <c r="AH9" s="484"/>
      <c r="AI9" s="484"/>
      <c r="AJ9" s="484"/>
      <c r="AK9" s="484"/>
      <c r="AL9" s="483"/>
    </row>
    <row r="10" spans="1:38" s="462" customFormat="1" ht="3.75" customHeight="1" thickBot="1"/>
    <row r="11" spans="1:38" s="462" customFormat="1" ht="14.25" customHeight="1">
      <c r="A11" s="464" t="s">
        <v>1549</v>
      </c>
      <c r="B11" s="463"/>
      <c r="C11" s="463"/>
      <c r="D11" s="463"/>
      <c r="E11" s="463"/>
      <c r="F11" s="463"/>
      <c r="G11" s="463"/>
      <c r="H11" s="463"/>
      <c r="I11" s="407"/>
      <c r="J11" s="841"/>
      <c r="K11" s="480" t="s">
        <v>1550</v>
      </c>
      <c r="L11" s="463"/>
      <c r="M11" s="481"/>
      <c r="N11" s="481"/>
      <c r="O11" s="481"/>
      <c r="P11" s="463"/>
      <c r="Q11" s="480" t="s">
        <v>1550</v>
      </c>
      <c r="R11" s="463"/>
      <c r="S11" s="407"/>
      <c r="T11" s="463"/>
      <c r="U11" s="463"/>
      <c r="V11" s="842"/>
      <c r="W11" s="463"/>
      <c r="X11" s="463"/>
      <c r="Y11" s="463"/>
      <c r="Z11" s="463"/>
      <c r="AA11" s="463"/>
      <c r="AB11" s="463"/>
      <c r="AC11" s="463"/>
      <c r="AD11" s="480" t="s">
        <v>1551</v>
      </c>
      <c r="AE11" s="480"/>
      <c r="AF11" s="480"/>
      <c r="AG11" s="480" t="s">
        <v>1552</v>
      </c>
      <c r="AH11" s="463"/>
      <c r="AI11" s="463"/>
      <c r="AJ11" s="463"/>
      <c r="AK11" s="463"/>
      <c r="AL11" s="479"/>
    </row>
    <row r="12" spans="1:38" s="462" customFormat="1" ht="19.5" customHeight="1">
      <c r="A12" s="476" t="str">
        <f>LEFT('Input data'!C24,1)</f>
        <v>2</v>
      </c>
      <c r="B12" s="441" t="str">
        <f>MID('Input data'!$C$24,2,1)</f>
        <v>0</v>
      </c>
      <c r="C12" s="441" t="str">
        <f>MID('Input data'!$C$24,3,1)</f>
        <v>2</v>
      </c>
      <c r="D12" s="441" t="str">
        <f>MID('Input data'!$C$24,4,1)</f>
        <v>0</v>
      </c>
      <c r="E12" s="441" t="str">
        <f>MID('Input data'!$C$24,5,1)</f>
        <v>3</v>
      </c>
      <c r="F12" s="441" t="str">
        <f>MID('Input data'!$C$24,6,1)</f>
        <v>1</v>
      </c>
      <c r="G12" s="441" t="str">
        <f>MID('Input data'!$C$24,7,1)</f>
        <v>9</v>
      </c>
      <c r="H12" s="441" t="str">
        <f>MID('Input data'!$C$24,8,1)</f>
        <v>8</v>
      </c>
      <c r="I12" s="441" t="str">
        <f>MID('Input data'!$C$24,9,1)</f>
        <v>2</v>
      </c>
      <c r="J12" s="843" t="str">
        <f>MID('Input data'!$C$24,10,1)</f>
        <v>9</v>
      </c>
      <c r="K12" s="844"/>
      <c r="L12" s="465"/>
      <c r="M12" s="465"/>
      <c r="N12" s="465"/>
      <c r="O12" s="465"/>
      <c r="P12" s="465"/>
      <c r="Q12" s="465"/>
      <c r="R12" s="465"/>
      <c r="S12" s="465"/>
      <c r="T12" s="465"/>
      <c r="U12" s="465"/>
      <c r="V12" s="845"/>
      <c r="W12" s="470" t="s">
        <v>1553</v>
      </c>
      <c r="X12" s="465"/>
      <c r="Y12" s="465"/>
      <c r="Z12" s="465"/>
      <c r="AA12" s="465"/>
      <c r="AB12" s="470" t="s">
        <v>1554</v>
      </c>
      <c r="AC12" s="465"/>
      <c r="AD12" s="441" t="str">
        <f>MID('Input data'!$B$8,1,1)</f>
        <v>0</v>
      </c>
      <c r="AE12" s="441" t="str">
        <f>MID('Input data'!$B$8,2,1)</f>
        <v>4</v>
      </c>
      <c r="AF12" s="441"/>
      <c r="AG12" s="441" t="str">
        <f>MID('Input data'!$B$9,1,1)</f>
        <v>2</v>
      </c>
      <c r="AH12" s="441" t="str">
        <f>MID('Input data'!$B$9,2,1)</f>
        <v>0</v>
      </c>
      <c r="AI12" s="441" t="str">
        <f>MID('Input data'!$B$9,3,1)</f>
        <v>1</v>
      </c>
      <c r="AJ12" s="441" t="str">
        <f>MID('Input data'!$B$9,4,1)</f>
        <v>8</v>
      </c>
      <c r="AK12" s="465"/>
      <c r="AL12" s="471"/>
    </row>
    <row r="13" spans="1:38" s="462" customFormat="1" ht="19.5" customHeight="1">
      <c r="A13" s="403" t="s">
        <v>1555</v>
      </c>
      <c r="B13" s="465"/>
      <c r="C13" s="465"/>
      <c r="D13" s="465"/>
      <c r="E13" s="465"/>
      <c r="F13" s="465"/>
      <c r="G13" s="465"/>
      <c r="H13" s="399"/>
      <c r="I13" s="399"/>
      <c r="J13" s="527"/>
      <c r="K13" s="478" t="str">
        <f>IF('Input data'!D7="x","x"," ")</f>
        <v>x</v>
      </c>
      <c r="L13" s="470" t="s">
        <v>1556</v>
      </c>
      <c r="N13" s="472"/>
      <c r="O13" s="472"/>
      <c r="P13" s="472"/>
      <c r="Q13" s="472"/>
      <c r="R13" s="478" t="str">
        <f>IF('Input data'!D17="x","x"," ")</f>
        <v>x</v>
      </c>
      <c r="S13" s="470" t="s">
        <v>1557</v>
      </c>
      <c r="T13" s="465"/>
      <c r="U13" s="465"/>
      <c r="V13" s="845"/>
      <c r="W13" s="825"/>
      <c r="X13" s="826"/>
      <c r="Y13" s="826"/>
      <c r="Z13" s="826"/>
      <c r="AA13" s="826"/>
      <c r="AB13" s="827" t="s">
        <v>1558</v>
      </c>
      <c r="AC13" s="826"/>
      <c r="AD13" s="828" t="str">
        <f>MID('Input data'!$B$13,1,1)</f>
        <v>0</v>
      </c>
      <c r="AE13" s="828" t="str">
        <f>MID('Input data'!$B$13,2,1)</f>
        <v>3</v>
      </c>
      <c r="AF13" s="828"/>
      <c r="AG13" s="828" t="str">
        <f>MID('Input data'!$B$14,1,1)</f>
        <v>2</v>
      </c>
      <c r="AH13" s="828" t="str">
        <f>MID('Input data'!$B$14,2,1)</f>
        <v>0</v>
      </c>
      <c r="AI13" s="828" t="str">
        <f>MID('Input data'!$B$14,3,1)</f>
        <v>1</v>
      </c>
      <c r="AJ13" s="828" t="str">
        <f>MID('Input data'!$B$14,4,1)</f>
        <v>9</v>
      </c>
      <c r="AK13" s="826"/>
      <c r="AL13" s="829"/>
    </row>
    <row r="14" spans="1:38" s="462" customFormat="1" ht="19.5" customHeight="1">
      <c r="A14" s="864" t="str">
        <f>LEFT('Input data'!C26,1)</f>
        <v>3</v>
      </c>
      <c r="B14" s="474" t="str">
        <f>MID('Input data'!$C$26,2,1)</f>
        <v>1</v>
      </c>
      <c r="C14" s="474" t="str">
        <f>MID('Input data'!$C$26,3,1)</f>
        <v>3</v>
      </c>
      <c r="D14" s="474" t="str">
        <f>MID('Input data'!$C$26,4,1)</f>
        <v>6</v>
      </c>
      <c r="E14" s="474" t="str">
        <f>MID('Input data'!$C$26,5,1)</f>
        <v>5</v>
      </c>
      <c r="F14" s="474" t="str">
        <f>MID('Input data'!$C$26,6,1)</f>
        <v>5</v>
      </c>
      <c r="G14" s="474" t="str">
        <f>MID('Input data'!$C$26,7,1)</f>
        <v>0</v>
      </c>
      <c r="H14" s="474" t="str">
        <f>MID('Input data'!$C$26,8,1)</f>
        <v>7</v>
      </c>
      <c r="I14" s="399"/>
      <c r="J14" s="527"/>
      <c r="K14" s="399" t="str">
        <f>IF('Input data'!D8="x","x", "")</f>
        <v/>
      </c>
      <c r="L14" s="470" t="s">
        <v>1559</v>
      </c>
      <c r="M14" s="470"/>
      <c r="N14" s="472"/>
      <c r="O14" s="472"/>
      <c r="P14" s="472"/>
      <c r="Q14" s="472"/>
      <c r="R14" s="472" t="str">
        <f>IF('Input data'!D18="x","x"," ")</f>
        <v xml:space="preserve"> </v>
      </c>
      <c r="S14" s="470" t="s">
        <v>1560</v>
      </c>
      <c r="T14" s="465"/>
      <c r="U14" s="465"/>
      <c r="V14" s="845"/>
      <c r="W14" s="470"/>
      <c r="X14" s="465"/>
      <c r="Y14" s="402"/>
      <c r="Z14" s="399"/>
      <c r="AA14" s="399"/>
      <c r="AB14" s="472"/>
      <c r="AC14" s="399"/>
      <c r="AD14" s="474"/>
      <c r="AE14" s="474"/>
      <c r="AF14" s="474"/>
      <c r="AG14" s="474"/>
      <c r="AH14" s="474"/>
      <c r="AI14" s="474"/>
      <c r="AJ14" s="474"/>
      <c r="AK14" s="399"/>
      <c r="AL14" s="471"/>
    </row>
    <row r="15" spans="1:38" s="462" customFormat="1" ht="19.5" customHeight="1">
      <c r="A15" s="403" t="s">
        <v>1081</v>
      </c>
      <c r="B15" s="465"/>
      <c r="C15" s="465"/>
      <c r="D15" s="465"/>
      <c r="E15" s="465"/>
      <c r="F15" s="418"/>
      <c r="G15" s="465"/>
      <c r="H15" s="465"/>
      <c r="I15" s="399"/>
      <c r="J15" s="527"/>
      <c r="K15" s="844"/>
      <c r="L15" s="399"/>
      <c r="M15" s="470"/>
      <c r="N15" s="472"/>
      <c r="O15" s="472"/>
      <c r="P15" s="472"/>
      <c r="Q15" s="472"/>
      <c r="R15" s="865" t="s">
        <v>1561</v>
      </c>
      <c r="S15" s="472"/>
      <c r="T15" s="465"/>
      <c r="U15" s="465"/>
      <c r="V15" s="845"/>
      <c r="W15" s="470" t="s">
        <v>1562</v>
      </c>
      <c r="X15" s="465"/>
      <c r="Y15" s="402"/>
      <c r="Z15" s="399"/>
      <c r="AA15" s="399"/>
      <c r="AB15" s="470" t="s">
        <v>1554</v>
      </c>
      <c r="AC15" s="399"/>
      <c r="AD15" s="441" t="str">
        <f>MID('Input data'!$B$18,1,1)</f>
        <v>0</v>
      </c>
      <c r="AE15" s="441" t="str">
        <f>MID('Input data'!$B$18,2,1)</f>
        <v>4</v>
      </c>
      <c r="AF15" s="441"/>
      <c r="AG15" s="441" t="str">
        <f>MID('Input data'!$B$19,1,1)</f>
        <v>2</v>
      </c>
      <c r="AH15" s="441" t="str">
        <f>MID('Input data'!$B$19,2,1)</f>
        <v>0</v>
      </c>
      <c r="AI15" s="441" t="str">
        <f>MID('Input data'!$B$19,3,1)</f>
        <v>1</v>
      </c>
      <c r="AJ15" s="441" t="str">
        <f>MID('Input data'!$B$19,4,1)</f>
        <v>7</v>
      </c>
      <c r="AK15" s="399"/>
      <c r="AL15" s="471"/>
    </row>
    <row r="16" spans="1:38" s="462" customFormat="1" ht="19.5" customHeight="1" thickBot="1">
      <c r="A16" s="469" t="str">
        <f>'SK Cover sheet'!A15</f>
        <v>2</v>
      </c>
      <c r="B16" s="394" t="str">
        <f>'SK Cover sheet'!B15</f>
        <v>7</v>
      </c>
      <c r="C16" s="467" t="s">
        <v>1063</v>
      </c>
      <c r="D16" s="394" t="str">
        <f>'SK Cover sheet'!D15</f>
        <v>3</v>
      </c>
      <c r="E16" s="394" t="str">
        <f>'SK Cover sheet'!E15</f>
        <v>1</v>
      </c>
      <c r="F16" s="467" t="s">
        <v>1063</v>
      </c>
      <c r="G16" s="394" t="str">
        <f>'SK Cover sheet'!G15</f>
        <v>0</v>
      </c>
      <c r="H16" s="394"/>
      <c r="I16" s="394"/>
      <c r="J16" s="847"/>
      <c r="K16" s="848"/>
      <c r="L16" s="394"/>
      <c r="M16" s="394"/>
      <c r="N16" s="394"/>
      <c r="O16" s="394"/>
      <c r="P16" s="394"/>
      <c r="Q16" s="394"/>
      <c r="R16" s="394"/>
      <c r="S16" s="394"/>
      <c r="T16" s="467"/>
      <c r="U16" s="467"/>
      <c r="V16" s="849"/>
      <c r="W16" s="466"/>
      <c r="X16" s="467"/>
      <c r="Y16" s="395"/>
      <c r="Z16" s="394"/>
      <c r="AA16" s="394"/>
      <c r="AB16" s="466" t="s">
        <v>1558</v>
      </c>
      <c r="AC16" s="394"/>
      <c r="AD16" s="439" t="str">
        <f>MID('Input data'!$B$21,1,1)</f>
        <v>0</v>
      </c>
      <c r="AE16" s="439" t="str">
        <f>MID('Input data'!$B$21,2,1)</f>
        <v>3</v>
      </c>
      <c r="AF16" s="439"/>
      <c r="AG16" s="439" t="str">
        <f>MID('Input data'!$B$22,1,1)</f>
        <v>2</v>
      </c>
      <c r="AH16" s="439" t="str">
        <f>MID('Input data'!$B$22,2,1)</f>
        <v>0</v>
      </c>
      <c r="AI16" s="439" t="str">
        <f>MID('Input data'!$B$22,3,1)</f>
        <v>1</v>
      </c>
      <c r="AJ16" s="439" t="str">
        <f>MID('Input data'!$B$22,4,1)</f>
        <v>8</v>
      </c>
      <c r="AK16" s="394"/>
      <c r="AL16" s="468"/>
    </row>
    <row r="17" spans="1:39" s="462" customFormat="1" ht="4.5" customHeight="1">
      <c r="A17" s="465"/>
      <c r="B17" s="465"/>
      <c r="C17" s="465"/>
      <c r="D17" s="465"/>
      <c r="E17" s="465"/>
      <c r="F17" s="465"/>
      <c r="G17" s="465"/>
      <c r="H17" s="399"/>
      <c r="I17" s="399"/>
      <c r="J17" s="399"/>
      <c r="K17" s="399"/>
      <c r="L17" s="399"/>
      <c r="M17" s="399"/>
      <c r="N17" s="399"/>
      <c r="O17" s="399"/>
      <c r="P17" s="399"/>
      <c r="Q17" s="399"/>
      <c r="R17" s="399"/>
      <c r="S17" s="399"/>
      <c r="T17" s="465"/>
      <c r="U17" s="465"/>
      <c r="V17" s="399"/>
      <c r="W17" s="399"/>
      <c r="X17" s="399"/>
      <c r="Y17" s="399"/>
      <c r="Z17" s="399"/>
      <c r="AA17" s="399"/>
      <c r="AB17" s="399"/>
      <c r="AC17" s="399"/>
      <c r="AD17" s="399"/>
      <c r="AE17" s="399"/>
      <c r="AF17" s="399"/>
      <c r="AG17" s="399"/>
      <c r="AH17" s="399"/>
      <c r="AI17" s="399"/>
      <c r="AJ17" s="399"/>
      <c r="AK17" s="399"/>
      <c r="AL17" s="465"/>
      <c r="AM17" s="465"/>
    </row>
    <row r="18" spans="1:39" s="462" customFormat="1" ht="3" customHeight="1" thickBot="1">
      <c r="A18" s="866"/>
      <c r="B18" s="465"/>
      <c r="C18" s="465"/>
      <c r="D18" s="465"/>
      <c r="E18" s="465"/>
      <c r="F18" s="465"/>
      <c r="G18" s="465"/>
      <c r="H18" s="399"/>
      <c r="I18" s="399"/>
      <c r="J18" s="399"/>
      <c r="K18" s="399"/>
      <c r="L18" s="399"/>
      <c r="M18" s="399"/>
      <c r="N18" s="399"/>
      <c r="O18" s="399"/>
      <c r="P18" s="399"/>
      <c r="Q18" s="399"/>
      <c r="R18" s="399"/>
      <c r="S18" s="399"/>
      <c r="T18" s="465"/>
      <c r="U18" s="465"/>
      <c r="V18" s="465"/>
      <c r="W18" s="399"/>
      <c r="X18" s="399"/>
      <c r="Y18" s="399"/>
      <c r="Z18" s="399"/>
      <c r="AA18" s="399"/>
      <c r="AB18" s="399"/>
      <c r="AC18" s="399"/>
      <c r="AD18" s="399"/>
      <c r="AE18" s="399"/>
      <c r="AF18" s="399"/>
      <c r="AG18" s="399"/>
      <c r="AH18" s="399"/>
      <c r="AI18" s="399"/>
      <c r="AJ18" s="399"/>
      <c r="AK18" s="399"/>
      <c r="AL18" s="465"/>
      <c r="AM18" s="465"/>
    </row>
    <row r="19" spans="1:39" s="462" customFormat="1" ht="15.5">
      <c r="A19" s="464" t="s">
        <v>1563</v>
      </c>
      <c r="B19" s="463"/>
      <c r="C19" s="463"/>
      <c r="D19" s="463"/>
      <c r="E19" s="463"/>
      <c r="F19" s="463"/>
      <c r="G19" s="463"/>
      <c r="H19" s="407"/>
      <c r="I19" s="407"/>
      <c r="J19" s="407"/>
      <c r="K19" s="407"/>
      <c r="L19" s="407"/>
      <c r="M19" s="407"/>
      <c r="N19" s="407"/>
      <c r="O19" s="407"/>
      <c r="P19" s="407"/>
      <c r="Q19" s="407"/>
      <c r="R19" s="407"/>
      <c r="S19" s="407"/>
      <c r="T19" s="463"/>
      <c r="U19" s="463"/>
      <c r="V19" s="463"/>
      <c r="W19" s="407"/>
      <c r="X19" s="407"/>
      <c r="Y19" s="407"/>
      <c r="Z19" s="407"/>
      <c r="AA19" s="407"/>
      <c r="AB19" s="407"/>
      <c r="AC19" s="407"/>
      <c r="AD19" s="407"/>
      <c r="AE19" s="407"/>
      <c r="AF19" s="407"/>
      <c r="AG19" s="407"/>
      <c r="AH19" s="407"/>
      <c r="AI19" s="407"/>
      <c r="AJ19" s="407"/>
      <c r="AK19" s="407"/>
      <c r="AL19" s="479"/>
    </row>
    <row r="20" spans="1:39" s="462" customFormat="1" ht="19.5" customHeight="1">
      <c r="A20" s="449" t="str">
        <f>+LEFT('Input data'!$F$3,1)</f>
        <v>F</v>
      </c>
      <c r="B20" s="441" t="str">
        <f>+MID('Input data'!$F$3,2,1)</f>
        <v>o</v>
      </c>
      <c r="C20" s="441" t="str">
        <f>+MID('Input data'!$F$3,3,1)</f>
        <v>s</v>
      </c>
      <c r="D20" s="441" t="str">
        <f>+MID('Input data'!$F$3,4,1)</f>
        <v>s</v>
      </c>
      <c r="E20" s="441" t="str">
        <f>+MID('Input data'!$F$3,5,1)</f>
        <v xml:space="preserve"> </v>
      </c>
      <c r="F20" s="441" t="str">
        <f>+MID('Input data'!$F$3,6,1)</f>
        <v>F</v>
      </c>
      <c r="G20" s="441" t="str">
        <f>+MID('Input data'!$F$3,7,1)</f>
        <v>i</v>
      </c>
      <c r="H20" s="441" t="str">
        <f>+MID('Input data'!$F$3,8,1)</f>
        <v>b</v>
      </c>
      <c r="I20" s="441" t="str">
        <f>+MID('Input data'!$F$3,9,1)</f>
        <v>r</v>
      </c>
      <c r="J20" s="441" t="str">
        <f>+MID('Input data'!$F$3,10,1)</f>
        <v>e</v>
      </c>
      <c r="K20" s="441" t="str">
        <f>+MID('Input data'!$F$3,11,1)</f>
        <v xml:space="preserve"> </v>
      </c>
      <c r="L20" s="441" t="str">
        <f>+MID('Input data'!$F$3,12,1)</f>
        <v>O</v>
      </c>
      <c r="M20" s="441" t="str">
        <f>+MID('Input data'!$F$3,13,1)</f>
        <v>p</v>
      </c>
      <c r="N20" s="441" t="str">
        <f>+MID('Input data'!$F$3,14,1)</f>
        <v>t</v>
      </c>
      <c r="O20" s="441" t="str">
        <f>+MID('Input data'!$F$3,15,1)</f>
        <v>i</v>
      </c>
      <c r="P20" s="441" t="str">
        <f>+MID('Input data'!$F$3,16,1)</f>
        <v>c</v>
      </c>
      <c r="Q20" s="441" t="str">
        <f>+MID('Input data'!$F$3,17,1)</f>
        <v>s</v>
      </c>
      <c r="R20" s="441" t="str">
        <f>+MID('Input data'!$F$3,18,1)</f>
        <v>,</v>
      </c>
      <c r="S20" s="441" t="str">
        <f>+MID('Input data'!$F$3,19,1)</f>
        <v xml:space="preserve"> </v>
      </c>
      <c r="T20" s="441" t="str">
        <f>+MID('Input data'!$F$3,20,1)</f>
        <v>s</v>
      </c>
      <c r="U20" s="441" t="str">
        <f>+MID('Input data'!$F$3,21,1)</f>
        <v>.</v>
      </c>
      <c r="V20" s="441" t="str">
        <f>+MID('Input data'!$F$3,22,1)</f>
        <v>r</v>
      </c>
      <c r="W20" s="441" t="str">
        <f>+MID('Input data'!$F$3,23,1)</f>
        <v>.</v>
      </c>
      <c r="X20" s="441" t="str">
        <f>+MID('Input data'!$F$3,24,1)</f>
        <v>o</v>
      </c>
      <c r="Y20" s="441" t="str">
        <f>+MID('Input data'!$F$3,25,1)</f>
        <v>.</v>
      </c>
      <c r="Z20" s="441" t="str">
        <f>+MID('Input data'!$F$3,26,1)</f>
        <v xml:space="preserve"> </v>
      </c>
      <c r="AA20" s="441" t="str">
        <f>+MID('Input data'!$F$3,27,1)</f>
        <v xml:space="preserve">
</v>
      </c>
      <c r="AB20" s="441" t="str">
        <f>+MID('Input data'!$F$3,28,1)</f>
        <v/>
      </c>
      <c r="AC20" s="441" t="str">
        <f>+MID('Input data'!$F$3,29,1)</f>
        <v/>
      </c>
      <c r="AD20" s="441" t="str">
        <f>+MID('Input data'!$F$3,30,1)</f>
        <v/>
      </c>
      <c r="AE20" s="441" t="str">
        <f>+MID('Input data'!$F$3,31,1)</f>
        <v/>
      </c>
      <c r="AF20" s="441" t="str">
        <f>+MID('Input data'!$F$3,32,1)</f>
        <v/>
      </c>
      <c r="AG20" s="441" t="str">
        <f>+MID('Input data'!$F$3,33,1)</f>
        <v/>
      </c>
      <c r="AH20" s="441" t="str">
        <f>+MID('Input data'!$F$3,34,1)</f>
        <v/>
      </c>
      <c r="AI20" s="441" t="str">
        <f>+MID('Input data'!$F$3,35,1)</f>
        <v/>
      </c>
      <c r="AJ20" s="441" t="str">
        <f>+MID('Input data'!$F$3,36,1)</f>
        <v/>
      </c>
      <c r="AK20" s="448" t="str">
        <f>+MID('Input data'!$F$3,37,1)</f>
        <v/>
      </c>
      <c r="AL20" s="471"/>
    </row>
    <row r="21" spans="1:39" s="530" customFormat="1" ht="19.5" customHeight="1">
      <c r="A21" s="449" t="str">
        <f>+MID('Input data'!$F$3,38,1)</f>
        <v/>
      </c>
      <c r="B21" s="441" t="str">
        <f>+MID('Input data'!$F$3,39,1)</f>
        <v/>
      </c>
      <c r="C21" s="441" t="str">
        <f>+MID('Input data'!$F$3,40,1)</f>
        <v/>
      </c>
      <c r="D21" s="441" t="str">
        <f>+MID('Input data'!$F$3,41,1)</f>
        <v/>
      </c>
      <c r="E21" s="441" t="str">
        <f>+MID('Input data'!$F$3,42,1)</f>
        <v/>
      </c>
      <c r="F21" s="441" t="str">
        <f>+MID('Input data'!$F$3,43,1)</f>
        <v/>
      </c>
      <c r="G21" s="441" t="str">
        <f>+MID('Input data'!$F$3,44,1)</f>
        <v/>
      </c>
      <c r="H21" s="441" t="str">
        <f>+MID('Input data'!$F$3,45,1)</f>
        <v/>
      </c>
      <c r="I21" s="441" t="str">
        <f>+MID('Input data'!$F$3,46,1)</f>
        <v/>
      </c>
      <c r="J21" s="441" t="str">
        <f>+MID('Input data'!$F$3,47,1)</f>
        <v/>
      </c>
      <c r="K21" s="441" t="str">
        <f>+MID('Input data'!$F$3,48,1)</f>
        <v/>
      </c>
      <c r="L21" s="441" t="str">
        <f>+MID('Input data'!$F$3,49,1)</f>
        <v/>
      </c>
      <c r="M21" s="441" t="str">
        <f>+MID('Input data'!$F$3,50,1)</f>
        <v/>
      </c>
      <c r="N21" s="441" t="str">
        <f>+MID('Input data'!$F$3,51,1)</f>
        <v/>
      </c>
      <c r="O21" s="441" t="str">
        <f>+MID('Input data'!$F$3,52,1)</f>
        <v/>
      </c>
      <c r="P21" s="441" t="str">
        <f>+MID('Input data'!$F$3,53,1)</f>
        <v/>
      </c>
      <c r="Q21" s="441" t="str">
        <f>+MID('Input data'!$F$3,54,1)</f>
        <v/>
      </c>
      <c r="R21" s="441" t="str">
        <f>+MID('Input data'!$F$3,55,1)</f>
        <v/>
      </c>
      <c r="S21" s="441" t="str">
        <f>+MID('Input data'!$F$3,56,1)</f>
        <v/>
      </c>
      <c r="T21" s="441" t="str">
        <f>+MID('Input data'!$F$3,57,1)</f>
        <v/>
      </c>
      <c r="U21" s="441" t="str">
        <f>+MID('Input data'!$F$3,58,1)</f>
        <v/>
      </c>
      <c r="V21" s="441" t="str">
        <f>+MID('Input data'!$F$3,59,1)</f>
        <v/>
      </c>
      <c r="W21" s="441" t="str">
        <f>+MID('Input data'!$F$3,60,1)</f>
        <v/>
      </c>
      <c r="X21" s="441" t="str">
        <f>+MID('Input data'!$F$3,61,1)</f>
        <v/>
      </c>
      <c r="Y21" s="441" t="str">
        <f>+MID('Input data'!$F$3,62,1)</f>
        <v/>
      </c>
      <c r="Z21" s="441" t="str">
        <f>+MID('Input data'!$F$3,63,1)</f>
        <v/>
      </c>
      <c r="AA21" s="441" t="str">
        <f>+MID('Input data'!$F$3,64,1)</f>
        <v/>
      </c>
      <c r="AB21" s="441" t="str">
        <f>+MID('Input data'!$F$3,65,1)</f>
        <v/>
      </c>
      <c r="AC21" s="441" t="str">
        <f>+MID('Input data'!$F$3,66,1)</f>
        <v/>
      </c>
      <c r="AD21" s="441" t="str">
        <f>+MID('Input data'!$F$3,67,1)</f>
        <v/>
      </c>
      <c r="AE21" s="441" t="str">
        <f>+MID('Input data'!$F$3,68,1)</f>
        <v/>
      </c>
      <c r="AF21" s="441" t="str">
        <f>+MID('Input data'!$F$3,69,1)</f>
        <v/>
      </c>
      <c r="AG21" s="441" t="str">
        <f>+MID('Input data'!$F$3,70,1)</f>
        <v/>
      </c>
      <c r="AH21" s="441" t="str">
        <f>+MID('Input data'!$F$3,71,1)</f>
        <v/>
      </c>
      <c r="AI21" s="441" t="str">
        <f>+MID('Input data'!$F$3,72,1)</f>
        <v/>
      </c>
      <c r="AJ21" s="441" t="str">
        <f>+MID('Input data'!$F$3,73,1)</f>
        <v/>
      </c>
      <c r="AK21" s="448" t="str">
        <f>+MID('Input data'!$F$3,74,1)</f>
        <v/>
      </c>
      <c r="AL21" s="867"/>
    </row>
    <row r="22" spans="1:39" s="450" customFormat="1" ht="14.25" customHeight="1">
      <c r="A22" s="868" t="s">
        <v>1564</v>
      </c>
      <c r="B22" s="869"/>
      <c r="C22" s="869"/>
      <c r="D22" s="869"/>
      <c r="E22" s="869"/>
      <c r="F22" s="869"/>
      <c r="G22" s="869"/>
      <c r="H22" s="869"/>
      <c r="I22" s="869"/>
      <c r="J22" s="869"/>
      <c r="K22" s="869"/>
      <c r="L22" s="869"/>
      <c r="M22" s="869"/>
      <c r="N22" s="869"/>
      <c r="O22" s="869"/>
      <c r="P22" s="869"/>
      <c r="Q22" s="869"/>
      <c r="R22" s="869"/>
      <c r="S22" s="869"/>
      <c r="T22" s="869"/>
      <c r="U22" s="869"/>
      <c r="V22" s="869"/>
      <c r="W22" s="459"/>
      <c r="X22" s="459"/>
      <c r="Y22" s="459"/>
      <c r="Z22" s="459"/>
      <c r="AA22" s="459"/>
      <c r="AB22" s="459"/>
      <c r="AC22" s="459"/>
      <c r="AD22" s="459"/>
      <c r="AE22" s="459"/>
      <c r="AF22" s="459"/>
      <c r="AG22" s="459"/>
      <c r="AH22" s="459"/>
      <c r="AI22" s="459"/>
      <c r="AJ22" s="459"/>
      <c r="AK22" s="459"/>
      <c r="AL22" s="870"/>
    </row>
    <row r="23" spans="1:39" ht="13">
      <c r="A23" s="446" t="s">
        <v>1565</v>
      </c>
      <c r="B23" s="823"/>
      <c r="C23" s="823"/>
      <c r="D23" s="823"/>
      <c r="E23" s="823"/>
      <c r="F23" s="823"/>
      <c r="G23" s="823"/>
      <c r="H23" s="823"/>
      <c r="I23" s="823"/>
      <c r="J23" s="823"/>
      <c r="K23" s="823"/>
      <c r="L23" s="823"/>
      <c r="M23" s="823"/>
      <c r="N23" s="823"/>
      <c r="O23" s="823"/>
      <c r="P23" s="823"/>
      <c r="Q23" s="823"/>
      <c r="R23" s="823"/>
      <c r="S23" s="823"/>
      <c r="T23" s="823"/>
      <c r="U23" s="823"/>
      <c r="V23" s="823"/>
      <c r="W23" s="399"/>
      <c r="X23" s="399"/>
      <c r="Y23" s="399"/>
      <c r="Z23" s="399"/>
      <c r="AA23" s="399"/>
      <c r="AB23" s="823"/>
      <c r="AC23" s="399"/>
      <c r="AD23" s="402" t="s">
        <v>1566</v>
      </c>
      <c r="AE23" s="399"/>
      <c r="AF23" s="399"/>
      <c r="AG23" s="399"/>
      <c r="AH23" s="399"/>
      <c r="AI23" s="399"/>
      <c r="AJ23" s="399"/>
      <c r="AK23" s="399"/>
      <c r="AL23" s="871"/>
    </row>
    <row r="24" spans="1:39" s="530" customFormat="1" ht="19.5" customHeight="1">
      <c r="A24" s="449" t="str">
        <f>+LEFT('Input data'!$C$28,1)</f>
        <v>O</v>
      </c>
      <c r="B24" s="441" t="str">
        <f>+MID('Input data'!$C$28,2,1)</f>
        <v>d</v>
      </c>
      <c r="C24" s="441" t="str">
        <f>+MID('Input data'!$C$28,3,1)</f>
        <v>b</v>
      </c>
      <c r="D24" s="441" t="str">
        <f>+MID('Input data'!$C$28,4,1)</f>
        <v>o</v>
      </c>
      <c r="E24" s="441" t="str">
        <f>+MID('Input data'!$C$28,5,1)</f>
        <v>r</v>
      </c>
      <c r="F24" s="441" t="str">
        <f>+MID('Input data'!$C$28,6,1)</f>
        <v>á</v>
      </c>
      <c r="G24" s="441" t="str">
        <f>+MID('Input data'!$C$28,7,1)</f>
        <v>r</v>
      </c>
      <c r="H24" s="441" t="str">
        <f>+MID('Input data'!$C$28,8,1)</f>
        <v>s</v>
      </c>
      <c r="I24" s="441" t="str">
        <f>+MID('Input data'!$C$28,9,1)</f>
        <v>k</v>
      </c>
      <c r="J24" s="441" t="str">
        <f>+MID('Input data'!$C$28,10,1)</f>
        <v>a</v>
      </c>
      <c r="K24" s="441" t="str">
        <f>+MID('Input data'!$C$28,11,1)</f>
        <v/>
      </c>
      <c r="L24" s="441" t="str">
        <f>+MID('Input data'!$C$28,12,1)</f>
        <v/>
      </c>
      <c r="M24" s="441" t="str">
        <f>+MID('Input data'!$C$28,13,1)</f>
        <v/>
      </c>
      <c r="N24" s="441" t="str">
        <f>+MID('Input data'!$C$28,14,1)</f>
        <v/>
      </c>
      <c r="O24" s="441" t="str">
        <f>+MID('Input data'!$C$28,15,1)</f>
        <v/>
      </c>
      <c r="P24" s="441" t="str">
        <f>+MID('Input data'!$C$28,16,1)</f>
        <v/>
      </c>
      <c r="Q24" s="441" t="str">
        <f>+MID('Input data'!$C$28,17,1)</f>
        <v/>
      </c>
      <c r="R24" s="441" t="str">
        <f>+MID('Input data'!$C$28,18,1)</f>
        <v/>
      </c>
      <c r="S24" s="441" t="str">
        <f>+MID('Input data'!$C$28,19,1)</f>
        <v/>
      </c>
      <c r="T24" s="441" t="str">
        <f>+MID('Input data'!$C$28,20,1)</f>
        <v/>
      </c>
      <c r="U24" s="441" t="str">
        <f>+MID('Input data'!$C$28,21,1)</f>
        <v/>
      </c>
      <c r="V24" s="441" t="str">
        <f>+MID('Input data'!$C$28,22,1)</f>
        <v/>
      </c>
      <c r="W24" s="441" t="str">
        <f>+MID('Input data'!$C$28,23,1)</f>
        <v/>
      </c>
      <c r="X24" s="441" t="str">
        <f>+MID('Input data'!$C$28,24,1)</f>
        <v/>
      </c>
      <c r="Y24" s="441" t="str">
        <f>+MID('Input data'!$C$28,25,1)</f>
        <v/>
      </c>
      <c r="Z24" s="441" t="str">
        <f>+MID('Input data'!$C$28,26,1)</f>
        <v/>
      </c>
      <c r="AA24" s="441" t="str">
        <f>+MID('Input data'!$C$28,27,1)</f>
        <v/>
      </c>
      <c r="AB24" s="441" t="str">
        <f>+MID('Input data'!$C$28,28,1)</f>
        <v/>
      </c>
      <c r="AC24" s="443"/>
      <c r="AD24" s="441" t="str">
        <f>+LEFT('Input data'!$C$30,1)</f>
        <v>5</v>
      </c>
      <c r="AE24" s="441" t="str">
        <f>+MID('Input data'!$C$30,2,1)</f>
        <v>2</v>
      </c>
      <c r="AF24" s="441" t="str">
        <f>+MID('Input data'!$C$30,3,1)</f>
        <v/>
      </c>
      <c r="AG24" s="441" t="str">
        <f>+MID('Input data'!$C$30,4,1)</f>
        <v/>
      </c>
      <c r="AH24" s="441" t="str">
        <f>+MID('Input data'!$C$30,5,1)</f>
        <v/>
      </c>
      <c r="AI24" s="441" t="str">
        <f>+MID('Input data'!$C$30,6,1)</f>
        <v/>
      </c>
      <c r="AJ24" s="441" t="str">
        <f>+MID('Input data'!$C$30,7,1)</f>
        <v/>
      </c>
      <c r="AK24" s="441" t="str">
        <f>+MID('Input data'!$C$30,8,1)</f>
        <v/>
      </c>
      <c r="AL24" s="867"/>
    </row>
    <row r="25" spans="1:39" ht="13">
      <c r="A25" s="446" t="s">
        <v>1567</v>
      </c>
      <c r="B25" s="823"/>
      <c r="C25" s="823"/>
      <c r="D25" s="823"/>
      <c r="E25" s="823"/>
      <c r="F25" s="823"/>
      <c r="G25" s="445" t="s">
        <v>1568</v>
      </c>
      <c r="H25" s="445"/>
      <c r="I25" s="445"/>
      <c r="J25" s="445"/>
      <c r="K25" s="445"/>
      <c r="L25" s="445"/>
      <c r="M25" s="445"/>
      <c r="N25" s="445"/>
      <c r="O25" s="445"/>
      <c r="P25" s="445"/>
      <c r="Q25" s="445"/>
      <c r="R25" s="445"/>
      <c r="S25" s="445"/>
      <c r="T25" s="445"/>
      <c r="U25" s="445"/>
      <c r="V25" s="445"/>
      <c r="W25" s="445"/>
      <c r="X25" s="445"/>
      <c r="Y25" s="445"/>
      <c r="Z25" s="445"/>
      <c r="AA25" s="445"/>
      <c r="AB25" s="445"/>
      <c r="AC25" s="445"/>
      <c r="AD25" s="445"/>
      <c r="AE25" s="399"/>
      <c r="AF25" s="399"/>
      <c r="AG25" s="399"/>
      <c r="AH25" s="399"/>
      <c r="AI25" s="399"/>
      <c r="AJ25" s="399"/>
      <c r="AK25" s="399"/>
      <c r="AL25" s="871"/>
    </row>
    <row r="26" spans="1:39" s="530" customFormat="1" ht="19.5" customHeight="1">
      <c r="A26" s="449" t="str">
        <f>+LEFT('Input data'!$C$32,1)</f>
        <v>8</v>
      </c>
      <c r="B26" s="441" t="str">
        <f>+MID('Input data'!$C$32,2,1)</f>
        <v>3</v>
      </c>
      <c r="C26" s="441" t="str">
        <f>+MID('Input data'!$C$32,3,1)</f>
        <v>1</v>
      </c>
      <c r="D26" s="441" t="str">
        <f>+MID('Input data'!$C$32,4,1)</f>
        <v xml:space="preserve"> </v>
      </c>
      <c r="E26" s="441" t="str">
        <f>+MID('Input data'!$C$32,5,1)</f>
        <v>0</v>
      </c>
      <c r="F26" s="441"/>
      <c r="G26" s="441" t="str">
        <f>+LEFT('Input data'!$C$34,1)</f>
        <v>B</v>
      </c>
      <c r="H26" s="441" t="str">
        <f>+MID('Input data'!$C$34,2,1)</f>
        <v>r</v>
      </c>
      <c r="I26" s="441" t="str">
        <f>+MID('Input data'!$C$34,3,1)</f>
        <v>a</v>
      </c>
      <c r="J26" s="441" t="str">
        <f>+MID('Input data'!$C$34,4,1)</f>
        <v>t</v>
      </c>
      <c r="K26" s="441" t="str">
        <f>+MID('Input data'!$C$34,5,1)</f>
        <v>i</v>
      </c>
      <c r="L26" s="441" t="str">
        <f>+MID('Input data'!$C$34,6,1)</f>
        <v>s</v>
      </c>
      <c r="M26" s="441" t="str">
        <f>+MID('Input data'!$C$34,7,1)</f>
        <v>l</v>
      </c>
      <c r="N26" s="441" t="str">
        <f>+MID('Input data'!$C$34,8,1)</f>
        <v>a</v>
      </c>
      <c r="O26" s="441" t="str">
        <f>+MID('Input data'!$C$34,9,1)</f>
        <v>v</v>
      </c>
      <c r="P26" s="441" t="str">
        <f>+MID('Input data'!$C$34,10,1)</f>
        <v>a</v>
      </c>
      <c r="Q26" s="441" t="str">
        <f>+MID('Input data'!$C$34,11,1)</f>
        <v xml:space="preserve"> </v>
      </c>
      <c r="R26" s="441" t="str">
        <f>+MID('Input data'!$C$34,12,1)</f>
        <v/>
      </c>
      <c r="S26" s="441" t="str">
        <f>+MID('Input data'!$C$34,13,1)</f>
        <v/>
      </c>
      <c r="T26" s="441" t="str">
        <f>+MID('Input data'!$C$34,14,1)</f>
        <v/>
      </c>
      <c r="U26" s="441" t="str">
        <f>+MID('Input data'!$C$34,15,1)</f>
        <v/>
      </c>
      <c r="V26" s="441" t="str">
        <f>+MID('Input data'!$C$34,16,1)</f>
        <v/>
      </c>
      <c r="W26" s="441" t="str">
        <f>+MID('Input data'!$C$34,17,1)</f>
        <v/>
      </c>
      <c r="X26" s="441" t="str">
        <f>+MID('Input data'!$C$34,18,1)</f>
        <v/>
      </c>
      <c r="Y26" s="441" t="str">
        <f>+MID('Input data'!$C$34,19,1)</f>
        <v/>
      </c>
      <c r="Z26" s="441" t="str">
        <f>+MID('Input data'!$C$34,20,1)</f>
        <v/>
      </c>
      <c r="AA26" s="441" t="str">
        <f>+MID('Input data'!$C$34,21,1)</f>
        <v/>
      </c>
      <c r="AB26" s="441" t="str">
        <f>+MID('Input data'!$C$34,22,1)</f>
        <v/>
      </c>
      <c r="AC26" s="441" t="str">
        <f>+MID('Input data'!$C$34,23,1)</f>
        <v/>
      </c>
      <c r="AD26" s="441" t="str">
        <f>+MID('Input data'!$C$34,24,1)</f>
        <v/>
      </c>
      <c r="AE26" s="441" t="str">
        <f>+MID('Input data'!$C$34,25,1)</f>
        <v/>
      </c>
      <c r="AF26" s="441" t="str">
        <f>+MID('Input data'!$C$34,26,1)</f>
        <v/>
      </c>
      <c r="AG26" s="441" t="str">
        <f>+MID('Input data'!$C$34,27,1)</f>
        <v/>
      </c>
      <c r="AH26" s="441" t="str">
        <f>+MID('Input data'!$C$34,28,1)</f>
        <v/>
      </c>
      <c r="AI26" s="441" t="str">
        <f>+MID('Input data'!$C$34,29,1)</f>
        <v/>
      </c>
      <c r="AJ26" s="441" t="str">
        <f>+MID('Input data'!$C$34,30,1)</f>
        <v/>
      </c>
      <c r="AK26" s="441" t="str">
        <f>+MID('Input data'!$C$34,31,1)</f>
        <v/>
      </c>
      <c r="AL26" s="867"/>
    </row>
    <row r="27" spans="1:39" ht="13">
      <c r="A27" s="446" t="s">
        <v>1569</v>
      </c>
      <c r="B27" s="823"/>
      <c r="C27" s="823"/>
      <c r="D27" s="823"/>
      <c r="E27" s="823"/>
      <c r="F27" s="823"/>
      <c r="G27" s="445"/>
      <c r="H27" s="445"/>
      <c r="I27" s="445"/>
      <c r="J27" s="445"/>
      <c r="K27" s="445"/>
      <c r="L27" s="445"/>
      <c r="M27" s="445"/>
      <c r="N27" s="823"/>
      <c r="O27" s="445" t="s">
        <v>1570</v>
      </c>
      <c r="P27" s="445"/>
      <c r="Q27" s="445"/>
      <c r="R27" s="445"/>
      <c r="S27" s="445"/>
      <c r="T27" s="445"/>
      <c r="U27" s="445"/>
      <c r="V27" s="445"/>
      <c r="W27" s="445"/>
      <c r="X27" s="445"/>
      <c r="Y27" s="445"/>
      <c r="Z27" s="445"/>
      <c r="AA27" s="445"/>
      <c r="AB27" s="445"/>
      <c r="AC27" s="445"/>
      <c r="AD27" s="445"/>
      <c r="AE27" s="399"/>
      <c r="AF27" s="399"/>
      <c r="AG27" s="399"/>
      <c r="AH27" s="399"/>
      <c r="AI27" s="399"/>
      <c r="AJ27" s="399"/>
      <c r="AK27" s="399"/>
      <c r="AL27" s="871"/>
    </row>
    <row r="28" spans="1:39" s="530" customFormat="1" ht="19.5" customHeight="1">
      <c r="A28" s="444">
        <v>0</v>
      </c>
      <c r="B28" s="441" t="str">
        <f>+LEFT('Input data'!$C$36,1)</f>
        <v>2</v>
      </c>
      <c r="C28" s="441" t="str">
        <f>+MID('Input data'!$C$36,2,1)</f>
        <v/>
      </c>
      <c r="D28" s="441" t="str">
        <f>+MID('Input data'!$C$36,3,1)</f>
        <v/>
      </c>
      <c r="E28" s="441" t="s">
        <v>1092</v>
      </c>
      <c r="F28" s="441" t="str">
        <f>+LEFT('Input data'!$C$38,1)</f>
        <v>4</v>
      </c>
      <c r="G28" s="441" t="str">
        <f>+MID('Input data'!$C$38,2,1)</f>
        <v>8</v>
      </c>
      <c r="H28" s="441" t="str">
        <f>+MID('Input data'!$C$38,3,1)</f>
        <v>2</v>
      </c>
      <c r="I28" s="441" t="str">
        <f>+MID('Input data'!$C$38,4,1)</f>
        <v>0</v>
      </c>
      <c r="J28" s="441" t="str">
        <f>+MID('Input data'!$C$38,5,1)</f>
        <v>5</v>
      </c>
      <c r="K28" s="441" t="str">
        <f>+MID('Input data'!$C$38,6,1)</f>
        <v>2</v>
      </c>
      <c r="L28" s="441" t="str">
        <f>+MID('Input data'!$C$38,7,1)</f>
        <v>0</v>
      </c>
      <c r="M28" s="441" t="str">
        <f>+MID('Input data'!$C$38,8,1)</f>
        <v>0</v>
      </c>
      <c r="N28" s="443"/>
      <c r="O28" s="442">
        <v>0</v>
      </c>
      <c r="P28" s="441" t="str">
        <f>+LEFT('Input data'!$C$36,1)</f>
        <v>2</v>
      </c>
      <c r="Q28" s="441" t="str">
        <f>+MID('Input data'!$C$36,2,1)</f>
        <v/>
      </c>
      <c r="R28" s="441" t="str">
        <f>+MID('Input data'!$C$36,3,1)</f>
        <v/>
      </c>
      <c r="S28" s="441" t="s">
        <v>1092</v>
      </c>
      <c r="T28" s="441" t="str">
        <f>+LEFT('Input data'!$C$40,1)</f>
        <v/>
      </c>
      <c r="U28" s="441" t="str">
        <f>+MID('Input data'!$C$40,2,1)</f>
        <v/>
      </c>
      <c r="V28" s="441" t="str">
        <f>+MID('Input data'!$C$40,3,1)</f>
        <v/>
      </c>
      <c r="W28" s="441" t="str">
        <f>+MID('Input data'!$C$40,4,1)</f>
        <v/>
      </c>
      <c r="X28" s="441" t="str">
        <f>+MID('Input data'!$C$40,5,1)</f>
        <v/>
      </c>
      <c r="Y28" s="441" t="str">
        <f>+MID('Input data'!$C$40,6,1)</f>
        <v/>
      </c>
      <c r="Z28" s="441" t="str">
        <f>+MID('Input data'!$C$40,7,1)</f>
        <v/>
      </c>
      <c r="AA28" s="441" t="str">
        <f>+MID('Input data'!$C$40,8,1)</f>
        <v/>
      </c>
      <c r="AB28" s="441"/>
      <c r="AC28" s="441"/>
      <c r="AD28" s="441"/>
      <c r="AE28" s="399"/>
      <c r="AF28" s="399"/>
      <c r="AG28" s="399"/>
      <c r="AH28" s="399"/>
      <c r="AI28" s="399"/>
      <c r="AJ28" s="399"/>
      <c r="AK28" s="399"/>
      <c r="AL28" s="867"/>
    </row>
    <row r="29" spans="1:39" s="391" customFormat="1" ht="13">
      <c r="A29" s="403" t="s">
        <v>1571</v>
      </c>
      <c r="B29" s="402"/>
      <c r="C29" s="402"/>
      <c r="D29" s="402"/>
      <c r="E29" s="402"/>
      <c r="F29" s="402"/>
      <c r="G29" s="402"/>
      <c r="H29" s="402"/>
      <c r="I29" s="402"/>
      <c r="J29" s="402"/>
      <c r="K29" s="402"/>
      <c r="L29" s="402"/>
      <c r="M29" s="402"/>
      <c r="N29" s="402"/>
      <c r="O29" s="402"/>
      <c r="P29" s="402"/>
      <c r="Q29" s="402"/>
      <c r="R29" s="402"/>
      <c r="S29" s="402"/>
      <c r="T29" s="402"/>
      <c r="U29" s="402"/>
      <c r="V29" s="402"/>
      <c r="W29" s="399"/>
      <c r="X29" s="399"/>
      <c r="Y29" s="399"/>
      <c r="Z29" s="399"/>
      <c r="AA29" s="399"/>
      <c r="AB29" s="399"/>
      <c r="AC29" s="399"/>
      <c r="AD29" s="399"/>
      <c r="AE29" s="399"/>
      <c r="AF29" s="399"/>
      <c r="AG29" s="399"/>
      <c r="AH29" s="399"/>
      <c r="AI29" s="399"/>
      <c r="AJ29" s="399"/>
      <c r="AK29" s="399"/>
      <c r="AL29" s="486"/>
    </row>
    <row r="30" spans="1:39" s="530" customFormat="1" ht="19.5" customHeight="1" thickBot="1">
      <c r="A30" s="440" t="str">
        <f>+LEFT('Input data'!$B$42,1)</f>
        <v>o</v>
      </c>
      <c r="B30" s="439" t="str">
        <f>+MID('Input data'!$B$42,2,1)</f>
        <v>f</v>
      </c>
      <c r="C30" s="439" t="str">
        <f>+MID('Input data'!$B$42,3,1)</f>
        <v>f</v>
      </c>
      <c r="D30" s="439" t="str">
        <f>+MID('Input data'!$B$42,4,1)</f>
        <v>i</v>
      </c>
      <c r="E30" s="439" t="str">
        <f>+MID('Input data'!$B$42,5,1)</f>
        <v>c</v>
      </c>
      <c r="F30" s="439" t="str">
        <f>+MID('Input data'!$B$42,6,1)</f>
        <v>e</v>
      </c>
      <c r="G30" s="439" t="str">
        <f>+MID('Input data'!$B$42,7,1)</f>
        <v>.</v>
      </c>
      <c r="H30" s="439" t="str">
        <f>+MID('Input data'!$B$42,8,1)</f>
        <v>s</v>
      </c>
      <c r="I30" s="439" t="str">
        <f>+MID('Input data'!$B$42,9,1)</f>
        <v>k</v>
      </c>
      <c r="J30" s="439" t="str">
        <f>+MID('Input data'!$B$42,10,1)</f>
        <v>@</v>
      </c>
      <c r="K30" s="439" t="str">
        <f>+MID('Input data'!$B$42,11,1)</f>
        <v>f</v>
      </c>
      <c r="L30" s="439" t="str">
        <f>+MID('Input data'!$B$42,12,1)</f>
        <v>o</v>
      </c>
      <c r="M30" s="439" t="str">
        <f>+MID('Input data'!$B$42,13,1)</f>
        <v>s</v>
      </c>
      <c r="N30" s="439" t="str">
        <f>+MID('Input data'!$B$42,14,1)</f>
        <v>s</v>
      </c>
      <c r="O30" s="439" t="str">
        <f>+MID('Input data'!$B$42,15,1)</f>
        <v>f</v>
      </c>
      <c r="P30" s="439" t="str">
        <f>+MID('Input data'!$B$42,16,1)</f>
        <v>i</v>
      </c>
      <c r="Q30" s="439" t="str">
        <f>+MID('Input data'!$B$42,17,1)</f>
        <v>b</v>
      </c>
      <c r="R30" s="439" t="str">
        <f>+MID('Input data'!$B$42,18,1)</f>
        <v>r</v>
      </c>
      <c r="S30" s="439" t="str">
        <f>+MID('Input data'!$B$42,19,1)</f>
        <v>e</v>
      </c>
      <c r="T30" s="439" t="str">
        <f>+MID('Input data'!$B$42,20,1)</f>
        <v>o</v>
      </c>
      <c r="U30" s="439" t="str">
        <f>+MID('Input data'!$B$42,21,1)</f>
        <v>p</v>
      </c>
      <c r="V30" s="439" t="str">
        <f>+MID('Input data'!$B$42,22,1)</f>
        <v>t</v>
      </c>
      <c r="W30" s="439" t="str">
        <f>+MID('Input data'!$B$42,23,1)</f>
        <v>i</v>
      </c>
      <c r="X30" s="439" t="str">
        <f>+MID('Input data'!$B$42,24,1)</f>
        <v>c</v>
      </c>
      <c r="Y30" s="439" t="str">
        <f>+MID('Input data'!$B$42,25,1)</f>
        <v>s</v>
      </c>
      <c r="Z30" s="439" t="str">
        <f>+MID('Input data'!$B$42,26,1)</f>
        <v>.</v>
      </c>
      <c r="AA30" s="439" t="str">
        <f>+MID('Input data'!$B$42,27,1)</f>
        <v>c</v>
      </c>
      <c r="AB30" s="439" t="str">
        <f>+MID('Input data'!$B$42,28,1)</f>
        <v>o</v>
      </c>
      <c r="AC30" s="439" t="str">
        <f>+MID('Input data'!$B$42,29,1)</f>
        <v>m</v>
      </c>
      <c r="AD30" s="439" t="str">
        <f>+MID('Input data'!$B$42,30,1)</f>
        <v/>
      </c>
      <c r="AE30" s="439" t="str">
        <f>+MID('Input data'!$B$42,31,1)</f>
        <v/>
      </c>
      <c r="AF30" s="439" t="str">
        <f>+MID('Input data'!$B$42,32,1)</f>
        <v/>
      </c>
      <c r="AG30" s="439" t="str">
        <f>+MID('Input data'!$B$42,33,1)</f>
        <v/>
      </c>
      <c r="AH30" s="439" t="str">
        <f>+MID('Input data'!$B$42,34,1)</f>
        <v/>
      </c>
      <c r="AI30" s="439" t="str">
        <f>+MID('Input data'!$B$42,35,1)</f>
        <v/>
      </c>
      <c r="AJ30" s="439" t="str">
        <f>+MID('Input data'!$B$42,36,1)</f>
        <v/>
      </c>
      <c r="AK30" s="439" t="str">
        <f>+MID('Input data'!$B$42,37,1)</f>
        <v/>
      </c>
      <c r="AL30" s="872"/>
    </row>
    <row r="31" spans="1:39" s="391" customFormat="1" ht="4.5" customHeight="1" thickBot="1">
      <c r="A31" s="402"/>
      <c r="B31" s="402"/>
      <c r="C31" s="402"/>
      <c r="D31" s="402"/>
      <c r="E31" s="402"/>
      <c r="F31" s="402"/>
      <c r="G31" s="402"/>
      <c r="H31" s="402"/>
      <c r="I31" s="402"/>
      <c r="J31" s="402"/>
      <c r="K31" s="402"/>
      <c r="L31" s="402"/>
      <c r="M31" s="402"/>
      <c r="N31" s="402"/>
      <c r="O31" s="402"/>
      <c r="P31" s="402"/>
      <c r="Q31" s="402"/>
      <c r="R31" s="402"/>
      <c r="S31" s="402"/>
      <c r="T31" s="402"/>
      <c r="U31" s="402"/>
      <c r="V31" s="402"/>
      <c r="W31" s="399"/>
      <c r="X31" s="399"/>
      <c r="Y31" s="399"/>
      <c r="Z31" s="399"/>
      <c r="AA31" s="399"/>
      <c r="AB31" s="399"/>
      <c r="AC31" s="399"/>
      <c r="AD31" s="399"/>
      <c r="AE31" s="399"/>
      <c r="AF31" s="399"/>
      <c r="AG31" s="399"/>
      <c r="AH31" s="399"/>
      <c r="AI31" s="399"/>
      <c r="AJ31" s="399"/>
      <c r="AK31" s="399"/>
      <c r="AL31" s="402"/>
      <c r="AM31" s="402"/>
    </row>
    <row r="32" spans="1:39" s="434" customFormat="1" ht="13" customHeight="1">
      <c r="A32" s="437" t="s">
        <v>1572</v>
      </c>
      <c r="B32" s="436"/>
      <c r="C32" s="436"/>
      <c r="D32" s="436"/>
      <c r="E32" s="436"/>
      <c r="F32" s="436"/>
      <c r="G32" s="436"/>
      <c r="H32" s="436"/>
      <c r="I32" s="436"/>
      <c r="J32" s="436"/>
      <c r="K32" s="830"/>
      <c r="L32" s="830"/>
      <c r="M32" s="2443" t="s">
        <v>1573</v>
      </c>
      <c r="N32" s="2444"/>
      <c r="O32" s="2444"/>
      <c r="P32" s="2444"/>
      <c r="Q32" s="2444"/>
      <c r="R32" s="2444"/>
      <c r="S32" s="2444"/>
      <c r="T32" s="2444"/>
      <c r="U32" s="2445"/>
      <c r="V32" s="2443" t="s">
        <v>1574</v>
      </c>
      <c r="W32" s="2444"/>
      <c r="X32" s="2444"/>
      <c r="Y32" s="2444"/>
      <c r="Z32" s="2444"/>
      <c r="AA32" s="2444"/>
      <c r="AB32" s="2444"/>
      <c r="AC32" s="2445"/>
      <c r="AD32" s="2443" t="s">
        <v>1575</v>
      </c>
      <c r="AE32" s="2444"/>
      <c r="AF32" s="2444"/>
      <c r="AG32" s="2444"/>
      <c r="AH32" s="2444"/>
      <c r="AI32" s="2444"/>
      <c r="AJ32" s="2444"/>
      <c r="AK32" s="2444"/>
      <c r="AL32" s="2449"/>
    </row>
    <row r="33" spans="1:38" s="391" customFormat="1" ht="19.5" customHeight="1">
      <c r="A33" s="420" t="str">
        <f>LEFT(TEXT('Input data'!F34,"dd.m.yyyy"),1)</f>
        <v>1</v>
      </c>
      <c r="B33" s="419" t="str">
        <f>MID(TEXT('Input data'!$F$34,"dd.mm.yyyy"),2,1)</f>
        <v>5</v>
      </c>
      <c r="C33" s="418" t="s">
        <v>1063</v>
      </c>
      <c r="D33" s="419" t="str">
        <f>MID(TEXT('Input data'!$F$34,"dd.mm.yyyy"),4,1)</f>
        <v>0</v>
      </c>
      <c r="E33" s="419" t="str">
        <f>MID(TEXT('Input data'!$F$34,"dd.mm.yyyy"),5,1)</f>
        <v>5</v>
      </c>
      <c r="F33" s="418" t="s">
        <v>1063</v>
      </c>
      <c r="G33" s="419" t="str">
        <f>MID(TEXT('Input data'!$F$34,"dd.mm.yyyy"),7,1)</f>
        <v>2</v>
      </c>
      <c r="H33" s="419" t="str">
        <f>MID(TEXT('Input data'!$F$34,"dd.mm.yyyy"),8,1)</f>
        <v>0</v>
      </c>
      <c r="I33" s="419" t="str">
        <f>MID(TEXT('Input data'!$F$34,"dd.mm.yyyy"),9,1)</f>
        <v>1</v>
      </c>
      <c r="J33" s="419" t="str">
        <f>MID(TEXT('Input data'!$F$34,"dd.mm.yyyy"),10,1)</f>
        <v>9</v>
      </c>
      <c r="K33" s="873"/>
      <c r="L33" s="426"/>
      <c r="M33" s="2446"/>
      <c r="N33" s="2447"/>
      <c r="O33" s="2447"/>
      <c r="P33" s="2447"/>
      <c r="Q33" s="2447"/>
      <c r="R33" s="2447"/>
      <c r="S33" s="2447"/>
      <c r="T33" s="2447"/>
      <c r="U33" s="2448"/>
      <c r="V33" s="2446"/>
      <c r="W33" s="2447"/>
      <c r="X33" s="2447"/>
      <c r="Y33" s="2447"/>
      <c r="Z33" s="2447"/>
      <c r="AA33" s="2447"/>
      <c r="AB33" s="2447"/>
      <c r="AC33" s="2448"/>
      <c r="AD33" s="2446"/>
      <c r="AE33" s="2447"/>
      <c r="AF33" s="2447"/>
      <c r="AG33" s="2447"/>
      <c r="AH33" s="2447"/>
      <c r="AI33" s="2447"/>
      <c r="AJ33" s="2447"/>
      <c r="AK33" s="2447"/>
      <c r="AL33" s="2450"/>
    </row>
    <row r="34" spans="1:38" s="391" customFormat="1" ht="13" customHeight="1">
      <c r="A34" s="432"/>
      <c r="B34" s="431"/>
      <c r="C34" s="431"/>
      <c r="D34" s="431"/>
      <c r="E34" s="431"/>
      <c r="F34" s="431"/>
      <c r="G34" s="431"/>
      <c r="H34" s="431"/>
      <c r="I34" s="431"/>
      <c r="J34" s="431"/>
      <c r="K34" s="832"/>
      <c r="L34" s="832"/>
      <c r="M34" s="2446"/>
      <c r="N34" s="2447"/>
      <c r="O34" s="2447"/>
      <c r="P34" s="2447"/>
      <c r="Q34" s="2447"/>
      <c r="R34" s="2447"/>
      <c r="S34" s="2447"/>
      <c r="T34" s="2447"/>
      <c r="U34" s="2448"/>
      <c r="V34" s="2446"/>
      <c r="W34" s="2447"/>
      <c r="X34" s="2447"/>
      <c r="Y34" s="2447"/>
      <c r="Z34" s="2447"/>
      <c r="AA34" s="2447"/>
      <c r="AB34" s="2447"/>
      <c r="AC34" s="2448"/>
      <c r="AD34" s="2446"/>
      <c r="AE34" s="2447"/>
      <c r="AF34" s="2447"/>
      <c r="AG34" s="2447"/>
      <c r="AH34" s="2447"/>
      <c r="AI34" s="2447"/>
      <c r="AJ34" s="2447"/>
      <c r="AK34" s="2447"/>
      <c r="AL34" s="2450"/>
    </row>
    <row r="35" spans="1:38" s="391" customFormat="1" ht="13">
      <c r="A35" s="403" t="s">
        <v>1576</v>
      </c>
      <c r="B35" s="402"/>
      <c r="C35" s="402"/>
      <c r="D35" s="402"/>
      <c r="E35" s="402"/>
      <c r="F35" s="402"/>
      <c r="G35" s="402"/>
      <c r="H35" s="402"/>
      <c r="I35" s="402"/>
      <c r="J35" s="402"/>
      <c r="K35" s="426"/>
      <c r="L35" s="833"/>
      <c r="M35" s="426"/>
      <c r="N35" s="426"/>
      <c r="O35" s="426"/>
      <c r="P35" s="426"/>
      <c r="Q35" s="426"/>
      <c r="R35" s="426"/>
      <c r="S35" s="426"/>
      <c r="T35" s="402"/>
      <c r="U35" s="424"/>
      <c r="V35" s="425"/>
      <c r="W35" s="425"/>
      <c r="X35" s="425"/>
      <c r="Y35" s="425"/>
      <c r="Z35" s="425"/>
      <c r="AA35" s="399"/>
      <c r="AB35" s="425"/>
      <c r="AC35" s="424"/>
      <c r="AD35" s="423"/>
      <c r="AE35" s="422"/>
      <c r="AF35" s="422"/>
      <c r="AG35" s="422"/>
      <c r="AH35" s="422"/>
      <c r="AI35" s="422"/>
      <c r="AJ35" s="422"/>
      <c r="AK35" s="422"/>
      <c r="AL35" s="421"/>
    </row>
    <row r="36" spans="1:38" s="391" customFormat="1" ht="19.5" customHeight="1">
      <c r="A36" s="420" t="str">
        <f>IF('Input data'!$F$36="","",LEFT(TEXT('Input data'!$F$36,"dd.mm.yyyy"),1))</f>
        <v/>
      </c>
      <c r="B36" s="419" t="str">
        <f>IF('Input data'!$F$36="","",MID(TEXT('Input data'!$F$36,"dd.mm.yyyy"),2,1))</f>
        <v/>
      </c>
      <c r="C36" s="418" t="s">
        <v>1063</v>
      </c>
      <c r="D36" s="419" t="str">
        <f>IF('Input data'!$F$36="","",MID(TEXT('Input data'!$F$36,"dd.mm.yyyy"),4,1))</f>
        <v/>
      </c>
      <c r="E36" s="419" t="str">
        <f>IF('Input data'!$F$36="","",MID(TEXT('Input data'!$F$36,"dd.mm.yyyy"),5,1))</f>
        <v/>
      </c>
      <c r="F36" s="418" t="s">
        <v>1063</v>
      </c>
      <c r="G36" s="417" t="str">
        <f>IF('Input data'!$F$36="","",MID(TEXT('Input data'!$F$36,"dd.mm.yyyy"),7,1))</f>
        <v/>
      </c>
      <c r="H36" s="417" t="str">
        <f>IF('Input data'!$F$36="","",MID(TEXT('Input data'!$F$36,"dd.mm.yyyy"),8,1))</f>
        <v/>
      </c>
      <c r="I36" s="417" t="str">
        <f>IF('Input data'!$F$36="","",MID(TEXT('Input data'!$F$36,"dd.mm.yyyy"),9,1))</f>
        <v/>
      </c>
      <c r="J36" s="417" t="str">
        <f>IF('Input data'!$F$36="","",MID(TEXT('Input data'!$F$36,"dd.mm.yyyy"),10,1))</f>
        <v/>
      </c>
      <c r="K36" s="834"/>
      <c r="L36" s="528"/>
      <c r="M36" s="402"/>
      <c r="N36" s="402"/>
      <c r="O36" s="402"/>
      <c r="P36" s="402"/>
      <c r="Q36" s="402"/>
      <c r="R36" s="402"/>
      <c r="S36" s="402"/>
      <c r="T36" s="402"/>
      <c r="U36" s="528"/>
      <c r="V36" s="402"/>
      <c r="W36" s="399"/>
      <c r="X36" s="399"/>
      <c r="Y36" s="399"/>
      <c r="Z36" s="399"/>
      <c r="AA36" s="399"/>
      <c r="AB36" s="399"/>
      <c r="AC36" s="527"/>
      <c r="AD36" s="399"/>
      <c r="AE36" s="399"/>
      <c r="AF36" s="399"/>
      <c r="AG36" s="399"/>
      <c r="AH36" s="399"/>
      <c r="AI36" s="399"/>
      <c r="AJ36" s="399"/>
      <c r="AK36" s="399"/>
      <c r="AL36" s="398"/>
    </row>
    <row r="37" spans="1:38" s="397" customFormat="1" ht="12" thickBot="1">
      <c r="A37" s="412"/>
      <c r="B37" s="411"/>
      <c r="C37" s="411"/>
      <c r="D37" s="411"/>
      <c r="E37" s="411"/>
      <c r="F37" s="411"/>
      <c r="G37" s="411"/>
      <c r="H37" s="411"/>
      <c r="I37" s="411"/>
      <c r="J37" s="411"/>
      <c r="K37" s="411"/>
      <c r="L37" s="410"/>
      <c r="M37" s="2348">
        <f>'Input data'!F40</f>
        <v>0</v>
      </c>
      <c r="N37" s="2349"/>
      <c r="O37" s="2349"/>
      <c r="P37" s="2349"/>
      <c r="Q37" s="2349"/>
      <c r="R37" s="2349"/>
      <c r="S37" s="2349"/>
      <c r="T37" s="2349"/>
      <c r="U37" s="2350"/>
      <c r="V37" s="2348" t="e">
        <f>'Input data'!#REF!</f>
        <v>#REF!</v>
      </c>
      <c r="W37" s="2349"/>
      <c r="X37" s="2349"/>
      <c r="Y37" s="2349"/>
      <c r="Z37" s="2349"/>
      <c r="AA37" s="2349"/>
      <c r="AB37" s="2349"/>
      <c r="AC37" s="2350"/>
      <c r="AD37" s="2351" t="e">
        <f>'Input data'!#REF!</f>
        <v>#REF!</v>
      </c>
      <c r="AE37" s="2349"/>
      <c r="AF37" s="2349"/>
      <c r="AG37" s="2349"/>
      <c r="AH37" s="2349"/>
      <c r="AI37" s="2349"/>
      <c r="AJ37" s="2349"/>
      <c r="AK37" s="2349"/>
      <c r="AL37" s="2352"/>
    </row>
    <row r="38" spans="1:38" s="397" customFormat="1" ht="13">
      <c r="A38" s="400"/>
      <c r="B38" s="400"/>
      <c r="C38" s="400"/>
      <c r="D38" s="400"/>
      <c r="E38" s="400"/>
      <c r="F38" s="400"/>
      <c r="G38" s="400"/>
      <c r="H38" s="400"/>
      <c r="I38" s="400"/>
      <c r="J38" s="400"/>
      <c r="K38" s="400"/>
      <c r="L38" s="400"/>
      <c r="M38" s="874"/>
      <c r="N38" s="874"/>
      <c r="O38" s="874"/>
      <c r="P38" s="874"/>
      <c r="Q38" s="874"/>
      <c r="R38" s="874"/>
      <c r="S38" s="874"/>
      <c r="T38" s="874"/>
      <c r="U38" s="874"/>
      <c r="V38" s="400"/>
      <c r="W38" s="399"/>
      <c r="X38" s="399"/>
      <c r="Y38" s="399"/>
      <c r="Z38" s="399"/>
      <c r="AA38" s="399"/>
      <c r="AB38" s="399"/>
      <c r="AC38" s="399"/>
      <c r="AD38" s="400"/>
      <c r="AE38" s="400"/>
      <c r="AF38" s="400"/>
      <c r="AG38" s="400"/>
      <c r="AH38" s="400"/>
      <c r="AI38" s="400"/>
      <c r="AJ38" s="400"/>
      <c r="AK38" s="400"/>
      <c r="AL38" s="400"/>
    </row>
    <row r="39" spans="1:38" s="397" customFormat="1" ht="13">
      <c r="A39" s="400"/>
      <c r="B39" s="400"/>
      <c r="C39" s="400"/>
      <c r="D39" s="400"/>
      <c r="E39" s="400"/>
      <c r="F39" s="400"/>
      <c r="G39" s="400"/>
      <c r="H39" s="400"/>
      <c r="I39" s="400"/>
      <c r="J39" s="400"/>
      <c r="K39" s="400"/>
      <c r="L39" s="400"/>
      <c r="M39" s="874"/>
      <c r="N39" s="874"/>
      <c r="O39" s="874"/>
      <c r="P39" s="874"/>
      <c r="Q39" s="874"/>
      <c r="R39" s="874"/>
      <c r="S39" s="874"/>
      <c r="T39" s="874"/>
      <c r="U39" s="874"/>
      <c r="V39" s="400"/>
      <c r="W39" s="399"/>
      <c r="X39" s="399"/>
      <c r="Y39" s="399"/>
      <c r="Z39" s="399"/>
      <c r="AA39" s="399"/>
      <c r="AB39" s="399"/>
      <c r="AC39" s="399"/>
      <c r="AD39" s="400"/>
      <c r="AE39" s="400"/>
      <c r="AF39" s="400"/>
      <c r="AG39" s="400"/>
      <c r="AH39" s="400"/>
      <c r="AI39" s="400"/>
      <c r="AJ39" s="400"/>
      <c r="AK39" s="400"/>
      <c r="AL39" s="400"/>
    </row>
    <row r="40" spans="1:38" s="397" customFormat="1" ht="13">
      <c r="W40" s="392"/>
      <c r="X40" s="392"/>
      <c r="Y40" s="392"/>
      <c r="Z40" s="392"/>
      <c r="AA40" s="392"/>
      <c r="AB40" s="392"/>
      <c r="AC40" s="392"/>
      <c r="AD40" s="392"/>
      <c r="AE40" s="392"/>
      <c r="AF40" s="392"/>
      <c r="AG40" s="392"/>
      <c r="AH40" s="392"/>
      <c r="AI40" s="392"/>
      <c r="AJ40" s="392"/>
      <c r="AK40" s="392"/>
    </row>
    <row r="41" spans="1:38" ht="13.5" thickBot="1">
      <c r="W41" s="392"/>
      <c r="X41" s="392"/>
      <c r="Y41" s="392"/>
      <c r="Z41" s="392"/>
      <c r="AA41" s="392"/>
      <c r="AB41" s="392"/>
      <c r="AC41" s="392"/>
      <c r="AD41" s="392"/>
      <c r="AE41" s="392"/>
      <c r="AF41" s="392"/>
      <c r="AG41" s="392"/>
      <c r="AH41" s="392"/>
      <c r="AI41" s="392"/>
      <c r="AJ41" s="392"/>
      <c r="AK41" s="392"/>
    </row>
    <row r="42" spans="1:38" s="397" customFormat="1" ht="13">
      <c r="B42" s="409" t="s">
        <v>1577</v>
      </c>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392"/>
    </row>
    <row r="43" spans="1:38" s="397" customFormat="1" ht="13">
      <c r="B43" s="401"/>
      <c r="C43" s="400"/>
      <c r="D43" s="400"/>
      <c r="E43" s="400"/>
      <c r="F43" s="400"/>
      <c r="G43" s="400"/>
      <c r="H43" s="400"/>
      <c r="I43" s="400"/>
      <c r="J43" s="400"/>
      <c r="K43" s="400"/>
      <c r="L43" s="400"/>
      <c r="M43" s="400"/>
      <c r="N43" s="400"/>
      <c r="O43" s="400"/>
      <c r="P43" s="400"/>
      <c r="Q43" s="400"/>
      <c r="R43" s="400"/>
      <c r="S43" s="400"/>
      <c r="T43" s="400"/>
      <c r="U43" s="400"/>
      <c r="V43" s="400"/>
      <c r="W43" s="399"/>
      <c r="X43" s="399"/>
      <c r="Y43" s="399"/>
      <c r="Z43" s="399"/>
      <c r="AA43" s="399"/>
      <c r="AB43" s="399"/>
      <c r="AC43" s="399"/>
      <c r="AD43" s="399"/>
      <c r="AE43" s="399"/>
      <c r="AF43" s="399"/>
      <c r="AG43" s="399"/>
      <c r="AH43" s="399"/>
      <c r="AI43" s="399"/>
      <c r="AJ43" s="398"/>
      <c r="AK43" s="392"/>
    </row>
    <row r="44" spans="1:38" ht="13">
      <c r="B44" s="405"/>
      <c r="C44" s="823"/>
      <c r="D44" s="823"/>
      <c r="E44" s="823"/>
      <c r="F44" s="823"/>
      <c r="G44" s="823"/>
      <c r="H44" s="823"/>
      <c r="I44" s="823"/>
      <c r="J44" s="823"/>
      <c r="K44" s="823"/>
      <c r="L44" s="823"/>
      <c r="M44" s="823"/>
      <c r="N44" s="823"/>
      <c r="O44" s="823"/>
      <c r="P44" s="823"/>
      <c r="Q44" s="823"/>
      <c r="R44" s="823"/>
      <c r="S44" s="823"/>
      <c r="T44" s="823"/>
      <c r="U44" s="823"/>
      <c r="V44" s="823"/>
      <c r="W44" s="399"/>
      <c r="X44" s="399"/>
      <c r="Y44" s="399"/>
      <c r="Z44" s="399"/>
      <c r="AA44" s="399"/>
      <c r="AB44" s="399"/>
      <c r="AC44" s="399"/>
      <c r="AD44" s="399"/>
      <c r="AE44" s="399"/>
      <c r="AF44" s="399"/>
      <c r="AG44" s="399"/>
      <c r="AH44" s="399"/>
      <c r="AI44" s="399"/>
      <c r="AJ44" s="398"/>
      <c r="AK44" s="392"/>
    </row>
    <row r="45" spans="1:38" s="397" customFormat="1" ht="13">
      <c r="B45" s="401"/>
      <c r="C45" s="400"/>
      <c r="D45" s="400"/>
      <c r="E45" s="400"/>
      <c r="F45" s="400"/>
      <c r="G45" s="400"/>
      <c r="H45" s="400"/>
      <c r="I45" s="400"/>
      <c r="J45" s="400"/>
      <c r="K45" s="400"/>
      <c r="L45" s="400"/>
      <c r="M45" s="400"/>
      <c r="N45" s="400"/>
      <c r="O45" s="400"/>
      <c r="P45" s="400"/>
      <c r="Q45" s="400"/>
      <c r="R45" s="400"/>
      <c r="S45" s="400"/>
      <c r="T45" s="400"/>
      <c r="U45" s="400"/>
      <c r="V45" s="400"/>
      <c r="W45" s="399"/>
      <c r="X45" s="399"/>
      <c r="Y45" s="399"/>
      <c r="Z45" s="399"/>
      <c r="AA45" s="399"/>
      <c r="AB45" s="399"/>
      <c r="AC45" s="399"/>
      <c r="AD45" s="399"/>
      <c r="AE45" s="399"/>
      <c r="AF45" s="399"/>
      <c r="AG45" s="399"/>
      <c r="AH45" s="399"/>
      <c r="AI45" s="399"/>
      <c r="AJ45" s="398"/>
      <c r="AK45" s="392"/>
    </row>
    <row r="46" spans="1:38" s="391" customFormat="1" ht="13">
      <c r="B46" s="403"/>
      <c r="C46" s="402"/>
      <c r="D46" s="402"/>
      <c r="E46" s="402"/>
      <c r="F46" s="402"/>
      <c r="G46" s="402"/>
      <c r="H46" s="402"/>
      <c r="I46" s="402"/>
      <c r="J46" s="402"/>
      <c r="K46" s="402"/>
      <c r="L46" s="402"/>
      <c r="M46" s="402"/>
      <c r="N46" s="402"/>
      <c r="O46" s="402"/>
      <c r="P46" s="402"/>
      <c r="Q46" s="402"/>
      <c r="R46" s="402"/>
      <c r="S46" s="402"/>
      <c r="T46" s="402"/>
      <c r="U46" s="402"/>
      <c r="V46" s="402"/>
      <c r="W46" s="399"/>
      <c r="X46" s="399"/>
      <c r="Y46" s="399"/>
      <c r="Z46" s="399"/>
      <c r="AA46" s="399"/>
      <c r="AB46" s="399"/>
      <c r="AC46" s="399"/>
      <c r="AD46" s="399"/>
      <c r="AE46" s="399"/>
      <c r="AF46" s="399"/>
      <c r="AG46" s="399"/>
      <c r="AH46" s="399"/>
      <c r="AI46" s="399"/>
      <c r="AJ46" s="398"/>
      <c r="AK46" s="392"/>
    </row>
    <row r="47" spans="1:38" s="391" customFormat="1" ht="13">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8" s="397" customFormat="1" ht="13">
      <c r="B48" s="401"/>
      <c r="C48" s="400"/>
      <c r="D48" s="400"/>
      <c r="E48" s="400"/>
      <c r="F48" s="400"/>
      <c r="G48" s="400"/>
      <c r="H48" s="400"/>
      <c r="I48" s="400"/>
      <c r="J48" s="400"/>
      <c r="K48" s="400"/>
      <c r="L48" s="400"/>
      <c r="M48" s="400"/>
      <c r="N48" s="400"/>
      <c r="O48" s="400"/>
      <c r="P48" s="400"/>
      <c r="Q48" s="400"/>
      <c r="R48" s="400"/>
      <c r="S48" s="400"/>
      <c r="T48" s="400"/>
      <c r="U48" s="400"/>
      <c r="V48" s="400"/>
      <c r="W48" s="399"/>
      <c r="X48" s="399"/>
      <c r="Y48" s="399"/>
      <c r="Z48" s="399"/>
      <c r="AA48" s="399"/>
      <c r="AB48" s="399"/>
      <c r="AC48" s="399"/>
      <c r="AD48" s="399"/>
      <c r="AE48" s="399"/>
      <c r="AF48" s="399"/>
      <c r="AG48" s="399"/>
      <c r="AH48" s="399"/>
      <c r="AI48" s="399"/>
      <c r="AJ48" s="398"/>
      <c r="AK48" s="392"/>
    </row>
    <row r="49" spans="2:37"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ht="13">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1" customFormat="1" ht="13.5" thickBot="1">
      <c r="B52" s="396"/>
      <c r="C52" s="395"/>
      <c r="D52" s="395"/>
      <c r="E52" s="395"/>
      <c r="F52" s="395"/>
      <c r="G52" s="395" t="s">
        <v>1578</v>
      </c>
      <c r="H52" s="395"/>
      <c r="I52" s="395"/>
      <c r="J52" s="395"/>
      <c r="K52" s="395"/>
      <c r="L52" s="395"/>
      <c r="M52" s="395"/>
      <c r="N52" s="395"/>
      <c r="O52" s="395"/>
      <c r="P52" s="395"/>
      <c r="Q52" s="395"/>
      <c r="R52" s="395"/>
      <c r="S52" s="395"/>
      <c r="T52" s="395"/>
      <c r="U52" s="395" t="s">
        <v>1579</v>
      </c>
      <c r="V52" s="395"/>
      <c r="W52" s="394"/>
      <c r="X52" s="394"/>
      <c r="Y52" s="394"/>
      <c r="Z52" s="394"/>
      <c r="AA52" s="394"/>
      <c r="AB52" s="394"/>
      <c r="AC52" s="394"/>
      <c r="AD52" s="394"/>
      <c r="AE52" s="394"/>
      <c r="AF52" s="394"/>
      <c r="AG52" s="394"/>
      <c r="AH52" s="394"/>
      <c r="AI52" s="394"/>
      <c r="AJ52" s="393"/>
      <c r="AK52" s="392"/>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3"/>
  <sheetViews>
    <sheetView topLeftCell="A166" zoomScaleNormal="100" zoomScaleSheetLayoutView="100" workbookViewId="0">
      <selection activeCell="B174" sqref="B174:E174"/>
    </sheetView>
  </sheetViews>
  <sheetFormatPr defaultColWidth="9.1796875" defaultRowHeight="11"/>
  <cols>
    <col min="1" max="1" width="5.54296875" style="502" customWidth="1"/>
    <col min="2" max="2" width="18.7265625" style="502" customWidth="1"/>
    <col min="3" max="3" width="3.7265625" style="502" customWidth="1"/>
    <col min="4" max="4" width="3.54296875" style="502" customWidth="1"/>
    <col min="5" max="5" width="12.453125" style="502" customWidth="1"/>
    <col min="6" max="6" width="12.1796875" style="502" customWidth="1"/>
    <col min="7" max="7" width="14.7265625" style="502" customWidth="1"/>
    <col min="8" max="8" width="3.54296875" style="502" customWidth="1"/>
    <col min="9" max="9" width="10.54296875" style="502" customWidth="1"/>
    <col min="10" max="10" width="14.453125" style="502" customWidth="1"/>
    <col min="11" max="16384" width="9.1796875" style="502"/>
  </cols>
  <sheetData>
    <row r="1" spans="1:13" ht="7.5" customHeight="1">
      <c r="A1" s="501"/>
      <c r="F1" s="445"/>
      <c r="G1" s="445"/>
      <c r="H1" s="445"/>
      <c r="I1" s="445"/>
    </row>
    <row r="2" spans="1:13" ht="17.25" customHeight="1">
      <c r="A2" s="501"/>
      <c r="B2" s="2544" t="s">
        <v>1541</v>
      </c>
      <c r="C2" s="2545"/>
      <c r="E2" s="445"/>
      <c r="F2" s="875" t="s">
        <v>1580</v>
      </c>
      <c r="G2" s="835"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H2" s="523"/>
      <c r="I2" s="522"/>
    </row>
    <row r="3" spans="1:13" ht="7.5" customHeight="1" thickBot="1">
      <c r="A3" s="501"/>
    </row>
    <row r="4" spans="1:13" s="519" customFormat="1" ht="11.25" customHeight="1">
      <c r="A4" s="2549" t="s">
        <v>1581</v>
      </c>
      <c r="B4" s="2550" t="s">
        <v>1582</v>
      </c>
      <c r="C4" s="2551" t="s">
        <v>1583</v>
      </c>
      <c r="D4" s="2369" t="s">
        <v>1584</v>
      </c>
      <c r="E4" s="2428"/>
      <c r="F4" s="2428"/>
      <c r="G4" s="2428"/>
      <c r="H4" s="2373"/>
      <c r="I4" s="2431" t="s">
        <v>1562</v>
      </c>
      <c r="J4" s="2432"/>
    </row>
    <row r="5" spans="1:13" s="519" customFormat="1" ht="11.25" customHeight="1">
      <c r="A5" s="2518"/>
      <c r="B5" s="2519"/>
      <c r="C5" s="2520"/>
      <c r="D5" s="2411">
        <v>1</v>
      </c>
      <c r="E5" s="2379" t="s">
        <v>1585</v>
      </c>
      <c r="F5" s="2439"/>
      <c r="G5" s="2727" t="s">
        <v>1178</v>
      </c>
      <c r="H5" s="2728"/>
      <c r="I5" s="2371"/>
      <c r="J5" s="2372"/>
    </row>
    <row r="6" spans="1:13" s="519" customFormat="1" ht="12" customHeight="1">
      <c r="A6" s="2381"/>
      <c r="B6" s="2389"/>
      <c r="C6" s="2391"/>
      <c r="D6" s="2521"/>
      <c r="E6" s="2379" t="s">
        <v>1586</v>
      </c>
      <c r="F6" s="2439"/>
      <c r="G6" s="2729"/>
      <c r="H6" s="2730"/>
      <c r="I6" s="2379" t="s">
        <v>1176</v>
      </c>
      <c r="J6" s="2380"/>
    </row>
    <row r="7" spans="1:13" s="521" customFormat="1" ht="28" customHeight="1">
      <c r="A7" s="2417"/>
      <c r="B7" s="2726" t="s">
        <v>1587</v>
      </c>
      <c r="C7" s="2401" t="s">
        <v>522</v>
      </c>
      <c r="D7" s="2367">
        <f>'BS old'!D10</f>
        <v>0</v>
      </c>
      <c r="E7" s="2367"/>
      <c r="F7" s="2367"/>
      <c r="G7" s="2364">
        <f>'BS old'!F10</f>
        <v>0</v>
      </c>
      <c r="H7" s="2365"/>
      <c r="I7" s="2366"/>
      <c r="J7" s="520"/>
    </row>
    <row r="8" spans="1:13" s="521" customFormat="1" ht="28" customHeight="1">
      <c r="A8" s="2417"/>
      <c r="B8" s="2543"/>
      <c r="C8" s="2401"/>
      <c r="D8" s="2367">
        <f>'BS old'!E10</f>
        <v>0</v>
      </c>
      <c r="E8" s="2367"/>
      <c r="F8" s="2367"/>
      <c r="G8" s="810"/>
      <c r="H8" s="2364">
        <f>'BS old'!G10</f>
        <v>0</v>
      </c>
      <c r="I8" s="2365"/>
      <c r="J8" s="2368"/>
      <c r="M8" s="521" t="s">
        <v>1093</v>
      </c>
    </row>
    <row r="9" spans="1:13" s="521" customFormat="1" ht="28" customHeight="1">
      <c r="A9" s="2396" t="s">
        <v>523</v>
      </c>
      <c r="B9" s="2731" t="s">
        <v>1588</v>
      </c>
      <c r="C9" s="2401" t="s">
        <v>525</v>
      </c>
      <c r="D9" s="2367">
        <f>'BS old'!D11</f>
        <v>0</v>
      </c>
      <c r="E9" s="2367"/>
      <c r="F9" s="2367"/>
      <c r="G9" s="2364">
        <f>'BS old'!F11</f>
        <v>0</v>
      </c>
      <c r="H9" s="2365"/>
      <c r="I9" s="2366"/>
      <c r="J9" s="520"/>
    </row>
    <row r="10" spans="1:13" s="521" customFormat="1" ht="28" customHeight="1">
      <c r="A10" s="2396"/>
      <c r="B10" s="2397"/>
      <c r="C10" s="2401"/>
      <c r="D10" s="2367">
        <f>'BS old'!E11</f>
        <v>0</v>
      </c>
      <c r="E10" s="2367"/>
      <c r="F10" s="2367"/>
      <c r="G10" s="810"/>
      <c r="H10" s="2364">
        <f>'BS old'!G11</f>
        <v>0</v>
      </c>
      <c r="I10" s="2365"/>
      <c r="J10" s="2368"/>
    </row>
    <row r="11" spans="1:13" s="521" customFormat="1" ht="28" customHeight="1">
      <c r="A11" s="2396" t="s">
        <v>526</v>
      </c>
      <c r="B11" s="2731" t="s">
        <v>1589</v>
      </c>
      <c r="C11" s="2401" t="s">
        <v>528</v>
      </c>
      <c r="D11" s="2367">
        <f>'BS old'!D12</f>
        <v>0</v>
      </c>
      <c r="E11" s="2367"/>
      <c r="F11" s="2367"/>
      <c r="G11" s="2364">
        <f>'BS old'!F12</f>
        <v>0</v>
      </c>
      <c r="H11" s="2365"/>
      <c r="I11" s="2366"/>
      <c r="J11" s="836"/>
    </row>
    <row r="12" spans="1:13" s="521" customFormat="1" ht="28" customHeight="1">
      <c r="A12" s="2396"/>
      <c r="B12" s="2397"/>
      <c r="C12" s="2401"/>
      <c r="D12" s="2367">
        <f>'BS old'!E12</f>
        <v>0</v>
      </c>
      <c r="E12" s="2367"/>
      <c r="F12" s="2367"/>
      <c r="G12" s="810"/>
      <c r="H12" s="2364">
        <f>'BS old'!G12</f>
        <v>0</v>
      </c>
      <c r="I12" s="2365"/>
      <c r="J12" s="2368"/>
    </row>
    <row r="13" spans="1:13" s="519" customFormat="1" ht="28" customHeight="1">
      <c r="A13" s="2408" t="s">
        <v>529</v>
      </c>
      <c r="B13" s="2524" t="s">
        <v>1590</v>
      </c>
      <c r="C13" s="2535" t="s">
        <v>531</v>
      </c>
      <c r="D13" s="2367">
        <f>'BS old'!D13</f>
        <v>0</v>
      </c>
      <c r="E13" s="2367"/>
      <c r="F13" s="2367"/>
      <c r="G13" s="2364">
        <f>'BS old'!F13</f>
        <v>0</v>
      </c>
      <c r="H13" s="2365"/>
      <c r="I13" s="2366"/>
      <c r="J13" s="520"/>
    </row>
    <row r="14" spans="1:13" s="519" customFormat="1" ht="28" customHeight="1">
      <c r="A14" s="2414"/>
      <c r="B14" s="2385"/>
      <c r="C14" s="2387"/>
      <c r="D14" s="2367">
        <f>'BS old'!E13</f>
        <v>0</v>
      </c>
      <c r="E14" s="2367"/>
      <c r="F14" s="2367"/>
      <c r="G14" s="810"/>
      <c r="H14" s="2364">
        <f>'BS old'!G13</f>
        <v>0</v>
      </c>
      <c r="I14" s="2365"/>
      <c r="J14" s="2368"/>
    </row>
    <row r="15" spans="1:13" s="519" customFormat="1" ht="28" customHeight="1">
      <c r="A15" s="2384" t="s">
        <v>532</v>
      </c>
      <c r="B15" s="2524" t="s">
        <v>1591</v>
      </c>
      <c r="C15" s="2535" t="s">
        <v>534</v>
      </c>
      <c r="D15" s="2367">
        <f>'BS old'!D14</f>
        <v>0</v>
      </c>
      <c r="E15" s="2367"/>
      <c r="F15" s="2367"/>
      <c r="G15" s="2364">
        <f>'BS old'!F14</f>
        <v>0</v>
      </c>
      <c r="H15" s="2365"/>
      <c r="I15" s="2366"/>
      <c r="J15" s="520"/>
    </row>
    <row r="16" spans="1:13" s="519" customFormat="1" ht="28" customHeight="1">
      <c r="A16" s="2384"/>
      <c r="B16" s="2385"/>
      <c r="C16" s="2387"/>
      <c r="D16" s="2367">
        <f>'BS old'!E14</f>
        <v>0</v>
      </c>
      <c r="E16" s="2367"/>
      <c r="F16" s="2367"/>
      <c r="G16" s="810"/>
      <c r="H16" s="2364">
        <f>'BS old'!G14</f>
        <v>0</v>
      </c>
      <c r="I16" s="2365"/>
      <c r="J16" s="2368"/>
    </row>
    <row r="17" spans="1:10" s="519" customFormat="1" ht="28" customHeight="1">
      <c r="A17" s="2384" t="s">
        <v>535</v>
      </c>
      <c r="B17" s="2524" t="s">
        <v>1592</v>
      </c>
      <c r="C17" s="2535" t="s">
        <v>537</v>
      </c>
      <c r="D17" s="2367">
        <f>'BS old'!D15</f>
        <v>0</v>
      </c>
      <c r="E17" s="2367"/>
      <c r="F17" s="2367"/>
      <c r="G17" s="2364">
        <f>'BS old'!F15</f>
        <v>0</v>
      </c>
      <c r="H17" s="2365"/>
      <c r="I17" s="2366"/>
      <c r="J17" s="520"/>
    </row>
    <row r="18" spans="1:10" s="519" customFormat="1" ht="28" customHeight="1">
      <c r="A18" s="2384"/>
      <c r="B18" s="2385"/>
      <c r="C18" s="2387"/>
      <c r="D18" s="2367">
        <f>'BS old'!E15</f>
        <v>0</v>
      </c>
      <c r="E18" s="2367"/>
      <c r="F18" s="2367"/>
      <c r="G18" s="810"/>
      <c r="H18" s="2364">
        <f>'BS old'!G15</f>
        <v>0</v>
      </c>
      <c r="I18" s="2365"/>
      <c r="J18" s="2368"/>
    </row>
    <row r="19" spans="1:10" s="519" customFormat="1" ht="28" customHeight="1">
      <c r="A19" s="2384" t="s">
        <v>538</v>
      </c>
      <c r="B19" s="2524" t="s">
        <v>1593</v>
      </c>
      <c r="C19" s="2535" t="s">
        <v>540</v>
      </c>
      <c r="D19" s="2367">
        <f>'BS old'!D16</f>
        <v>0</v>
      </c>
      <c r="E19" s="2367"/>
      <c r="F19" s="2367"/>
      <c r="G19" s="2364">
        <f>'BS old'!F16</f>
        <v>0</v>
      </c>
      <c r="H19" s="2365"/>
      <c r="I19" s="2366"/>
      <c r="J19" s="520"/>
    </row>
    <row r="20" spans="1:10" s="519" customFormat="1" ht="28" customHeight="1">
      <c r="A20" s="2384"/>
      <c r="B20" s="2385"/>
      <c r="C20" s="2387"/>
      <c r="D20" s="2367">
        <f>'BS old'!E16</f>
        <v>0</v>
      </c>
      <c r="E20" s="2367"/>
      <c r="F20" s="2367"/>
      <c r="G20" s="810"/>
      <c r="H20" s="2364">
        <f>'BS old'!G16</f>
        <v>0</v>
      </c>
      <c r="I20" s="2365"/>
      <c r="J20" s="2368"/>
    </row>
    <row r="21" spans="1:10" s="519" customFormat="1" ht="28" customHeight="1">
      <c r="A21" s="2384" t="s">
        <v>541</v>
      </c>
      <c r="B21" s="2524" t="s">
        <v>1594</v>
      </c>
      <c r="C21" s="2535" t="s">
        <v>543</v>
      </c>
      <c r="D21" s="2367">
        <f>'BS old'!D17</f>
        <v>0</v>
      </c>
      <c r="E21" s="2367"/>
      <c r="F21" s="2367"/>
      <c r="G21" s="2364">
        <f>'BS old'!F17</f>
        <v>0</v>
      </c>
      <c r="H21" s="2365"/>
      <c r="I21" s="2366"/>
      <c r="J21" s="520"/>
    </row>
    <row r="22" spans="1:10" s="519" customFormat="1" ht="28" customHeight="1">
      <c r="A22" s="2384"/>
      <c r="B22" s="2385"/>
      <c r="C22" s="2387"/>
      <c r="D22" s="2367">
        <f>'BS old'!E17</f>
        <v>0</v>
      </c>
      <c r="E22" s="2367"/>
      <c r="F22" s="2367"/>
      <c r="G22" s="810"/>
      <c r="H22" s="2364">
        <f>'BS old'!G17</f>
        <v>0</v>
      </c>
      <c r="I22" s="2365"/>
      <c r="J22" s="2368"/>
    </row>
    <row r="23" spans="1:10" s="519" customFormat="1" ht="28" customHeight="1">
      <c r="A23" s="2384" t="s">
        <v>544</v>
      </c>
      <c r="B23" s="2524" t="s">
        <v>1595</v>
      </c>
      <c r="C23" s="2535" t="s">
        <v>546</v>
      </c>
      <c r="D23" s="2367">
        <f>'BS old'!D18</f>
        <v>0</v>
      </c>
      <c r="E23" s="2367"/>
      <c r="F23" s="2367"/>
      <c r="G23" s="2364">
        <f>'BS old'!F18</f>
        <v>0</v>
      </c>
      <c r="H23" s="2365"/>
      <c r="I23" s="2366"/>
      <c r="J23" s="520"/>
    </row>
    <row r="24" spans="1:10" s="519" customFormat="1" ht="28" customHeight="1">
      <c r="A24" s="2384"/>
      <c r="B24" s="2385"/>
      <c r="C24" s="2387"/>
      <c r="D24" s="2367">
        <f>'BS old'!E18</f>
        <v>0</v>
      </c>
      <c r="E24" s="2367"/>
      <c r="F24" s="2367"/>
      <c r="G24" s="810"/>
      <c r="H24" s="2364">
        <f>'BS old'!G18</f>
        <v>0</v>
      </c>
      <c r="I24" s="2365"/>
      <c r="J24" s="2368"/>
    </row>
    <row r="25" spans="1:10" s="519" customFormat="1" ht="28" customHeight="1">
      <c r="A25" s="2384" t="s">
        <v>547</v>
      </c>
      <c r="B25" s="2524" t="s">
        <v>1596</v>
      </c>
      <c r="C25" s="2535" t="s">
        <v>549</v>
      </c>
      <c r="D25" s="2367">
        <f>'BS old'!D19</f>
        <v>0</v>
      </c>
      <c r="E25" s="2367"/>
      <c r="F25" s="2367"/>
      <c r="G25" s="2364">
        <f>'BS old'!F19</f>
        <v>0</v>
      </c>
      <c r="H25" s="2365"/>
      <c r="I25" s="2366"/>
      <c r="J25" s="520"/>
    </row>
    <row r="26" spans="1:10" s="519" customFormat="1" ht="28" customHeight="1">
      <c r="A26" s="2384"/>
      <c r="B26" s="2385"/>
      <c r="C26" s="2387"/>
      <c r="D26" s="2367">
        <f>'BS old'!E19</f>
        <v>0</v>
      </c>
      <c r="E26" s="2367"/>
      <c r="F26" s="2367"/>
      <c r="G26" s="810"/>
      <c r="H26" s="2364">
        <f>'BS old'!G19</f>
        <v>0</v>
      </c>
      <c r="I26" s="2365"/>
      <c r="J26" s="2368"/>
    </row>
    <row r="27" spans="1:10" s="521" customFormat="1" ht="28" customHeight="1">
      <c r="A27" s="2409" t="s">
        <v>550</v>
      </c>
      <c r="B27" s="2726" t="s">
        <v>1597</v>
      </c>
      <c r="C27" s="2539" t="s">
        <v>552</v>
      </c>
      <c r="D27" s="2367">
        <f>'BS old'!D20</f>
        <v>0</v>
      </c>
      <c r="E27" s="2367"/>
      <c r="F27" s="2367"/>
      <c r="G27" s="2364">
        <f>'BS old'!F20</f>
        <v>0</v>
      </c>
      <c r="H27" s="2365"/>
      <c r="I27" s="2366"/>
      <c r="J27" s="520"/>
    </row>
    <row r="28" spans="1:10" s="521" customFormat="1" ht="28" customHeight="1">
      <c r="A28" s="2396"/>
      <c r="B28" s="2543"/>
      <c r="C28" s="2540"/>
      <c r="D28" s="2367">
        <f>'BS old'!E20</f>
        <v>0</v>
      </c>
      <c r="E28" s="2367"/>
      <c r="F28" s="2367"/>
      <c r="G28" s="810"/>
      <c r="H28" s="2364">
        <f>'BS old'!G20</f>
        <v>0</v>
      </c>
      <c r="I28" s="2365"/>
      <c r="J28" s="2368"/>
    </row>
    <row r="29" spans="1:10" s="519" customFormat="1" ht="28" customHeight="1">
      <c r="A29" s="2408" t="s">
        <v>553</v>
      </c>
      <c r="B29" s="2524" t="s">
        <v>1598</v>
      </c>
      <c r="C29" s="2535" t="s">
        <v>555</v>
      </c>
      <c r="D29" s="2367">
        <f>'BS old'!D21</f>
        <v>0</v>
      </c>
      <c r="E29" s="2367"/>
      <c r="F29" s="2367"/>
      <c r="G29" s="2364">
        <f>'BS old'!F21</f>
        <v>0</v>
      </c>
      <c r="H29" s="2365"/>
      <c r="I29" s="2366"/>
      <c r="J29" s="520"/>
    </row>
    <row r="30" spans="1:10" s="519" customFormat="1" ht="28" customHeight="1">
      <c r="A30" s="2395"/>
      <c r="B30" s="2385"/>
      <c r="C30" s="2387"/>
      <c r="D30" s="2367">
        <f>'BS old'!E21</f>
        <v>0</v>
      </c>
      <c r="E30" s="2367"/>
      <c r="F30" s="2367"/>
      <c r="G30" s="810"/>
      <c r="H30" s="2364">
        <f>'BS old'!G21</f>
        <v>0</v>
      </c>
      <c r="I30" s="2365"/>
      <c r="J30" s="2368"/>
    </row>
    <row r="31" spans="1:10" s="519" customFormat="1" ht="28" customHeight="1">
      <c r="A31" s="2384" t="s">
        <v>532</v>
      </c>
      <c r="B31" s="2524" t="s">
        <v>1599</v>
      </c>
      <c r="C31" s="2535" t="s">
        <v>557</v>
      </c>
      <c r="D31" s="2367">
        <f>'BS old'!D22</f>
        <v>0</v>
      </c>
      <c r="E31" s="2367"/>
      <c r="F31" s="2367"/>
      <c r="G31" s="2536">
        <f>'BS old'!F22</f>
        <v>0</v>
      </c>
      <c r="H31" s="2537"/>
      <c r="I31" s="2538"/>
      <c r="J31" s="520"/>
    </row>
    <row r="32" spans="1:10" s="519" customFormat="1" ht="28" customHeight="1" thickBot="1">
      <c r="A32" s="2384"/>
      <c r="B32" s="2385"/>
      <c r="C32" s="2387"/>
      <c r="D32" s="2367">
        <f>'BS old'!E22</f>
        <v>0</v>
      </c>
      <c r="E32" s="2367"/>
      <c r="F32" s="2367"/>
      <c r="G32" s="810"/>
      <c r="H32" s="2364">
        <f>'BS old'!G22</f>
        <v>0</v>
      </c>
      <c r="I32" s="2365"/>
      <c r="J32" s="2368"/>
    </row>
    <row r="33" spans="1:10" s="519" customFormat="1" ht="11.25" customHeight="1">
      <c r="A33" s="2549" t="s">
        <v>1581</v>
      </c>
      <c r="B33" s="2550" t="s">
        <v>1582</v>
      </c>
      <c r="C33" s="2551" t="s">
        <v>1583</v>
      </c>
      <c r="D33" s="2369" t="s">
        <v>1584</v>
      </c>
      <c r="E33" s="2428"/>
      <c r="F33" s="2428"/>
      <c r="G33" s="2428"/>
      <c r="H33" s="2373"/>
      <c r="I33" s="2431" t="s">
        <v>1562</v>
      </c>
      <c r="J33" s="2432"/>
    </row>
    <row r="34" spans="1:10" s="519" customFormat="1" ht="11.25" customHeight="1">
      <c r="A34" s="2518"/>
      <c r="B34" s="2519"/>
      <c r="C34" s="2520"/>
      <c r="D34" s="2411">
        <v>1</v>
      </c>
      <c r="E34" s="2379" t="s">
        <v>1585</v>
      </c>
      <c r="F34" s="2439"/>
      <c r="G34" s="2727" t="s">
        <v>1178</v>
      </c>
      <c r="H34" s="2728"/>
      <c r="I34" s="2371"/>
      <c r="J34" s="2372"/>
    </row>
    <row r="35" spans="1:10" s="519" customFormat="1" ht="12" customHeight="1">
      <c r="A35" s="2381"/>
      <c r="B35" s="2389"/>
      <c r="C35" s="2391"/>
      <c r="D35" s="2521"/>
      <c r="E35" s="2379" t="s">
        <v>1586</v>
      </c>
      <c r="F35" s="2439"/>
      <c r="G35" s="2729"/>
      <c r="H35" s="2730"/>
      <c r="I35" s="2379" t="s">
        <v>1176</v>
      </c>
      <c r="J35" s="2380"/>
    </row>
    <row r="36" spans="1:10" ht="28" customHeight="1">
      <c r="A36" s="2383" t="s">
        <v>535</v>
      </c>
      <c r="B36" s="2524" t="s">
        <v>1600</v>
      </c>
      <c r="C36" s="2387" t="s">
        <v>559</v>
      </c>
      <c r="D36" s="2523">
        <f>'BS old'!D23</f>
        <v>0</v>
      </c>
      <c r="E36" s="2523"/>
      <c r="F36" s="2523"/>
      <c r="G36" s="2433">
        <f>'BS old'!F23</f>
        <v>0</v>
      </c>
      <c r="H36" s="2434"/>
      <c r="I36" s="2534"/>
      <c r="J36" s="837"/>
    </row>
    <row r="37" spans="1:10" ht="28" customHeight="1">
      <c r="A37" s="2384"/>
      <c r="B37" s="2385"/>
      <c r="C37" s="2388"/>
      <c r="D37" s="2367">
        <f>'BS old'!E23</f>
        <v>0</v>
      </c>
      <c r="E37" s="2367"/>
      <c r="F37" s="2367"/>
      <c r="G37" s="838"/>
      <c r="H37" s="2364">
        <f>'BS old'!G23</f>
        <v>0</v>
      </c>
      <c r="I37" s="2365"/>
      <c r="J37" s="2368"/>
    </row>
    <row r="38" spans="1:10" ht="28" customHeight="1">
      <c r="A38" s="2384" t="s">
        <v>538</v>
      </c>
      <c r="B38" s="2524" t="s">
        <v>1601</v>
      </c>
      <c r="C38" s="2388" t="s">
        <v>561</v>
      </c>
      <c r="D38" s="2367">
        <f>'BS old'!D24</f>
        <v>0</v>
      </c>
      <c r="E38" s="2367"/>
      <c r="F38" s="2367"/>
      <c r="G38" s="2364">
        <f>'BS old'!F24</f>
        <v>0</v>
      </c>
      <c r="H38" s="2365"/>
      <c r="I38" s="2366"/>
      <c r="J38" s="837"/>
    </row>
    <row r="39" spans="1:10" ht="28" customHeight="1">
      <c r="A39" s="2384"/>
      <c r="B39" s="2385"/>
      <c r="C39" s="2388"/>
      <c r="D39" s="2367">
        <f>'BS old'!E24</f>
        <v>0</v>
      </c>
      <c r="E39" s="2367"/>
      <c r="F39" s="2367"/>
      <c r="G39" s="838"/>
      <c r="H39" s="2364">
        <f>'BS old'!G24</f>
        <v>0</v>
      </c>
      <c r="I39" s="2365"/>
      <c r="J39" s="2368"/>
    </row>
    <row r="40" spans="1:10" ht="28" customHeight="1">
      <c r="A40" s="2384" t="s">
        <v>541</v>
      </c>
      <c r="B40" s="2524" t="s">
        <v>1602</v>
      </c>
      <c r="C40" s="2387" t="s">
        <v>563</v>
      </c>
      <c r="D40" s="2367">
        <f>'BS old'!D25</f>
        <v>0</v>
      </c>
      <c r="E40" s="2367"/>
      <c r="F40" s="2367"/>
      <c r="G40" s="2364">
        <f>'BS old'!F25</f>
        <v>0</v>
      </c>
      <c r="H40" s="2365"/>
      <c r="I40" s="2366"/>
      <c r="J40" s="837"/>
    </row>
    <row r="41" spans="1:10" ht="28" customHeight="1">
      <c r="A41" s="2384"/>
      <c r="B41" s="2385"/>
      <c r="C41" s="2388"/>
      <c r="D41" s="2367">
        <f>'BS old'!E25</f>
        <v>0</v>
      </c>
      <c r="E41" s="2367"/>
      <c r="F41" s="2367"/>
      <c r="G41" s="838"/>
      <c r="H41" s="2364">
        <f>'BS old'!G25</f>
        <v>0</v>
      </c>
      <c r="I41" s="2365"/>
      <c r="J41" s="2368"/>
    </row>
    <row r="42" spans="1:10" ht="28" customHeight="1">
      <c r="A42" s="2384" t="s">
        <v>544</v>
      </c>
      <c r="B42" s="2524" t="s">
        <v>1603</v>
      </c>
      <c r="C42" s="2388" t="s">
        <v>565</v>
      </c>
      <c r="D42" s="2367">
        <f>'BS old'!D26</f>
        <v>0</v>
      </c>
      <c r="E42" s="2367"/>
      <c r="F42" s="2367"/>
      <c r="G42" s="2364">
        <f>'BS old'!F26</f>
        <v>0</v>
      </c>
      <c r="H42" s="2365"/>
      <c r="I42" s="2366"/>
      <c r="J42" s="837"/>
    </row>
    <row r="43" spans="1:10" ht="28" customHeight="1">
      <c r="A43" s="2384"/>
      <c r="B43" s="2385"/>
      <c r="C43" s="2388"/>
      <c r="D43" s="2367">
        <f>'BS old'!E26</f>
        <v>0</v>
      </c>
      <c r="E43" s="2367"/>
      <c r="F43" s="2367"/>
      <c r="G43" s="838"/>
      <c r="H43" s="2364">
        <f>'BS old'!G26</f>
        <v>0</v>
      </c>
      <c r="I43" s="2365"/>
      <c r="J43" s="2368"/>
    </row>
    <row r="44" spans="1:10" ht="28" customHeight="1">
      <c r="A44" s="2384" t="s">
        <v>547</v>
      </c>
      <c r="B44" s="2524" t="s">
        <v>1604</v>
      </c>
      <c r="C44" s="2387" t="s">
        <v>567</v>
      </c>
      <c r="D44" s="2367">
        <f>'BS old'!D27</f>
        <v>0</v>
      </c>
      <c r="E44" s="2367"/>
      <c r="F44" s="2367"/>
      <c r="G44" s="2364">
        <f>'BS old'!F27</f>
        <v>0</v>
      </c>
      <c r="H44" s="2365"/>
      <c r="I44" s="2366"/>
      <c r="J44" s="837"/>
    </row>
    <row r="45" spans="1:10" ht="28" customHeight="1">
      <c r="A45" s="2384"/>
      <c r="B45" s="2385"/>
      <c r="C45" s="2388"/>
      <c r="D45" s="2367">
        <f>'BS old'!E27</f>
        <v>0</v>
      </c>
      <c r="E45" s="2367"/>
      <c r="F45" s="2367"/>
      <c r="G45" s="838"/>
      <c r="H45" s="2364">
        <f>'BS old'!G27</f>
        <v>0</v>
      </c>
      <c r="I45" s="2365"/>
      <c r="J45" s="2368"/>
    </row>
    <row r="46" spans="1:10" ht="28" customHeight="1">
      <c r="A46" s="2384" t="s">
        <v>568</v>
      </c>
      <c r="B46" s="2524" t="s">
        <v>1605</v>
      </c>
      <c r="C46" s="2388" t="s">
        <v>570</v>
      </c>
      <c r="D46" s="2367">
        <f>'BS old'!D28</f>
        <v>0</v>
      </c>
      <c r="E46" s="2367"/>
      <c r="F46" s="2367"/>
      <c r="G46" s="2364">
        <f>'BS old'!F28</f>
        <v>0</v>
      </c>
      <c r="H46" s="2365"/>
      <c r="I46" s="2366"/>
      <c r="J46" s="837"/>
    </row>
    <row r="47" spans="1:10" ht="28" customHeight="1">
      <c r="A47" s="2384"/>
      <c r="B47" s="2385"/>
      <c r="C47" s="2388"/>
      <c r="D47" s="2367">
        <f>'BS old'!E28</f>
        <v>0</v>
      </c>
      <c r="E47" s="2367"/>
      <c r="F47" s="2367"/>
      <c r="G47" s="838"/>
      <c r="H47" s="2364">
        <f>'BS old'!G28</f>
        <v>0</v>
      </c>
      <c r="I47" s="2365"/>
      <c r="J47" s="2368"/>
    </row>
    <row r="48" spans="1:10" ht="28" customHeight="1">
      <c r="A48" s="2384" t="s">
        <v>571</v>
      </c>
      <c r="B48" s="2524" t="s">
        <v>1606</v>
      </c>
      <c r="C48" s="2387" t="s">
        <v>573</v>
      </c>
      <c r="D48" s="2367">
        <f>'BS old'!D29</f>
        <v>0</v>
      </c>
      <c r="E48" s="2367"/>
      <c r="F48" s="2367"/>
      <c r="G48" s="2364">
        <f>'BS old'!F29</f>
        <v>0</v>
      </c>
      <c r="H48" s="2365"/>
      <c r="I48" s="2366"/>
      <c r="J48" s="837"/>
    </row>
    <row r="49" spans="1:10" ht="28" customHeight="1">
      <c r="A49" s="2384"/>
      <c r="B49" s="2385"/>
      <c r="C49" s="2388"/>
      <c r="D49" s="2367">
        <f>'BS old'!E29</f>
        <v>0</v>
      </c>
      <c r="E49" s="2367"/>
      <c r="F49" s="2367"/>
      <c r="G49" s="839"/>
      <c r="H49" s="2364">
        <f>'BS old'!G29</f>
        <v>0</v>
      </c>
      <c r="I49" s="2365"/>
      <c r="J49" s="2368"/>
    </row>
    <row r="50" spans="1:10" ht="28" customHeight="1">
      <c r="A50" s="2409" t="s">
        <v>574</v>
      </c>
      <c r="B50" s="2731" t="s">
        <v>1607</v>
      </c>
      <c r="C50" s="2388" t="s">
        <v>576</v>
      </c>
      <c r="D50" s="2367">
        <f>'BS old'!D30</f>
        <v>0</v>
      </c>
      <c r="E50" s="2367"/>
      <c r="F50" s="2367"/>
      <c r="G50" s="2364">
        <f>'BS old'!F30</f>
        <v>0</v>
      </c>
      <c r="H50" s="2365"/>
      <c r="I50" s="2366"/>
      <c r="J50" s="837"/>
    </row>
    <row r="51" spans="1:10" ht="28" customHeight="1">
      <c r="A51" s="2409"/>
      <c r="B51" s="2397"/>
      <c r="C51" s="2388"/>
      <c r="D51" s="2367">
        <f>'BS old'!E30</f>
        <v>0</v>
      </c>
      <c r="E51" s="2367"/>
      <c r="F51" s="2367"/>
      <c r="G51" s="839"/>
      <c r="H51" s="2364">
        <f>'BS old'!G30</f>
        <v>0</v>
      </c>
      <c r="I51" s="2365"/>
      <c r="J51" s="2368"/>
    </row>
    <row r="52" spans="1:10" s="450" customFormat="1" ht="28" customHeight="1">
      <c r="A52" s="2413" t="s">
        <v>577</v>
      </c>
      <c r="B52" s="2524" t="s">
        <v>1608</v>
      </c>
      <c r="C52" s="2387" t="s">
        <v>579</v>
      </c>
      <c r="D52" s="2367">
        <f>'BS old'!D31</f>
        <v>0</v>
      </c>
      <c r="E52" s="2367"/>
      <c r="F52" s="2367"/>
      <c r="G52" s="2364">
        <f>'BS old'!F31</f>
        <v>0</v>
      </c>
      <c r="H52" s="2365"/>
      <c r="I52" s="2366"/>
      <c r="J52" s="837"/>
    </row>
    <row r="53" spans="1:10" s="450" customFormat="1" ht="28" customHeight="1">
      <c r="A53" s="2413"/>
      <c r="B53" s="2385"/>
      <c r="C53" s="2388"/>
      <c r="D53" s="2367">
        <f>'BS old'!E31</f>
        <v>0</v>
      </c>
      <c r="E53" s="2367"/>
      <c r="F53" s="2367"/>
      <c r="G53" s="839"/>
      <c r="H53" s="2364">
        <f>'BS old'!G31</f>
        <v>0</v>
      </c>
      <c r="I53" s="2365"/>
      <c r="J53" s="2368"/>
    </row>
    <row r="54" spans="1:10" ht="28" customHeight="1">
      <c r="A54" s="2384" t="s">
        <v>532</v>
      </c>
      <c r="B54" s="2524" t="s">
        <v>1609</v>
      </c>
      <c r="C54" s="2388" t="s">
        <v>581</v>
      </c>
      <c r="D54" s="2367">
        <f>'BS old'!D32</f>
        <v>0</v>
      </c>
      <c r="E54" s="2367"/>
      <c r="F54" s="2367"/>
      <c r="G54" s="2364">
        <f>'BS old'!F32</f>
        <v>0</v>
      </c>
      <c r="H54" s="2365"/>
      <c r="I54" s="2366"/>
      <c r="J54" s="837"/>
    </row>
    <row r="55" spans="1:10" ht="28" customHeight="1">
      <c r="A55" s="2384"/>
      <c r="B55" s="2385"/>
      <c r="C55" s="2388"/>
      <c r="D55" s="2367">
        <f>'BS old'!E32</f>
        <v>0</v>
      </c>
      <c r="E55" s="2367"/>
      <c r="F55" s="2367"/>
      <c r="G55" s="839"/>
      <c r="H55" s="2364">
        <f>'BS old'!G32</f>
        <v>0</v>
      </c>
      <c r="I55" s="2365"/>
      <c r="J55" s="2368"/>
    </row>
    <row r="56" spans="1:10" ht="28" customHeight="1">
      <c r="A56" s="2384" t="s">
        <v>535</v>
      </c>
      <c r="B56" s="2524" t="s">
        <v>1610</v>
      </c>
      <c r="C56" s="2387" t="s">
        <v>583</v>
      </c>
      <c r="D56" s="2367">
        <f>'BS old'!D33</f>
        <v>0</v>
      </c>
      <c r="E56" s="2367"/>
      <c r="F56" s="2367"/>
      <c r="G56" s="2364">
        <f>'BS old'!F33</f>
        <v>0</v>
      </c>
      <c r="H56" s="2365"/>
      <c r="I56" s="2366"/>
      <c r="J56" s="837"/>
    </row>
    <row r="57" spans="1:10" ht="28" customHeight="1">
      <c r="A57" s="2384"/>
      <c r="B57" s="2385"/>
      <c r="C57" s="2388"/>
      <c r="D57" s="2367">
        <f>'BS old'!E33</f>
        <v>0</v>
      </c>
      <c r="E57" s="2367"/>
      <c r="F57" s="2367"/>
      <c r="G57" s="839"/>
      <c r="H57" s="2364">
        <f>'BS old'!G33</f>
        <v>0</v>
      </c>
      <c r="I57" s="2365"/>
      <c r="J57" s="2368"/>
    </row>
    <row r="58" spans="1:10" ht="28" customHeight="1">
      <c r="A58" s="2384" t="s">
        <v>538</v>
      </c>
      <c r="B58" s="2524" t="s">
        <v>1611</v>
      </c>
      <c r="C58" s="2388" t="s">
        <v>585</v>
      </c>
      <c r="D58" s="2367">
        <f>'BS old'!D34</f>
        <v>0</v>
      </c>
      <c r="E58" s="2367"/>
      <c r="F58" s="2367"/>
      <c r="G58" s="2364">
        <f>'BS old'!F34</f>
        <v>0</v>
      </c>
      <c r="H58" s="2365"/>
      <c r="I58" s="2366"/>
      <c r="J58" s="837"/>
    </row>
    <row r="59" spans="1:10" ht="28" customHeight="1">
      <c r="A59" s="2384"/>
      <c r="B59" s="2385"/>
      <c r="C59" s="2388"/>
      <c r="D59" s="2367">
        <f>'BS old'!E34</f>
        <v>0</v>
      </c>
      <c r="E59" s="2367"/>
      <c r="F59" s="2367"/>
      <c r="G59" s="839"/>
      <c r="H59" s="2364">
        <f>'BS old'!G34</f>
        <v>0</v>
      </c>
      <c r="I59" s="2365"/>
      <c r="J59" s="2368"/>
    </row>
    <row r="60" spans="1:10" ht="28" customHeight="1">
      <c r="A60" s="2384" t="s">
        <v>541</v>
      </c>
      <c r="B60" s="2524" t="s">
        <v>1612</v>
      </c>
      <c r="C60" s="2387" t="s">
        <v>587</v>
      </c>
      <c r="D60" s="2367">
        <f>'BS old'!D35</f>
        <v>0</v>
      </c>
      <c r="E60" s="2367"/>
      <c r="F60" s="2367"/>
      <c r="G60" s="2364">
        <f>'BS old'!F35</f>
        <v>0</v>
      </c>
      <c r="H60" s="2365"/>
      <c r="I60" s="2366"/>
      <c r="J60" s="837"/>
    </row>
    <row r="61" spans="1:10" ht="28" customHeight="1">
      <c r="A61" s="2384"/>
      <c r="B61" s="2385"/>
      <c r="C61" s="2388"/>
      <c r="D61" s="2367">
        <f>'BS old'!E35</f>
        <v>0</v>
      </c>
      <c r="E61" s="2367"/>
      <c r="F61" s="2367"/>
      <c r="G61" s="839"/>
      <c r="H61" s="2364">
        <f>'BS old'!G35</f>
        <v>0</v>
      </c>
      <c r="I61" s="2365"/>
      <c r="J61" s="2368"/>
    </row>
    <row r="62" spans="1:10" ht="28" customHeight="1">
      <c r="A62" s="2384" t="s">
        <v>544</v>
      </c>
      <c r="B62" s="2524" t="s">
        <v>1613</v>
      </c>
      <c r="C62" s="2388" t="s">
        <v>589</v>
      </c>
      <c r="D62" s="2367">
        <f>'BS old'!D36</f>
        <v>0</v>
      </c>
      <c r="E62" s="2367"/>
      <c r="F62" s="2367"/>
      <c r="G62" s="2364">
        <f>'BS old'!F36</f>
        <v>0</v>
      </c>
      <c r="H62" s="2365"/>
      <c r="I62" s="2366"/>
      <c r="J62" s="837"/>
    </row>
    <row r="63" spans="1:10" ht="28" customHeight="1" thickBot="1">
      <c r="A63" s="2384"/>
      <c r="B63" s="2385"/>
      <c r="C63" s="2388"/>
      <c r="D63" s="2367">
        <f>'BS old'!E36</f>
        <v>0</v>
      </c>
      <c r="E63" s="2367"/>
      <c r="F63" s="2367"/>
      <c r="G63" s="810"/>
      <c r="H63" s="2364">
        <f>'BS old'!G36</f>
        <v>0</v>
      </c>
      <c r="I63" s="2365"/>
      <c r="J63" s="2368"/>
    </row>
    <row r="64" spans="1:10" ht="11.25" customHeight="1">
      <c r="A64" s="2549" t="s">
        <v>1581</v>
      </c>
      <c r="B64" s="2550" t="s">
        <v>1582</v>
      </c>
      <c r="C64" s="2551" t="s">
        <v>1583</v>
      </c>
      <c r="D64" s="2369" t="s">
        <v>1584</v>
      </c>
      <c r="E64" s="2428"/>
      <c r="F64" s="2428"/>
      <c r="G64" s="2428"/>
      <c r="H64" s="2373"/>
      <c r="I64" s="2431" t="s">
        <v>1562</v>
      </c>
      <c r="J64" s="2432"/>
    </row>
    <row r="65" spans="1:10" ht="11.25" customHeight="1">
      <c r="A65" s="2518"/>
      <c r="B65" s="2519"/>
      <c r="C65" s="2520"/>
      <c r="D65" s="2411">
        <v>1</v>
      </c>
      <c r="E65" s="2379" t="s">
        <v>1585</v>
      </c>
      <c r="F65" s="2439"/>
      <c r="G65" s="2727" t="s">
        <v>1178</v>
      </c>
      <c r="H65" s="2728"/>
      <c r="I65" s="2371"/>
      <c r="J65" s="2372"/>
    </row>
    <row r="66" spans="1:10" ht="11.25" customHeight="1">
      <c r="A66" s="2381"/>
      <c r="B66" s="2389"/>
      <c r="C66" s="2391"/>
      <c r="D66" s="2521"/>
      <c r="E66" s="2379" t="s">
        <v>1586</v>
      </c>
      <c r="F66" s="2439"/>
      <c r="G66" s="2729"/>
      <c r="H66" s="2730"/>
      <c r="I66" s="2379" t="s">
        <v>1176</v>
      </c>
      <c r="J66" s="2380"/>
    </row>
    <row r="67" spans="1:10" ht="28" customHeight="1">
      <c r="A67" s="2384" t="s">
        <v>547</v>
      </c>
      <c r="B67" s="2524" t="s">
        <v>1614</v>
      </c>
      <c r="C67" s="2388" t="s">
        <v>888</v>
      </c>
      <c r="D67" s="2367">
        <f>'BS old'!D37</f>
        <v>0</v>
      </c>
      <c r="E67" s="2367"/>
      <c r="F67" s="2364"/>
      <c r="G67" s="2364">
        <f>'BS old'!F37</f>
        <v>0</v>
      </c>
      <c r="H67" s="2365"/>
      <c r="I67" s="2366"/>
      <c r="J67" s="837"/>
    </row>
    <row r="68" spans="1:10" ht="28" customHeight="1">
      <c r="A68" s="2384"/>
      <c r="B68" s="2385"/>
      <c r="C68" s="2388"/>
      <c r="D68" s="2367">
        <f>'BS old'!E37</f>
        <v>0</v>
      </c>
      <c r="E68" s="2367"/>
      <c r="F68" s="2367"/>
      <c r="G68" s="840"/>
      <c r="H68" s="2364">
        <f>'BS old'!G37</f>
        <v>0</v>
      </c>
      <c r="I68" s="2365"/>
      <c r="J68" s="2368"/>
    </row>
    <row r="69" spans="1:10" ht="28" customHeight="1">
      <c r="A69" s="2384" t="s">
        <v>568</v>
      </c>
      <c r="B69" s="2524" t="s">
        <v>1615</v>
      </c>
      <c r="C69" s="2388" t="s">
        <v>891</v>
      </c>
      <c r="D69" s="2367">
        <f>'BS old'!D38</f>
        <v>0</v>
      </c>
      <c r="E69" s="2367"/>
      <c r="F69" s="2364"/>
      <c r="G69" s="2364">
        <f>'BS old'!F38</f>
        <v>0</v>
      </c>
      <c r="H69" s="2365"/>
      <c r="I69" s="2366"/>
      <c r="J69" s="837"/>
    </row>
    <row r="70" spans="1:10" ht="28" customHeight="1">
      <c r="A70" s="2384"/>
      <c r="B70" s="2385"/>
      <c r="C70" s="2388"/>
      <c r="D70" s="2367">
        <f>'BS old'!E38</f>
        <v>0</v>
      </c>
      <c r="E70" s="2367"/>
      <c r="F70" s="2367"/>
      <c r="G70" s="840"/>
      <c r="H70" s="2364">
        <f>'BS old'!G38</f>
        <v>0</v>
      </c>
      <c r="I70" s="2365"/>
      <c r="J70" s="2368"/>
    </row>
    <row r="71" spans="1:10" ht="28" customHeight="1">
      <c r="A71" s="2396" t="s">
        <v>594</v>
      </c>
      <c r="B71" s="2731" t="s">
        <v>1616</v>
      </c>
      <c r="C71" s="2388" t="s">
        <v>894</v>
      </c>
      <c r="D71" s="2367">
        <f>'BS old'!D39</f>
        <v>0</v>
      </c>
      <c r="E71" s="2367"/>
      <c r="F71" s="2364"/>
      <c r="G71" s="2364">
        <f>'BS old'!F39</f>
        <v>0</v>
      </c>
      <c r="H71" s="2365"/>
      <c r="I71" s="2366"/>
      <c r="J71" s="837"/>
    </row>
    <row r="72" spans="1:10" ht="28" customHeight="1">
      <c r="A72" s="2396"/>
      <c r="B72" s="2397"/>
      <c r="C72" s="2388"/>
      <c r="D72" s="2367">
        <f>'BS old'!E39</f>
        <v>0</v>
      </c>
      <c r="E72" s="2367"/>
      <c r="F72" s="2367"/>
      <c r="G72" s="840"/>
      <c r="H72" s="2364">
        <f>'BS old'!G39</f>
        <v>0</v>
      </c>
      <c r="I72" s="2365"/>
      <c r="J72" s="2368"/>
    </row>
    <row r="73" spans="1:10" s="450" customFormat="1" ht="28" customHeight="1">
      <c r="A73" s="2409" t="s">
        <v>597</v>
      </c>
      <c r="B73" s="2731" t="s">
        <v>1617</v>
      </c>
      <c r="C73" s="2388" t="s">
        <v>897</v>
      </c>
      <c r="D73" s="2367">
        <f>'BS old'!D40</f>
        <v>0</v>
      </c>
      <c r="E73" s="2367"/>
      <c r="F73" s="2364"/>
      <c r="G73" s="2364">
        <f>'BS old'!F40</f>
        <v>0</v>
      </c>
      <c r="H73" s="2365"/>
      <c r="I73" s="2366"/>
      <c r="J73" s="837"/>
    </row>
    <row r="74" spans="1:10" s="450" customFormat="1" ht="28" customHeight="1">
      <c r="A74" s="2396"/>
      <c r="B74" s="2397"/>
      <c r="C74" s="2388"/>
      <c r="D74" s="2367">
        <f>'BS old'!E40</f>
        <v>0</v>
      </c>
      <c r="E74" s="2367"/>
      <c r="F74" s="2367"/>
      <c r="G74" s="840"/>
      <c r="H74" s="2364">
        <f>'BS old'!G40</f>
        <v>0</v>
      </c>
      <c r="I74" s="2365"/>
      <c r="J74" s="2368"/>
    </row>
    <row r="75" spans="1:10" s="450" customFormat="1" ht="28" customHeight="1">
      <c r="A75" s="2408" t="s">
        <v>600</v>
      </c>
      <c r="B75" s="2524" t="s">
        <v>1618</v>
      </c>
      <c r="C75" s="2388" t="s">
        <v>900</v>
      </c>
      <c r="D75" s="2367">
        <f>'BS old'!D41</f>
        <v>0</v>
      </c>
      <c r="E75" s="2367"/>
      <c r="F75" s="2364"/>
      <c r="G75" s="2364">
        <f>'BS old'!F41</f>
        <v>0</v>
      </c>
      <c r="H75" s="2365"/>
      <c r="I75" s="2366"/>
      <c r="J75" s="837"/>
    </row>
    <row r="76" spans="1:10" s="450" customFormat="1" ht="28" customHeight="1">
      <c r="A76" s="2395"/>
      <c r="B76" s="2385"/>
      <c r="C76" s="2388"/>
      <c r="D76" s="2367">
        <f>'BS old'!E41</f>
        <v>0</v>
      </c>
      <c r="E76" s="2367"/>
      <c r="F76" s="2367"/>
      <c r="G76" s="840"/>
      <c r="H76" s="2364">
        <f>'BS old'!G41</f>
        <v>0</v>
      </c>
      <c r="I76" s="2365"/>
      <c r="J76" s="2368"/>
    </row>
    <row r="77" spans="1:10" ht="28" customHeight="1">
      <c r="A77" s="2384" t="s">
        <v>532</v>
      </c>
      <c r="B77" s="2524" t="s">
        <v>1619</v>
      </c>
      <c r="C77" s="2388" t="s">
        <v>903</v>
      </c>
      <c r="D77" s="2367">
        <f>'BS old'!D42</f>
        <v>0</v>
      </c>
      <c r="E77" s="2367"/>
      <c r="F77" s="2364"/>
      <c r="G77" s="2364">
        <f>'BS old'!F42</f>
        <v>0</v>
      </c>
      <c r="H77" s="2365"/>
      <c r="I77" s="2366"/>
      <c r="J77" s="837"/>
    </row>
    <row r="78" spans="1:10" ht="28" customHeight="1">
      <c r="A78" s="2384"/>
      <c r="B78" s="2385"/>
      <c r="C78" s="2388"/>
      <c r="D78" s="2367">
        <f>'BS old'!E42</f>
        <v>0</v>
      </c>
      <c r="E78" s="2367"/>
      <c r="F78" s="2367"/>
      <c r="G78" s="840"/>
      <c r="H78" s="2364">
        <f>'BS old'!G42</f>
        <v>0</v>
      </c>
      <c r="I78" s="2365"/>
      <c r="J78" s="2368"/>
    </row>
    <row r="79" spans="1:10" ht="28" customHeight="1">
      <c r="A79" s="2384" t="s">
        <v>535</v>
      </c>
      <c r="B79" s="2524" t="s">
        <v>1620</v>
      </c>
      <c r="C79" s="2388" t="s">
        <v>906</v>
      </c>
      <c r="D79" s="2367">
        <f>'BS old'!D43</f>
        <v>0</v>
      </c>
      <c r="E79" s="2367"/>
      <c r="F79" s="2364"/>
      <c r="G79" s="2364">
        <f>'BS old'!F43</f>
        <v>0</v>
      </c>
      <c r="H79" s="2365"/>
      <c r="I79" s="2366"/>
      <c r="J79" s="837"/>
    </row>
    <row r="80" spans="1:10" ht="28" customHeight="1">
      <c r="A80" s="2384"/>
      <c r="B80" s="2385"/>
      <c r="C80" s="2388"/>
      <c r="D80" s="2367">
        <f>'BS old'!E43</f>
        <v>0</v>
      </c>
      <c r="E80" s="2367"/>
      <c r="F80" s="2367"/>
      <c r="G80" s="840"/>
      <c r="H80" s="2364">
        <f>'BS old'!G43</f>
        <v>0</v>
      </c>
      <c r="I80" s="2365"/>
      <c r="J80" s="2368"/>
    </row>
    <row r="81" spans="1:10" ht="28" customHeight="1">
      <c r="A81" s="2384" t="s">
        <v>538</v>
      </c>
      <c r="B81" s="2524" t="s">
        <v>1621</v>
      </c>
      <c r="C81" s="2388" t="s">
        <v>909</v>
      </c>
      <c r="D81" s="2367">
        <f>'BS old'!D44</f>
        <v>0</v>
      </c>
      <c r="E81" s="2367"/>
      <c r="F81" s="2364"/>
      <c r="G81" s="2364">
        <f>'BS old'!F44</f>
        <v>0</v>
      </c>
      <c r="H81" s="2365"/>
      <c r="I81" s="2366"/>
      <c r="J81" s="837"/>
    </row>
    <row r="82" spans="1:10" ht="28" customHeight="1">
      <c r="A82" s="2384"/>
      <c r="B82" s="2385"/>
      <c r="C82" s="2388"/>
      <c r="D82" s="2367">
        <f>'BS old'!E44</f>
        <v>0</v>
      </c>
      <c r="E82" s="2367"/>
      <c r="F82" s="2367"/>
      <c r="G82" s="840"/>
      <c r="H82" s="2364">
        <f>'BS old'!G44</f>
        <v>0</v>
      </c>
      <c r="I82" s="2365"/>
      <c r="J82" s="2368"/>
    </row>
    <row r="83" spans="1:10" ht="28" customHeight="1">
      <c r="A83" s="2384" t="s">
        <v>541</v>
      </c>
      <c r="B83" s="2524" t="s">
        <v>1622</v>
      </c>
      <c r="C83" s="2388" t="s">
        <v>912</v>
      </c>
      <c r="D83" s="2367">
        <f>'BS old'!D45</f>
        <v>0</v>
      </c>
      <c r="E83" s="2367"/>
      <c r="F83" s="2364"/>
      <c r="G83" s="2364">
        <f>'BS old'!F45</f>
        <v>0</v>
      </c>
      <c r="H83" s="2365"/>
      <c r="I83" s="2366"/>
      <c r="J83" s="837"/>
    </row>
    <row r="84" spans="1:10" ht="28" customHeight="1">
      <c r="A84" s="2384"/>
      <c r="B84" s="2385"/>
      <c r="C84" s="2388"/>
      <c r="D84" s="2367">
        <f>'BS old'!E45</f>
        <v>0</v>
      </c>
      <c r="E84" s="2367"/>
      <c r="F84" s="2367"/>
      <c r="G84" s="840"/>
      <c r="H84" s="2364">
        <f>'BS old'!G45</f>
        <v>0</v>
      </c>
      <c r="I84" s="2365"/>
      <c r="J84" s="2368"/>
    </row>
    <row r="85" spans="1:10" ht="28" customHeight="1">
      <c r="A85" s="2384" t="s">
        <v>544</v>
      </c>
      <c r="B85" s="2524" t="s">
        <v>1623</v>
      </c>
      <c r="C85" s="2388" t="s">
        <v>915</v>
      </c>
      <c r="D85" s="2367">
        <f>'BS old'!D46</f>
        <v>0</v>
      </c>
      <c r="E85" s="2367"/>
      <c r="F85" s="2364"/>
      <c r="G85" s="2364">
        <f>'BS old'!F46</f>
        <v>0</v>
      </c>
      <c r="H85" s="2365"/>
      <c r="I85" s="2366"/>
      <c r="J85" s="837"/>
    </row>
    <row r="86" spans="1:10" ht="28" customHeight="1">
      <c r="A86" s="2384"/>
      <c r="B86" s="2385"/>
      <c r="C86" s="2388"/>
      <c r="D86" s="2367">
        <f>'BS old'!E46</f>
        <v>0</v>
      </c>
      <c r="E86" s="2367"/>
      <c r="F86" s="2367"/>
      <c r="G86" s="840"/>
      <c r="H86" s="2364">
        <f>'BS old'!G46</f>
        <v>0</v>
      </c>
      <c r="I86" s="2365"/>
      <c r="J86" s="2368"/>
    </row>
    <row r="87" spans="1:10" ht="28" customHeight="1">
      <c r="A87" s="2409" t="s">
        <v>613</v>
      </c>
      <c r="B87" s="2726" t="s">
        <v>1624</v>
      </c>
      <c r="C87" s="2388" t="s">
        <v>918</v>
      </c>
      <c r="D87" s="2367">
        <f>'BS old'!D47</f>
        <v>0</v>
      </c>
      <c r="E87" s="2367"/>
      <c r="F87" s="2364"/>
      <c r="G87" s="2364">
        <f>'BS old'!F47</f>
        <v>0</v>
      </c>
      <c r="H87" s="2365"/>
      <c r="I87" s="2366"/>
      <c r="J87" s="837"/>
    </row>
    <row r="88" spans="1:10" ht="28" customHeight="1">
      <c r="A88" s="2396"/>
      <c r="B88" s="2543"/>
      <c r="C88" s="2388"/>
      <c r="D88" s="2367">
        <f>'BS old'!E47</f>
        <v>0</v>
      </c>
      <c r="E88" s="2367"/>
      <c r="F88" s="2367"/>
      <c r="G88" s="840"/>
      <c r="H88" s="2364">
        <f>'BS old'!G47</f>
        <v>0</v>
      </c>
      <c r="I88" s="2365"/>
      <c r="J88" s="2368"/>
    </row>
    <row r="89" spans="1:10" s="450" customFormat="1" ht="28" customHeight="1">
      <c r="A89" s="2408" t="s">
        <v>616</v>
      </c>
      <c r="B89" s="2524" t="s">
        <v>1625</v>
      </c>
      <c r="C89" s="2388" t="s">
        <v>921</v>
      </c>
      <c r="D89" s="2367">
        <f>'BS old'!D48</f>
        <v>0</v>
      </c>
      <c r="E89" s="2367"/>
      <c r="F89" s="2364"/>
      <c r="G89" s="2364">
        <f>'BS old'!F48</f>
        <v>0</v>
      </c>
      <c r="H89" s="2365"/>
      <c r="I89" s="2366"/>
      <c r="J89" s="837"/>
    </row>
    <row r="90" spans="1:10" s="450" customFormat="1" ht="28" customHeight="1">
      <c r="A90" s="2395"/>
      <c r="B90" s="2385"/>
      <c r="C90" s="2388"/>
      <c r="D90" s="2367">
        <f>'BS old'!E48</f>
        <v>0</v>
      </c>
      <c r="E90" s="2367"/>
      <c r="F90" s="2367"/>
      <c r="G90" s="840"/>
      <c r="H90" s="2364">
        <f>'BS old'!G48</f>
        <v>0</v>
      </c>
      <c r="I90" s="2365"/>
      <c r="J90" s="2368"/>
    </row>
    <row r="91" spans="1:10" s="450" customFormat="1" ht="28" customHeight="1">
      <c r="A91" s="2384" t="s">
        <v>532</v>
      </c>
      <c r="B91" s="2386" t="s">
        <v>1626</v>
      </c>
      <c r="C91" s="2388" t="s">
        <v>924</v>
      </c>
      <c r="D91" s="2367">
        <f>'BS old'!D49</f>
        <v>0</v>
      </c>
      <c r="E91" s="2367"/>
      <c r="F91" s="2364"/>
      <c r="G91" s="2364">
        <f>'BS old'!F49</f>
        <v>0</v>
      </c>
      <c r="H91" s="2365"/>
      <c r="I91" s="2366"/>
      <c r="J91" s="837"/>
    </row>
    <row r="92" spans="1:10" s="450" customFormat="1" ht="28" customHeight="1">
      <c r="A92" s="2384"/>
      <c r="B92" s="2386"/>
      <c r="C92" s="2388"/>
      <c r="D92" s="2367">
        <f>'BS old'!E49</f>
        <v>0</v>
      </c>
      <c r="E92" s="2367"/>
      <c r="F92" s="2367"/>
      <c r="G92" s="840"/>
      <c r="H92" s="2364">
        <f>'BS old'!G49</f>
        <v>0</v>
      </c>
      <c r="I92" s="2365"/>
      <c r="J92" s="2368"/>
    </row>
    <row r="93" spans="1:10" ht="28" customHeight="1">
      <c r="A93" s="2384" t="s">
        <v>535</v>
      </c>
      <c r="B93" s="2524" t="s">
        <v>1627</v>
      </c>
      <c r="C93" s="2388" t="s">
        <v>927</v>
      </c>
      <c r="D93" s="2367">
        <f>'BS old'!D50</f>
        <v>0</v>
      </c>
      <c r="E93" s="2367"/>
      <c r="F93" s="2364"/>
      <c r="G93" s="2364">
        <f>'BS old'!F50</f>
        <v>0</v>
      </c>
      <c r="H93" s="2365"/>
      <c r="I93" s="2366"/>
      <c r="J93" s="837"/>
    </row>
    <row r="94" spans="1:10" ht="28" customHeight="1" thickBot="1">
      <c r="A94" s="2384"/>
      <c r="B94" s="2385"/>
      <c r="C94" s="2388"/>
      <c r="D94" s="2367">
        <f>'BS old'!E50</f>
        <v>0</v>
      </c>
      <c r="E94" s="2367"/>
      <c r="F94" s="2367"/>
      <c r="G94" s="809"/>
      <c r="H94" s="2364">
        <f>'BS old'!G50</f>
        <v>0</v>
      </c>
      <c r="I94" s="2365"/>
      <c r="J94" s="2368"/>
    </row>
    <row r="95" spans="1:10" ht="11.25" customHeight="1">
      <c r="A95" s="2549" t="s">
        <v>1581</v>
      </c>
      <c r="B95" s="2550" t="s">
        <v>1582</v>
      </c>
      <c r="C95" s="2551" t="s">
        <v>1583</v>
      </c>
      <c r="D95" s="2369" t="s">
        <v>1584</v>
      </c>
      <c r="E95" s="2428"/>
      <c r="F95" s="2428"/>
      <c r="G95" s="2428"/>
      <c r="H95" s="2373"/>
      <c r="I95" s="2431" t="s">
        <v>1562</v>
      </c>
      <c r="J95" s="2432"/>
    </row>
    <row r="96" spans="1:10" ht="11.25" customHeight="1">
      <c r="A96" s="2518"/>
      <c r="B96" s="2519"/>
      <c r="C96" s="2520"/>
      <c r="D96" s="2411">
        <v>1</v>
      </c>
      <c r="E96" s="2379" t="s">
        <v>1585</v>
      </c>
      <c r="F96" s="2439"/>
      <c r="G96" s="2727" t="s">
        <v>1178</v>
      </c>
      <c r="H96" s="2728"/>
      <c r="I96" s="2371"/>
      <c r="J96" s="2372"/>
    </row>
    <row r="97" spans="1:12" ht="12" customHeight="1">
      <c r="A97" s="2381"/>
      <c r="B97" s="2389"/>
      <c r="C97" s="2391"/>
      <c r="D97" s="2521"/>
      <c r="E97" s="2379" t="s">
        <v>1586</v>
      </c>
      <c r="F97" s="2439"/>
      <c r="G97" s="2729"/>
      <c r="H97" s="2730"/>
      <c r="I97" s="2379" t="s">
        <v>1176</v>
      </c>
      <c r="J97" s="2380"/>
    </row>
    <row r="98" spans="1:12" ht="28" customHeight="1">
      <c r="A98" s="2384" t="s">
        <v>538</v>
      </c>
      <c r="B98" s="2524" t="s">
        <v>1628</v>
      </c>
      <c r="C98" s="2387" t="s">
        <v>930</v>
      </c>
      <c r="D98" s="2367">
        <f>'BS old'!D51</f>
        <v>0</v>
      </c>
      <c r="E98" s="2367"/>
      <c r="F98" s="2367"/>
      <c r="G98" s="2364">
        <f>'BS old'!F51</f>
        <v>0</v>
      </c>
      <c r="H98" s="2365"/>
      <c r="I98" s="2366"/>
      <c r="J98" s="837"/>
      <c r="L98" s="502" t="s">
        <v>1093</v>
      </c>
    </row>
    <row r="99" spans="1:12" ht="28" customHeight="1">
      <c r="A99" s="2384"/>
      <c r="B99" s="2385"/>
      <c r="C99" s="2388"/>
      <c r="D99" s="2367">
        <f>'BS old'!E51</f>
        <v>0</v>
      </c>
      <c r="E99" s="2367"/>
      <c r="F99" s="2367"/>
      <c r="G99" s="838"/>
      <c r="H99" s="2364">
        <f>'BS old'!G51</f>
        <v>0</v>
      </c>
      <c r="I99" s="2365"/>
      <c r="J99" s="2368"/>
    </row>
    <row r="100" spans="1:12" ht="28" customHeight="1">
      <c r="A100" s="2384" t="s">
        <v>541</v>
      </c>
      <c r="B100" s="2524" t="s">
        <v>1629</v>
      </c>
      <c r="C100" s="2388" t="s">
        <v>933</v>
      </c>
      <c r="D100" s="2367">
        <f>'BS old'!D52</f>
        <v>0</v>
      </c>
      <c r="E100" s="2367"/>
      <c r="F100" s="2367"/>
      <c r="G100" s="2364">
        <f>'BS old'!F52</f>
        <v>0</v>
      </c>
      <c r="H100" s="2365"/>
      <c r="I100" s="2366"/>
      <c r="J100" s="837"/>
    </row>
    <row r="101" spans="1:12" ht="28" customHeight="1">
      <c r="A101" s="2384"/>
      <c r="B101" s="2385"/>
      <c r="C101" s="2388"/>
      <c r="D101" s="2367">
        <f>'BS old'!E52</f>
        <v>0</v>
      </c>
      <c r="E101" s="2367"/>
      <c r="F101" s="2367"/>
      <c r="G101" s="838"/>
      <c r="H101" s="2364">
        <f>'BS old'!G52</f>
        <v>0</v>
      </c>
      <c r="I101" s="2365"/>
      <c r="J101" s="2368"/>
    </row>
    <row r="102" spans="1:12" ht="28" customHeight="1">
      <c r="A102" s="2384" t="s">
        <v>544</v>
      </c>
      <c r="B102" s="2524" t="s">
        <v>1630</v>
      </c>
      <c r="C102" s="2387" t="s">
        <v>936</v>
      </c>
      <c r="D102" s="2367">
        <f>'BS old'!D53</f>
        <v>0</v>
      </c>
      <c r="E102" s="2367"/>
      <c r="F102" s="2367"/>
      <c r="G102" s="2364">
        <f>'BS old'!F53</f>
        <v>0</v>
      </c>
      <c r="H102" s="2365"/>
      <c r="I102" s="2366"/>
      <c r="J102" s="837"/>
    </row>
    <row r="103" spans="1:12" ht="28" customHeight="1">
      <c r="A103" s="2384"/>
      <c r="B103" s="2385"/>
      <c r="C103" s="2388"/>
      <c r="D103" s="2367">
        <f>'BS old'!E53</f>
        <v>0</v>
      </c>
      <c r="E103" s="2367"/>
      <c r="F103" s="2367"/>
      <c r="G103" s="838"/>
      <c r="H103" s="2364">
        <f>'BS old'!G53</f>
        <v>0</v>
      </c>
      <c r="I103" s="2365"/>
      <c r="J103" s="2368"/>
    </row>
    <row r="104" spans="1:12" ht="28" customHeight="1">
      <c r="A104" s="2384" t="s">
        <v>547</v>
      </c>
      <c r="B104" s="2524" t="s">
        <v>1631</v>
      </c>
      <c r="C104" s="2388" t="s">
        <v>939</v>
      </c>
      <c r="D104" s="2367">
        <f>'BS old'!D54</f>
        <v>0</v>
      </c>
      <c r="E104" s="2367"/>
      <c r="F104" s="2367"/>
      <c r="G104" s="2364">
        <f>'BS old'!F54</f>
        <v>0</v>
      </c>
      <c r="H104" s="2365"/>
      <c r="I104" s="2366"/>
      <c r="J104" s="837"/>
    </row>
    <row r="105" spans="1:12" ht="28" customHeight="1">
      <c r="A105" s="2384"/>
      <c r="B105" s="2385"/>
      <c r="C105" s="2388"/>
      <c r="D105" s="2367">
        <f>'BS old'!E54</f>
        <v>0</v>
      </c>
      <c r="E105" s="2367"/>
      <c r="F105" s="2367"/>
      <c r="G105" s="838"/>
      <c r="H105" s="2364">
        <f>'BS old'!G54</f>
        <v>0</v>
      </c>
      <c r="I105" s="2365"/>
      <c r="J105" s="2368"/>
    </row>
    <row r="106" spans="1:12" ht="28" customHeight="1">
      <c r="A106" s="2402" t="s">
        <v>631</v>
      </c>
      <c r="B106" s="2731" t="s">
        <v>1632</v>
      </c>
      <c r="C106" s="2387" t="s">
        <v>941</v>
      </c>
      <c r="D106" s="2367">
        <f>'BS old'!D55</f>
        <v>0</v>
      </c>
      <c r="E106" s="2367"/>
      <c r="F106" s="2367"/>
      <c r="G106" s="2364">
        <f>'BS old'!F55</f>
        <v>0</v>
      </c>
      <c r="H106" s="2365"/>
      <c r="I106" s="2366"/>
      <c r="J106" s="837"/>
    </row>
    <row r="107" spans="1:12" ht="28" customHeight="1">
      <c r="A107" s="2400"/>
      <c r="B107" s="2397"/>
      <c r="C107" s="2388"/>
      <c r="D107" s="2367">
        <f>'BS old'!E55</f>
        <v>0</v>
      </c>
      <c r="E107" s="2367"/>
      <c r="F107" s="2367"/>
      <c r="G107" s="838"/>
      <c r="H107" s="2364">
        <f>'BS old'!G55</f>
        <v>0</v>
      </c>
      <c r="I107" s="2365"/>
      <c r="J107" s="2368"/>
    </row>
    <row r="108" spans="1:12" s="450" customFormat="1" ht="28" customHeight="1">
      <c r="A108" s="2412" t="s">
        <v>634</v>
      </c>
      <c r="B108" s="2524" t="s">
        <v>1633</v>
      </c>
      <c r="C108" s="2388" t="s">
        <v>944</v>
      </c>
      <c r="D108" s="2367">
        <f>'BS old'!D56</f>
        <v>0</v>
      </c>
      <c r="E108" s="2367"/>
      <c r="F108" s="2367"/>
      <c r="G108" s="2364">
        <f>'BS old'!F56</f>
        <v>0</v>
      </c>
      <c r="H108" s="2365"/>
      <c r="I108" s="2366"/>
      <c r="J108" s="837"/>
    </row>
    <row r="109" spans="1:12" s="450" customFormat="1" ht="28" customHeight="1">
      <c r="A109" s="2412"/>
      <c r="B109" s="2385"/>
      <c r="C109" s="2388"/>
      <c r="D109" s="2367">
        <f>'BS old'!E56</f>
        <v>0</v>
      </c>
      <c r="E109" s="2367"/>
      <c r="F109" s="2367"/>
      <c r="G109" s="838"/>
      <c r="H109" s="2364">
        <f>'BS old'!G56</f>
        <v>0</v>
      </c>
      <c r="I109" s="2365"/>
      <c r="J109" s="2368"/>
    </row>
    <row r="110" spans="1:12" s="450" customFormat="1" ht="28" customHeight="1">
      <c r="A110" s="2384" t="s">
        <v>532</v>
      </c>
      <c r="B110" s="2386" t="s">
        <v>1626</v>
      </c>
      <c r="C110" s="2387" t="s">
        <v>947</v>
      </c>
      <c r="D110" s="2367">
        <f>'BS old'!D57</f>
        <v>0</v>
      </c>
      <c r="E110" s="2367"/>
      <c r="F110" s="2367"/>
      <c r="G110" s="2364">
        <f>'BS old'!F57</f>
        <v>0</v>
      </c>
      <c r="H110" s="2365"/>
      <c r="I110" s="2366"/>
      <c r="J110" s="837"/>
    </row>
    <row r="111" spans="1:12" s="450" customFormat="1" ht="28" customHeight="1">
      <c r="A111" s="2384"/>
      <c r="B111" s="2386"/>
      <c r="C111" s="2388"/>
      <c r="D111" s="2367">
        <f>'BS old'!E57</f>
        <v>0</v>
      </c>
      <c r="E111" s="2367"/>
      <c r="F111" s="2367"/>
      <c r="G111" s="838"/>
      <c r="H111" s="2364">
        <f>'BS old'!G57</f>
        <v>0</v>
      </c>
      <c r="I111" s="2365"/>
      <c r="J111" s="2368"/>
    </row>
    <row r="112" spans="1:12" ht="28" customHeight="1">
      <c r="A112" s="2384" t="s">
        <v>535</v>
      </c>
      <c r="B112" s="2524" t="s">
        <v>1627</v>
      </c>
      <c r="C112" s="2388" t="s">
        <v>950</v>
      </c>
      <c r="D112" s="2367">
        <f>'BS old'!D58</f>
        <v>0</v>
      </c>
      <c r="E112" s="2367"/>
      <c r="F112" s="2367"/>
      <c r="G112" s="2364">
        <f>'BS old'!F58</f>
        <v>0</v>
      </c>
      <c r="H112" s="2365"/>
      <c r="I112" s="2366"/>
      <c r="J112" s="837"/>
    </row>
    <row r="113" spans="1:10" ht="28" customHeight="1">
      <c r="A113" s="2384"/>
      <c r="B113" s="2385"/>
      <c r="C113" s="2388"/>
      <c r="D113" s="2367">
        <f>'BS old'!E58</f>
        <v>0</v>
      </c>
      <c r="E113" s="2367"/>
      <c r="F113" s="2367"/>
      <c r="G113" s="838"/>
      <c r="H113" s="2364">
        <f>'BS old'!G58</f>
        <v>0</v>
      </c>
      <c r="I113" s="2365"/>
      <c r="J113" s="2368"/>
    </row>
    <row r="114" spans="1:10" ht="28" customHeight="1">
      <c r="A114" s="2384" t="s">
        <v>538</v>
      </c>
      <c r="B114" s="2524" t="s">
        <v>1628</v>
      </c>
      <c r="C114" s="2387" t="s">
        <v>952</v>
      </c>
      <c r="D114" s="2367">
        <f>'BS old'!D59</f>
        <v>0</v>
      </c>
      <c r="E114" s="2367"/>
      <c r="F114" s="2367"/>
      <c r="G114" s="2364">
        <f>'BS old'!F59</f>
        <v>0</v>
      </c>
      <c r="H114" s="2365"/>
      <c r="I114" s="2366"/>
      <c r="J114" s="837"/>
    </row>
    <row r="115" spans="1:10" ht="28" customHeight="1">
      <c r="A115" s="2384"/>
      <c r="B115" s="2385"/>
      <c r="C115" s="2388"/>
      <c r="D115" s="2367">
        <f>'BS old'!E59</f>
        <v>0</v>
      </c>
      <c r="E115" s="2367"/>
      <c r="F115" s="2367"/>
      <c r="G115" s="838"/>
      <c r="H115" s="2364">
        <f>'BS old'!G59</f>
        <v>0</v>
      </c>
      <c r="I115" s="2365"/>
      <c r="J115" s="2368"/>
    </row>
    <row r="116" spans="1:10" ht="28" customHeight="1">
      <c r="A116" s="2384" t="s">
        <v>541</v>
      </c>
      <c r="B116" s="2524" t="s">
        <v>1634</v>
      </c>
      <c r="C116" s="2388" t="s">
        <v>954</v>
      </c>
      <c r="D116" s="2367">
        <f>'BS old'!D60</f>
        <v>0</v>
      </c>
      <c r="E116" s="2367"/>
      <c r="F116" s="2367"/>
      <c r="G116" s="2364">
        <f>'BS old'!F60</f>
        <v>0</v>
      </c>
      <c r="H116" s="2365"/>
      <c r="I116" s="2366"/>
      <c r="J116" s="837"/>
    </row>
    <row r="117" spans="1:10" ht="28" customHeight="1">
      <c r="A117" s="2384"/>
      <c r="B117" s="2385"/>
      <c r="C117" s="2388"/>
      <c r="D117" s="2367">
        <f>'BS old'!E60</f>
        <v>0</v>
      </c>
      <c r="E117" s="2367"/>
      <c r="F117" s="2367"/>
      <c r="G117" s="838"/>
      <c r="H117" s="2364">
        <f>'BS old'!G60</f>
        <v>0</v>
      </c>
      <c r="I117" s="2365"/>
      <c r="J117" s="2368"/>
    </row>
    <row r="118" spans="1:10" ht="28" customHeight="1">
      <c r="A118" s="2384" t="s">
        <v>544</v>
      </c>
      <c r="B118" s="2524" t="s">
        <v>1635</v>
      </c>
      <c r="C118" s="2387" t="s">
        <v>957</v>
      </c>
      <c r="D118" s="2367">
        <f>'BS old'!D61</f>
        <v>0</v>
      </c>
      <c r="E118" s="2367"/>
      <c r="F118" s="2367"/>
      <c r="G118" s="2364">
        <f>'BS old'!F61</f>
        <v>0</v>
      </c>
      <c r="H118" s="2365"/>
      <c r="I118" s="2366"/>
      <c r="J118" s="837"/>
    </row>
    <row r="119" spans="1:10" ht="28" customHeight="1">
      <c r="A119" s="2384"/>
      <c r="B119" s="2385"/>
      <c r="C119" s="2388"/>
      <c r="D119" s="2367">
        <f>'BS old'!E61</f>
        <v>0</v>
      </c>
      <c r="E119" s="2367"/>
      <c r="F119" s="2367"/>
      <c r="G119" s="838"/>
      <c r="H119" s="2364">
        <f>'BS old'!G61</f>
        <v>0</v>
      </c>
      <c r="I119" s="2365"/>
      <c r="J119" s="2368"/>
    </row>
    <row r="120" spans="1:10" ht="28" customHeight="1">
      <c r="A120" s="2384" t="s">
        <v>547</v>
      </c>
      <c r="B120" s="2524" t="s">
        <v>1636</v>
      </c>
      <c r="C120" s="2388" t="s">
        <v>960</v>
      </c>
      <c r="D120" s="2367">
        <f>'BS old'!D62</f>
        <v>0</v>
      </c>
      <c r="E120" s="2367"/>
      <c r="F120" s="2367"/>
      <c r="G120" s="2364">
        <f>'BS old'!F62</f>
        <v>0</v>
      </c>
      <c r="H120" s="2365"/>
      <c r="I120" s="2366"/>
      <c r="J120" s="837"/>
    </row>
    <row r="121" spans="1:10" ht="28" customHeight="1">
      <c r="A121" s="2384"/>
      <c r="B121" s="2385"/>
      <c r="C121" s="2388"/>
      <c r="D121" s="2367">
        <f>'BS old'!E62</f>
        <v>0</v>
      </c>
      <c r="E121" s="2367"/>
      <c r="F121" s="2367"/>
      <c r="G121" s="838"/>
      <c r="H121" s="2364">
        <f>'BS old'!G62</f>
        <v>0</v>
      </c>
      <c r="I121" s="2365"/>
      <c r="J121" s="2368"/>
    </row>
    <row r="122" spans="1:10" ht="28" customHeight="1">
      <c r="A122" s="2384" t="s">
        <v>568</v>
      </c>
      <c r="B122" s="2524" t="s">
        <v>1630</v>
      </c>
      <c r="C122" s="2387" t="s">
        <v>962</v>
      </c>
      <c r="D122" s="2367">
        <f>'BS old'!D63</f>
        <v>0</v>
      </c>
      <c r="E122" s="2367"/>
      <c r="F122" s="2367"/>
      <c r="G122" s="2364">
        <f>'BS old'!F63</f>
        <v>0</v>
      </c>
      <c r="H122" s="2365"/>
      <c r="I122" s="2366"/>
      <c r="J122" s="837"/>
    </row>
    <row r="123" spans="1:10" ht="28" customHeight="1">
      <c r="A123" s="2384"/>
      <c r="B123" s="2385"/>
      <c r="C123" s="2388"/>
      <c r="D123" s="2367">
        <f>'BS old'!E63</f>
        <v>0</v>
      </c>
      <c r="E123" s="2367"/>
      <c r="F123" s="2367"/>
      <c r="G123" s="838"/>
      <c r="H123" s="2364">
        <f>'BS old'!G63</f>
        <v>0</v>
      </c>
      <c r="I123" s="2365"/>
      <c r="J123" s="2368"/>
    </row>
    <row r="124" spans="1:10" ht="28" customHeight="1">
      <c r="A124" s="2399" t="s">
        <v>649</v>
      </c>
      <c r="B124" s="2731" t="s">
        <v>1637</v>
      </c>
      <c r="C124" s="2388" t="s">
        <v>965</v>
      </c>
      <c r="D124" s="2523">
        <f>'BS old'!D64</f>
        <v>0</v>
      </c>
      <c r="E124" s="2523"/>
      <c r="F124" s="2523"/>
      <c r="G124" s="2364">
        <f>'BS old'!F64</f>
        <v>0</v>
      </c>
      <c r="H124" s="2365"/>
      <c r="I124" s="2366"/>
      <c r="J124" s="837"/>
    </row>
    <row r="125" spans="1:10" ht="28" customHeight="1">
      <c r="A125" s="2400"/>
      <c r="B125" s="2397"/>
      <c r="C125" s="2388"/>
      <c r="D125" s="2367">
        <f>'BS old'!E64</f>
        <v>0</v>
      </c>
      <c r="E125" s="2367"/>
      <c r="F125" s="2367"/>
      <c r="G125" s="838"/>
      <c r="H125" s="2364">
        <f>'BS old'!G64</f>
        <v>0</v>
      </c>
      <c r="I125" s="2365"/>
      <c r="J125" s="2368"/>
    </row>
    <row r="126" spans="1:10" s="450" customFormat="1" ht="28" customHeight="1">
      <c r="A126" s="2395" t="s">
        <v>652</v>
      </c>
      <c r="B126" s="2524" t="s">
        <v>1638</v>
      </c>
      <c r="C126" s="2387" t="s">
        <v>968</v>
      </c>
      <c r="D126" s="2367">
        <f>'BS old'!D65</f>
        <v>0</v>
      </c>
      <c r="E126" s="2367"/>
      <c r="F126" s="2367"/>
      <c r="G126" s="2364">
        <f>'BS old'!F65</f>
        <v>0</v>
      </c>
      <c r="H126" s="2365"/>
      <c r="I126" s="2366"/>
      <c r="J126" s="837"/>
    </row>
    <row r="127" spans="1:10" s="450" customFormat="1" ht="28" customHeight="1" thickBot="1">
      <c r="A127" s="2395"/>
      <c r="B127" s="2385"/>
      <c r="C127" s="2388"/>
      <c r="D127" s="2367">
        <f>'BS old'!E65</f>
        <v>0</v>
      </c>
      <c r="E127" s="2367"/>
      <c r="F127" s="2367"/>
      <c r="G127" s="810"/>
      <c r="H127" s="2364">
        <f>'BS old'!G65</f>
        <v>0</v>
      </c>
      <c r="I127" s="2365"/>
      <c r="J127" s="2368"/>
    </row>
    <row r="128" spans="1:10" ht="11.25" customHeight="1">
      <c r="A128" s="2549" t="s">
        <v>1581</v>
      </c>
      <c r="B128" s="2550" t="s">
        <v>1582</v>
      </c>
      <c r="C128" s="2551" t="s">
        <v>1583</v>
      </c>
      <c r="D128" s="2369" t="s">
        <v>1584</v>
      </c>
      <c r="E128" s="2428"/>
      <c r="F128" s="2428"/>
      <c r="G128" s="2428"/>
      <c r="H128" s="2373"/>
      <c r="I128" s="2431" t="s">
        <v>1562</v>
      </c>
      <c r="J128" s="2432"/>
    </row>
    <row r="129" spans="1:10" ht="11.25" customHeight="1">
      <c r="A129" s="2518"/>
      <c r="B129" s="2519"/>
      <c r="C129" s="2520"/>
      <c r="D129" s="2411">
        <v>1</v>
      </c>
      <c r="E129" s="2379" t="s">
        <v>1585</v>
      </c>
      <c r="F129" s="2439"/>
      <c r="G129" s="2727" t="s">
        <v>1178</v>
      </c>
      <c r="H129" s="2728"/>
      <c r="I129" s="2371"/>
      <c r="J129" s="2372"/>
    </row>
    <row r="130" spans="1:10" ht="11.25" customHeight="1">
      <c r="A130" s="2381"/>
      <c r="B130" s="2389"/>
      <c r="C130" s="2391"/>
      <c r="D130" s="2521"/>
      <c r="E130" s="2379" t="s">
        <v>1586</v>
      </c>
      <c r="F130" s="2439"/>
      <c r="G130" s="2729"/>
      <c r="H130" s="2730"/>
      <c r="I130" s="2379" t="s">
        <v>1176</v>
      </c>
      <c r="J130" s="2380"/>
    </row>
    <row r="131" spans="1:10" s="519" customFormat="1" ht="28" customHeight="1">
      <c r="A131" s="2384" t="s">
        <v>532</v>
      </c>
      <c r="B131" s="2524" t="s">
        <v>1639</v>
      </c>
      <c r="C131" s="2388" t="s">
        <v>656</v>
      </c>
      <c r="D131" s="2367">
        <f>'BS old'!D66</f>
        <v>0</v>
      </c>
      <c r="E131" s="2367"/>
      <c r="F131" s="2367"/>
      <c r="G131" s="2364">
        <f>'BS old'!F66</f>
        <v>0</v>
      </c>
      <c r="H131" s="2365"/>
      <c r="I131" s="2366"/>
      <c r="J131" s="520"/>
    </row>
    <row r="132" spans="1:10" s="519" customFormat="1" ht="28" customHeight="1">
      <c r="A132" s="2384"/>
      <c r="B132" s="2385"/>
      <c r="C132" s="2388"/>
      <c r="D132" s="2367">
        <f>'BS old'!E66</f>
        <v>0</v>
      </c>
      <c r="E132" s="2367"/>
      <c r="F132" s="2367"/>
      <c r="G132" s="839"/>
      <c r="H132" s="2364">
        <f>'BS old'!G66</f>
        <v>0</v>
      </c>
      <c r="I132" s="2365"/>
      <c r="J132" s="2368"/>
    </row>
    <row r="133" spans="1:10" s="519" customFormat="1" ht="28" customHeight="1">
      <c r="A133" s="2384" t="s">
        <v>535</v>
      </c>
      <c r="B133" s="2524" t="s">
        <v>1640</v>
      </c>
      <c r="C133" s="2388" t="s">
        <v>658</v>
      </c>
      <c r="D133" s="2367">
        <f>'BS old'!D67</f>
        <v>0</v>
      </c>
      <c r="E133" s="2367"/>
      <c r="F133" s="2367"/>
      <c r="G133" s="2364">
        <f>'BS old'!F67</f>
        <v>0</v>
      </c>
      <c r="H133" s="2365"/>
      <c r="I133" s="2366"/>
      <c r="J133" s="520"/>
    </row>
    <row r="134" spans="1:10" ht="28" customHeight="1">
      <c r="A134" s="2384"/>
      <c r="B134" s="2385"/>
      <c r="C134" s="2388"/>
      <c r="D134" s="2367">
        <f>'BS old'!E67</f>
        <v>0</v>
      </c>
      <c r="E134" s="2367"/>
      <c r="F134" s="2367"/>
      <c r="G134" s="839"/>
      <c r="H134" s="2364">
        <f>'BS old'!G67</f>
        <v>0</v>
      </c>
      <c r="I134" s="2365"/>
      <c r="J134" s="2368"/>
    </row>
    <row r="135" spans="1:10" ht="28" customHeight="1">
      <c r="A135" s="2384" t="s">
        <v>538</v>
      </c>
      <c r="B135" s="2524" t="s">
        <v>1641</v>
      </c>
      <c r="C135" s="2388" t="s">
        <v>660</v>
      </c>
      <c r="D135" s="2367">
        <f>'BS old'!D68</f>
        <v>0</v>
      </c>
      <c r="E135" s="2367"/>
      <c r="F135" s="2367"/>
      <c r="G135" s="2364">
        <f>'BS old'!F68</f>
        <v>0</v>
      </c>
      <c r="H135" s="2365"/>
      <c r="I135" s="2366"/>
      <c r="J135" s="837"/>
    </row>
    <row r="136" spans="1:10" ht="28" customHeight="1">
      <c r="A136" s="2384"/>
      <c r="B136" s="2385"/>
      <c r="C136" s="2388"/>
      <c r="D136" s="2367">
        <f>'BS old'!E68</f>
        <v>0</v>
      </c>
      <c r="E136" s="2367"/>
      <c r="F136" s="2367"/>
      <c r="G136" s="839"/>
      <c r="H136" s="2364">
        <f>'BS old'!G68</f>
        <v>0</v>
      </c>
      <c r="I136" s="2365"/>
      <c r="J136" s="2368"/>
    </row>
    <row r="137" spans="1:10" ht="28" customHeight="1">
      <c r="A137" s="2384" t="s">
        <v>541</v>
      </c>
      <c r="B137" s="2524" t="s">
        <v>1642</v>
      </c>
      <c r="C137" s="2388" t="s">
        <v>662</v>
      </c>
      <c r="D137" s="2367">
        <f>'BS old'!D69</f>
        <v>0</v>
      </c>
      <c r="E137" s="2367"/>
      <c r="F137" s="2367"/>
      <c r="G137" s="2364">
        <f>'BS old'!F69</f>
        <v>0</v>
      </c>
      <c r="H137" s="2365"/>
      <c r="I137" s="2366"/>
      <c r="J137" s="837"/>
    </row>
    <row r="138" spans="1:10" ht="28" customHeight="1">
      <c r="A138" s="2384"/>
      <c r="B138" s="2385"/>
      <c r="C138" s="2388"/>
      <c r="D138" s="2367">
        <f>'BS old'!E69</f>
        <v>0</v>
      </c>
      <c r="E138" s="2367"/>
      <c r="F138" s="2367"/>
      <c r="G138" s="839"/>
      <c r="H138" s="2364">
        <f>'BS old'!G69</f>
        <v>0</v>
      </c>
      <c r="I138" s="2365"/>
      <c r="J138" s="2368"/>
    </row>
    <row r="139" spans="1:10" ht="28" customHeight="1">
      <c r="A139" s="2396" t="s">
        <v>663</v>
      </c>
      <c r="B139" s="2726" t="s">
        <v>1643</v>
      </c>
      <c r="C139" s="2401" t="s">
        <v>665</v>
      </c>
      <c r="D139" s="2367">
        <f>'BS old'!D70</f>
        <v>0</v>
      </c>
      <c r="E139" s="2367"/>
      <c r="F139" s="2367"/>
      <c r="G139" s="2364">
        <f>'BS old'!F70</f>
        <v>0</v>
      </c>
      <c r="H139" s="2365"/>
      <c r="I139" s="2366"/>
      <c r="J139" s="837"/>
    </row>
    <row r="140" spans="1:10" ht="28" customHeight="1">
      <c r="A140" s="2396"/>
      <c r="B140" s="2543"/>
      <c r="C140" s="2401"/>
      <c r="D140" s="2367">
        <f>'BS old'!E70</f>
        <v>0</v>
      </c>
      <c r="E140" s="2367"/>
      <c r="F140" s="2367"/>
      <c r="G140" s="839"/>
      <c r="H140" s="2364">
        <f>'BS old'!G70</f>
        <v>0</v>
      </c>
      <c r="I140" s="2365"/>
      <c r="J140" s="2368"/>
    </row>
    <row r="141" spans="1:10" ht="28" customHeight="1">
      <c r="A141" s="2395" t="s">
        <v>666</v>
      </c>
      <c r="B141" s="2524" t="s">
        <v>1644</v>
      </c>
      <c r="C141" s="2388" t="s">
        <v>668</v>
      </c>
      <c r="D141" s="2367">
        <f>'BS old'!D71</f>
        <v>0</v>
      </c>
      <c r="E141" s="2367"/>
      <c r="F141" s="2367"/>
      <c r="G141" s="2364">
        <f>'BS old'!F71</f>
        <v>0</v>
      </c>
      <c r="H141" s="2365"/>
      <c r="I141" s="2366"/>
      <c r="J141" s="837"/>
    </row>
    <row r="142" spans="1:10" ht="28" customHeight="1">
      <c r="A142" s="2395"/>
      <c r="B142" s="2385"/>
      <c r="C142" s="2388"/>
      <c r="D142" s="2367">
        <f>'BS old'!E71</f>
        <v>0</v>
      </c>
      <c r="E142" s="2367"/>
      <c r="F142" s="2367"/>
      <c r="G142" s="839"/>
      <c r="H142" s="2364">
        <f>'BS old'!G71</f>
        <v>0</v>
      </c>
      <c r="I142" s="2365"/>
      <c r="J142" s="2368"/>
    </row>
    <row r="143" spans="1:10" ht="28" customHeight="1">
      <c r="A143" s="2384" t="s">
        <v>532</v>
      </c>
      <c r="B143" s="2524" t="s">
        <v>1645</v>
      </c>
      <c r="C143" s="2388" t="s">
        <v>670</v>
      </c>
      <c r="D143" s="2367">
        <f>'BS old'!D72</f>
        <v>0</v>
      </c>
      <c r="E143" s="2367"/>
      <c r="F143" s="2367"/>
      <c r="G143" s="2364">
        <f>'BS old'!F72</f>
        <v>0</v>
      </c>
      <c r="H143" s="2365"/>
      <c r="I143" s="2366"/>
      <c r="J143" s="837"/>
    </row>
    <row r="144" spans="1:10" s="450" customFormat="1" ht="28" customHeight="1">
      <c r="A144" s="2384"/>
      <c r="B144" s="2385"/>
      <c r="C144" s="2388"/>
      <c r="D144" s="2367">
        <f>'BS old'!E72</f>
        <v>0</v>
      </c>
      <c r="E144" s="2367"/>
      <c r="F144" s="2367"/>
      <c r="G144" s="839"/>
      <c r="H144" s="2364">
        <f>'BS old'!G72</f>
        <v>0</v>
      </c>
      <c r="I144" s="2365"/>
      <c r="J144" s="2368"/>
    </row>
    <row r="145" spans="1:10" s="450" customFormat="1" ht="28" customHeight="1">
      <c r="A145" s="2384" t="s">
        <v>535</v>
      </c>
      <c r="B145" s="2524" t="s">
        <v>1646</v>
      </c>
      <c r="C145" s="2388" t="s">
        <v>672</v>
      </c>
      <c r="D145" s="2367">
        <f>'BS old'!D73</f>
        <v>0</v>
      </c>
      <c r="E145" s="2367"/>
      <c r="F145" s="2367"/>
      <c r="G145" s="2364">
        <f>'BS old'!F73</f>
        <v>0</v>
      </c>
      <c r="H145" s="2365"/>
      <c r="I145" s="2366"/>
      <c r="J145" s="837"/>
    </row>
    <row r="146" spans="1:10" ht="28" customHeight="1">
      <c r="A146" s="2384"/>
      <c r="B146" s="2385"/>
      <c r="C146" s="2388"/>
      <c r="D146" s="2367">
        <f>'BS old'!E73</f>
        <v>0</v>
      </c>
      <c r="E146" s="2367"/>
      <c r="F146" s="2367"/>
      <c r="G146" s="839"/>
      <c r="H146" s="2364">
        <f>'BS old'!G73</f>
        <v>0</v>
      </c>
      <c r="I146" s="2365"/>
      <c r="J146" s="2368"/>
    </row>
    <row r="147" spans="1:10" ht="28" customHeight="1">
      <c r="A147" s="2384" t="s">
        <v>538</v>
      </c>
      <c r="B147" s="2524" t="s">
        <v>1647</v>
      </c>
      <c r="C147" s="2388" t="s">
        <v>674</v>
      </c>
      <c r="D147" s="2367">
        <f>'BS old'!D74</f>
        <v>0</v>
      </c>
      <c r="E147" s="2367"/>
      <c r="F147" s="2367"/>
      <c r="G147" s="2364">
        <f>'BS old'!F74</f>
        <v>0</v>
      </c>
      <c r="H147" s="2365"/>
      <c r="I147" s="2366"/>
      <c r="J147" s="837"/>
    </row>
    <row r="148" spans="1:10" s="515" customFormat="1" ht="28" customHeight="1">
      <c r="A148" s="2384"/>
      <c r="B148" s="2385"/>
      <c r="C148" s="2388"/>
      <c r="D148" s="2367">
        <f>'BS old'!E74</f>
        <v>0</v>
      </c>
      <c r="E148" s="2367"/>
      <c r="F148" s="2367"/>
      <c r="G148" s="810"/>
      <c r="H148" s="2364">
        <f>'BS old'!G74</f>
        <v>0</v>
      </c>
      <c r="I148" s="2365"/>
      <c r="J148" s="2368"/>
    </row>
    <row r="149" spans="1:10" s="515" customFormat="1" ht="30" customHeight="1">
      <c r="A149" s="518" t="s">
        <v>1581</v>
      </c>
      <c r="B149" s="2379" t="s">
        <v>1648</v>
      </c>
      <c r="C149" s="2438"/>
      <c r="D149" s="2438"/>
      <c r="E149" s="2439"/>
      <c r="F149" s="517" t="s">
        <v>1583</v>
      </c>
      <c r="G149" s="2379" t="s">
        <v>1649</v>
      </c>
      <c r="H149" s="2439"/>
      <c r="I149" s="2371" t="s">
        <v>1650</v>
      </c>
      <c r="J149" s="2372"/>
    </row>
    <row r="150" spans="1:10" s="515" customFormat="1" ht="27.75" customHeight="1">
      <c r="A150" s="516"/>
      <c r="B150" s="2506" t="s">
        <v>1651</v>
      </c>
      <c r="C150" s="2507"/>
      <c r="D150" s="2507"/>
      <c r="E150" s="2508"/>
      <c r="F150" s="814" t="s">
        <v>681</v>
      </c>
      <c r="G150" s="2364">
        <f>'BS old'!D81</f>
        <v>0</v>
      </c>
      <c r="H150" s="2366"/>
      <c r="I150" s="2364">
        <f>'BS old'!E81</f>
        <v>0</v>
      </c>
      <c r="J150" s="2368"/>
    </row>
    <row r="151" spans="1:10" s="515" customFormat="1" ht="27.75" customHeight="1">
      <c r="A151" s="813" t="s">
        <v>523</v>
      </c>
      <c r="B151" s="2506" t="s">
        <v>1652</v>
      </c>
      <c r="C151" s="2507"/>
      <c r="D151" s="2507"/>
      <c r="E151" s="2508"/>
      <c r="F151" s="814" t="s">
        <v>683</v>
      </c>
      <c r="G151" s="2364">
        <f>'BS old'!D82</f>
        <v>0</v>
      </c>
      <c r="H151" s="2366"/>
      <c r="I151" s="2364">
        <f>'BS old'!E82</f>
        <v>0</v>
      </c>
      <c r="J151" s="2368"/>
    </row>
    <row r="152" spans="1:10" ht="27.75" customHeight="1">
      <c r="A152" s="813" t="s">
        <v>526</v>
      </c>
      <c r="B152" s="2506" t="s">
        <v>1653</v>
      </c>
      <c r="C152" s="2507"/>
      <c r="D152" s="2507"/>
      <c r="E152" s="2508"/>
      <c r="F152" s="814" t="s">
        <v>685</v>
      </c>
      <c r="G152" s="2364">
        <f>'BS old'!D83</f>
        <v>0</v>
      </c>
      <c r="H152" s="2366"/>
      <c r="I152" s="2364">
        <f>'BS old'!E83</f>
        <v>0</v>
      </c>
      <c r="J152" s="2368"/>
    </row>
    <row r="153" spans="1:10" s="450" customFormat="1" ht="27.75" customHeight="1">
      <c r="A153" s="816" t="s">
        <v>529</v>
      </c>
      <c r="B153" s="2497" t="s">
        <v>1654</v>
      </c>
      <c r="C153" s="2498"/>
      <c r="D153" s="2498"/>
      <c r="E153" s="2499"/>
      <c r="F153" s="811" t="s">
        <v>687</v>
      </c>
      <c r="G153" s="2364">
        <f>'BS old'!D84</f>
        <v>0</v>
      </c>
      <c r="H153" s="2366"/>
      <c r="I153" s="2364">
        <f>'BS old'!E84</f>
        <v>0</v>
      </c>
      <c r="J153" s="2368"/>
    </row>
    <row r="154" spans="1:10" s="450" customFormat="1" ht="27.75" customHeight="1">
      <c r="A154" s="812" t="s">
        <v>532</v>
      </c>
      <c r="B154" s="2497" t="s">
        <v>1655</v>
      </c>
      <c r="C154" s="2498"/>
      <c r="D154" s="2498"/>
      <c r="E154" s="2499"/>
      <c r="F154" s="811" t="s">
        <v>689</v>
      </c>
      <c r="G154" s="2364">
        <f>'BS old'!D85</f>
        <v>0</v>
      </c>
      <c r="H154" s="2366"/>
      <c r="I154" s="2364">
        <f>'BS old'!E85</f>
        <v>0</v>
      </c>
      <c r="J154" s="2368"/>
    </row>
    <row r="155" spans="1:10" s="450" customFormat="1" ht="27.75" customHeight="1">
      <c r="A155" s="812" t="s">
        <v>535</v>
      </c>
      <c r="B155" s="2497" t="s">
        <v>1656</v>
      </c>
      <c r="C155" s="2498"/>
      <c r="D155" s="2498"/>
      <c r="E155" s="2499"/>
      <c r="F155" s="811" t="s">
        <v>691</v>
      </c>
      <c r="G155" s="2364">
        <f>'BS old'!D86</f>
        <v>0</v>
      </c>
      <c r="H155" s="2366"/>
      <c r="I155" s="2364">
        <f>'BS old'!E86</f>
        <v>0</v>
      </c>
      <c r="J155" s="2368"/>
    </row>
    <row r="156" spans="1:10" ht="27.75" customHeight="1">
      <c r="A156" s="812" t="s">
        <v>538</v>
      </c>
      <c r="B156" s="2497" t="s">
        <v>692</v>
      </c>
      <c r="C156" s="2498"/>
      <c r="D156" s="2498"/>
      <c r="E156" s="2499"/>
      <c r="F156" s="811" t="s">
        <v>693</v>
      </c>
      <c r="G156" s="2364">
        <f>'BS old'!D87</f>
        <v>0</v>
      </c>
      <c r="H156" s="2366"/>
      <c r="I156" s="2364">
        <f>'BS old'!E87</f>
        <v>0</v>
      </c>
      <c r="J156" s="2368"/>
    </row>
    <row r="157" spans="1:10" ht="27.75" customHeight="1">
      <c r="A157" s="813" t="s">
        <v>550</v>
      </c>
      <c r="B157" s="2506" t="s">
        <v>1657</v>
      </c>
      <c r="C157" s="2507"/>
      <c r="D157" s="2507"/>
      <c r="E157" s="2508"/>
      <c r="F157" s="814" t="s">
        <v>695</v>
      </c>
      <c r="G157" s="2364">
        <f>'BS old'!D88</f>
        <v>0</v>
      </c>
      <c r="H157" s="2366"/>
      <c r="I157" s="2364">
        <f>'BS old'!E88</f>
        <v>0</v>
      </c>
      <c r="J157" s="2368"/>
    </row>
    <row r="158" spans="1:10" ht="27.75" customHeight="1">
      <c r="A158" s="816" t="s">
        <v>553</v>
      </c>
      <c r="B158" s="2497" t="s">
        <v>1658</v>
      </c>
      <c r="C158" s="2498"/>
      <c r="D158" s="2498"/>
      <c r="E158" s="2499"/>
      <c r="F158" s="811" t="s">
        <v>697</v>
      </c>
      <c r="G158" s="2364">
        <f>'BS old'!D89</f>
        <v>0</v>
      </c>
      <c r="H158" s="2366"/>
      <c r="I158" s="2364">
        <f>'BS old'!E89</f>
        <v>0</v>
      </c>
      <c r="J158" s="2368"/>
    </row>
    <row r="159" spans="1:10" ht="27.75" customHeight="1">
      <c r="A159" s="812" t="s">
        <v>532</v>
      </c>
      <c r="B159" s="2497" t="s">
        <v>1659</v>
      </c>
      <c r="C159" s="2498"/>
      <c r="D159" s="2498"/>
      <c r="E159" s="2499"/>
      <c r="F159" s="811" t="s">
        <v>699</v>
      </c>
      <c r="G159" s="2364">
        <f>'BS old'!D90</f>
        <v>0</v>
      </c>
      <c r="H159" s="2366"/>
      <c r="I159" s="2364">
        <f>'BS old'!E90</f>
        <v>0</v>
      </c>
      <c r="J159" s="2368"/>
    </row>
    <row r="160" spans="1:10" s="450" customFormat="1" ht="27.75" customHeight="1">
      <c r="A160" s="812" t="s">
        <v>535</v>
      </c>
      <c r="B160" s="2497" t="s">
        <v>1660</v>
      </c>
      <c r="C160" s="2498"/>
      <c r="D160" s="2498"/>
      <c r="E160" s="2499"/>
      <c r="F160" s="811" t="s">
        <v>701</v>
      </c>
      <c r="G160" s="2364">
        <f>'BS old'!D91</f>
        <v>0</v>
      </c>
      <c r="H160" s="2366"/>
      <c r="I160" s="2364">
        <f>'BS old'!E91</f>
        <v>0</v>
      </c>
      <c r="J160" s="2368"/>
    </row>
    <row r="161" spans="1:10" ht="27.75" customHeight="1">
      <c r="A161" s="812" t="s">
        <v>538</v>
      </c>
      <c r="B161" s="2497" t="s">
        <v>1661</v>
      </c>
      <c r="C161" s="2498"/>
      <c r="D161" s="2498"/>
      <c r="E161" s="2499"/>
      <c r="F161" s="811" t="s">
        <v>703</v>
      </c>
      <c r="G161" s="2364">
        <f>'BS old'!D92</f>
        <v>0</v>
      </c>
      <c r="H161" s="2366"/>
      <c r="I161" s="2364">
        <f>'BS old'!E92</f>
        <v>0</v>
      </c>
      <c r="J161" s="2368"/>
    </row>
    <row r="162" spans="1:10" ht="27.75" customHeight="1">
      <c r="A162" s="812" t="s">
        <v>541</v>
      </c>
      <c r="B162" s="2497" t="s">
        <v>1662</v>
      </c>
      <c r="C162" s="2498"/>
      <c r="D162" s="2498"/>
      <c r="E162" s="2499"/>
      <c r="F162" s="811" t="s">
        <v>705</v>
      </c>
      <c r="G162" s="2364">
        <f>'BS old'!D93</f>
        <v>0</v>
      </c>
      <c r="H162" s="2366"/>
      <c r="I162" s="2364">
        <f>'BS old'!E93</f>
        <v>0</v>
      </c>
      <c r="J162" s="2368"/>
    </row>
    <row r="163" spans="1:10" ht="27.75" customHeight="1">
      <c r="A163" s="812" t="s">
        <v>544</v>
      </c>
      <c r="B163" s="2497" t="s">
        <v>1663</v>
      </c>
      <c r="C163" s="2498"/>
      <c r="D163" s="2498"/>
      <c r="E163" s="2499"/>
      <c r="F163" s="811" t="s">
        <v>707</v>
      </c>
      <c r="G163" s="2364">
        <f>'BS old'!D94</f>
        <v>0</v>
      </c>
      <c r="H163" s="2366"/>
      <c r="I163" s="2364">
        <f>'BS old'!E94</f>
        <v>0</v>
      </c>
      <c r="J163" s="2368"/>
    </row>
    <row r="164" spans="1:10" ht="27.75" customHeight="1">
      <c r="A164" s="813" t="s">
        <v>574</v>
      </c>
      <c r="B164" s="2506" t="s">
        <v>1664</v>
      </c>
      <c r="C164" s="2507"/>
      <c r="D164" s="2507"/>
      <c r="E164" s="2508"/>
      <c r="F164" s="814" t="s">
        <v>709</v>
      </c>
      <c r="G164" s="2364">
        <f>'BS old'!D95</f>
        <v>0</v>
      </c>
      <c r="H164" s="2366"/>
      <c r="I164" s="2364">
        <f>'BS old'!E95</f>
        <v>0</v>
      </c>
      <c r="J164" s="2368"/>
    </row>
    <row r="165" spans="1:10" ht="27.75" customHeight="1">
      <c r="A165" s="812" t="s">
        <v>577</v>
      </c>
      <c r="B165" s="2497" t="s">
        <v>1665</v>
      </c>
      <c r="C165" s="2498"/>
      <c r="D165" s="2498"/>
      <c r="E165" s="2499"/>
      <c r="F165" s="811" t="s">
        <v>711</v>
      </c>
      <c r="G165" s="2364">
        <f>'BS old'!D96</f>
        <v>0</v>
      </c>
      <c r="H165" s="2366"/>
      <c r="I165" s="2364">
        <f>'BS old'!E96</f>
        <v>0</v>
      </c>
      <c r="J165" s="2368"/>
    </row>
    <row r="166" spans="1:10" ht="27.75" customHeight="1">
      <c r="A166" s="812" t="s">
        <v>532</v>
      </c>
      <c r="B166" s="2497" t="s">
        <v>1666</v>
      </c>
      <c r="C166" s="2498"/>
      <c r="D166" s="2498"/>
      <c r="E166" s="2499"/>
      <c r="F166" s="811" t="s">
        <v>713</v>
      </c>
      <c r="G166" s="2364">
        <f>'BS old'!D97</f>
        <v>0</v>
      </c>
      <c r="H166" s="2366"/>
      <c r="I166" s="2364">
        <f>'BS old'!E97</f>
        <v>0</v>
      </c>
      <c r="J166" s="2368"/>
    </row>
    <row r="167" spans="1:10" s="450" customFormat="1" ht="27.75" customHeight="1">
      <c r="A167" s="812" t="s">
        <v>535</v>
      </c>
      <c r="B167" s="2497" t="s">
        <v>1667</v>
      </c>
      <c r="C167" s="2498"/>
      <c r="D167" s="2498"/>
      <c r="E167" s="2499"/>
      <c r="F167" s="811" t="s">
        <v>715</v>
      </c>
      <c r="G167" s="2364">
        <f>'BS old'!D98</f>
        <v>0</v>
      </c>
      <c r="H167" s="2366"/>
      <c r="I167" s="2364">
        <f>'BS old'!E98</f>
        <v>0</v>
      </c>
      <c r="J167" s="2368"/>
    </row>
    <row r="168" spans="1:10" ht="27.75" customHeight="1">
      <c r="A168" s="813" t="s">
        <v>716</v>
      </c>
      <c r="B168" s="2506" t="s">
        <v>1668</v>
      </c>
      <c r="C168" s="2507"/>
      <c r="D168" s="2507"/>
      <c r="E168" s="2508"/>
      <c r="F168" s="814" t="s">
        <v>718</v>
      </c>
      <c r="G168" s="2364">
        <f>'BS old'!D99</f>
        <v>0</v>
      </c>
      <c r="H168" s="2366"/>
      <c r="I168" s="2364">
        <f>'BS old'!E99</f>
        <v>0</v>
      </c>
      <c r="J168" s="2368"/>
    </row>
    <row r="169" spans="1:10" ht="27.75" customHeight="1">
      <c r="A169" s="514" t="s">
        <v>719</v>
      </c>
      <c r="B169" s="2497" t="s">
        <v>1669</v>
      </c>
      <c r="C169" s="2498"/>
      <c r="D169" s="2498"/>
      <c r="E169" s="2499"/>
      <c r="F169" s="811" t="s">
        <v>721</v>
      </c>
      <c r="G169" s="2364">
        <f>'BS old'!D100</f>
        <v>0</v>
      </c>
      <c r="H169" s="2366"/>
      <c r="I169" s="2364">
        <f>'BS old'!E100</f>
        <v>0</v>
      </c>
      <c r="J169" s="2368"/>
    </row>
    <row r="170" spans="1:10" ht="27.75" customHeight="1">
      <c r="A170" s="812" t="s">
        <v>532</v>
      </c>
      <c r="B170" s="2497" t="s">
        <v>1670</v>
      </c>
      <c r="C170" s="2498"/>
      <c r="D170" s="2498"/>
      <c r="E170" s="2499"/>
      <c r="F170" s="811" t="s">
        <v>723</v>
      </c>
      <c r="G170" s="2364">
        <f>'BS old'!D101</f>
        <v>0</v>
      </c>
      <c r="H170" s="2366"/>
      <c r="I170" s="2364">
        <f>'BS old'!E101</f>
        <v>0</v>
      </c>
      <c r="J170" s="2368"/>
    </row>
    <row r="171" spans="1:10" s="450" customFormat="1" ht="31.5" customHeight="1">
      <c r="A171" s="813" t="s">
        <v>724</v>
      </c>
      <c r="B171" s="2506" t="s">
        <v>1671</v>
      </c>
      <c r="C171" s="2507"/>
      <c r="D171" s="2507"/>
      <c r="E171" s="2508"/>
      <c r="F171" s="814" t="s">
        <v>726</v>
      </c>
      <c r="G171" s="2364">
        <f>'BS old'!D102</f>
        <v>0</v>
      </c>
      <c r="H171" s="2366"/>
      <c r="I171" s="2364">
        <f>'BS old'!E102</f>
        <v>0</v>
      </c>
      <c r="J171" s="2368"/>
    </row>
    <row r="172" spans="1:10" ht="27.75" customHeight="1">
      <c r="A172" s="813" t="s">
        <v>594</v>
      </c>
      <c r="B172" s="2506" t="s">
        <v>1672</v>
      </c>
      <c r="C172" s="2507"/>
      <c r="D172" s="2507"/>
      <c r="E172" s="2508"/>
      <c r="F172" s="814" t="s">
        <v>728</v>
      </c>
      <c r="G172" s="2364">
        <f>'BS old'!D103</f>
        <v>0</v>
      </c>
      <c r="H172" s="2366"/>
      <c r="I172" s="2364">
        <f>'BS old'!E103</f>
        <v>0</v>
      </c>
      <c r="J172" s="2368"/>
    </row>
    <row r="173" spans="1:10" ht="27.75" customHeight="1">
      <c r="A173" s="813" t="s">
        <v>597</v>
      </c>
      <c r="B173" s="2506" t="s">
        <v>1673</v>
      </c>
      <c r="C173" s="2507"/>
      <c r="D173" s="2507"/>
      <c r="E173" s="2508"/>
      <c r="F173" s="814" t="s">
        <v>730</v>
      </c>
      <c r="G173" s="2364">
        <f>'BS old'!D104</f>
        <v>0</v>
      </c>
      <c r="H173" s="2366"/>
      <c r="I173" s="2364">
        <f>'BS old'!E104</f>
        <v>0</v>
      </c>
      <c r="J173" s="2368"/>
    </row>
    <row r="174" spans="1:10" s="450" customFormat="1" ht="27.75" customHeight="1">
      <c r="A174" s="816" t="s">
        <v>600</v>
      </c>
      <c r="B174" s="2497" t="s">
        <v>1674</v>
      </c>
      <c r="C174" s="2498"/>
      <c r="D174" s="2498"/>
      <c r="E174" s="2499"/>
      <c r="F174" s="811" t="s">
        <v>732</v>
      </c>
      <c r="G174" s="2364">
        <f>'BS old'!D105</f>
        <v>0</v>
      </c>
      <c r="H174" s="2366"/>
      <c r="I174" s="2364">
        <f>'BS old'!E105</f>
        <v>0</v>
      </c>
      <c r="J174" s="2368"/>
    </row>
    <row r="175" spans="1:10" s="450" customFormat="1" ht="27.75" customHeight="1">
      <c r="A175" s="812" t="s">
        <v>532</v>
      </c>
      <c r="B175" s="2497" t="s">
        <v>1675</v>
      </c>
      <c r="C175" s="2498"/>
      <c r="D175" s="2498"/>
      <c r="E175" s="2499"/>
      <c r="F175" s="811" t="s">
        <v>734</v>
      </c>
      <c r="G175" s="2364">
        <f>'BS old'!D106</f>
        <v>0</v>
      </c>
      <c r="H175" s="2366"/>
      <c r="I175" s="2364">
        <f>'BS old'!E106</f>
        <v>0</v>
      </c>
      <c r="J175" s="2368"/>
    </row>
    <row r="176" spans="1:10" s="450" customFormat="1" ht="27.75" customHeight="1">
      <c r="A176" s="812" t="s">
        <v>535</v>
      </c>
      <c r="B176" s="2497" t="s">
        <v>1676</v>
      </c>
      <c r="C176" s="2498"/>
      <c r="D176" s="2498"/>
      <c r="E176" s="2499"/>
      <c r="F176" s="811" t="s">
        <v>736</v>
      </c>
      <c r="G176" s="2364">
        <f>'BS old'!D107</f>
        <v>0</v>
      </c>
      <c r="H176" s="2366"/>
      <c r="I176" s="2364">
        <f>'BS old'!E107</f>
        <v>0</v>
      </c>
      <c r="J176" s="2368"/>
    </row>
    <row r="177" spans="1:10" ht="27.75" customHeight="1">
      <c r="A177" s="812" t="s">
        <v>538</v>
      </c>
      <c r="B177" s="2497" t="s">
        <v>1677</v>
      </c>
      <c r="C177" s="2498"/>
      <c r="D177" s="2498"/>
      <c r="E177" s="2499"/>
      <c r="F177" s="811" t="s">
        <v>738</v>
      </c>
      <c r="G177" s="2364">
        <f>'BS old'!D108</f>
        <v>0</v>
      </c>
      <c r="H177" s="2366"/>
      <c r="I177" s="2364">
        <f>'BS old'!E108</f>
        <v>0</v>
      </c>
      <c r="J177" s="2368"/>
    </row>
    <row r="178" spans="1:10" ht="25.5" customHeight="1" thickBot="1">
      <c r="A178" s="512" t="s">
        <v>613</v>
      </c>
      <c r="B178" s="2732" t="s">
        <v>1678</v>
      </c>
      <c r="C178" s="2733"/>
      <c r="D178" s="2733"/>
      <c r="E178" s="2734"/>
      <c r="F178" s="511" t="s">
        <v>740</v>
      </c>
      <c r="G178" s="2503">
        <f>'BS old'!D109</f>
        <v>0</v>
      </c>
      <c r="H178" s="2504"/>
      <c r="I178" s="2503">
        <f>'BS old'!E109</f>
        <v>0</v>
      </c>
      <c r="J178" s="2505"/>
    </row>
    <row r="179" spans="1:10" ht="30" customHeight="1">
      <c r="A179" s="518" t="s">
        <v>1581</v>
      </c>
      <c r="B179" s="2379" t="s">
        <v>1648</v>
      </c>
      <c r="C179" s="2438"/>
      <c r="D179" s="2438"/>
      <c r="E179" s="2439"/>
      <c r="F179" s="517" t="s">
        <v>1583</v>
      </c>
      <c r="G179" s="2379" t="s">
        <v>1649</v>
      </c>
      <c r="H179" s="2439"/>
      <c r="I179" s="2371" t="s">
        <v>1650</v>
      </c>
      <c r="J179" s="2372"/>
    </row>
    <row r="180" spans="1:10" ht="27.75" customHeight="1">
      <c r="A180" s="816" t="s">
        <v>616</v>
      </c>
      <c r="B180" s="2497" t="s">
        <v>1679</v>
      </c>
      <c r="C180" s="2498"/>
      <c r="D180" s="2498"/>
      <c r="E180" s="2499"/>
      <c r="F180" s="811" t="s">
        <v>742</v>
      </c>
      <c r="G180" s="2364">
        <f>'BS old'!D110</f>
        <v>0</v>
      </c>
      <c r="H180" s="2366"/>
      <c r="I180" s="2364">
        <f>'BS old'!E110</f>
        <v>0</v>
      </c>
      <c r="J180" s="2368"/>
    </row>
    <row r="181" spans="1:10" ht="27.75" customHeight="1">
      <c r="A181" s="812" t="s">
        <v>532</v>
      </c>
      <c r="B181" s="2386" t="s">
        <v>1626</v>
      </c>
      <c r="C181" s="2422"/>
      <c r="D181" s="2422"/>
      <c r="E181" s="2422"/>
      <c r="F181" s="811" t="s">
        <v>743</v>
      </c>
      <c r="G181" s="2364">
        <f>'BS old'!D111</f>
        <v>0</v>
      </c>
      <c r="H181" s="2366"/>
      <c r="I181" s="2364">
        <f>'BS old'!E111</f>
        <v>0</v>
      </c>
      <c r="J181" s="2368"/>
    </row>
    <row r="182" spans="1:10" s="450" customFormat="1" ht="27.75" customHeight="1">
      <c r="A182" s="812" t="s">
        <v>535</v>
      </c>
      <c r="B182" s="2497" t="s">
        <v>1680</v>
      </c>
      <c r="C182" s="2498"/>
      <c r="D182" s="2498"/>
      <c r="E182" s="2499"/>
      <c r="F182" s="811" t="s">
        <v>745</v>
      </c>
      <c r="G182" s="2364">
        <f>'BS old'!D112</f>
        <v>0</v>
      </c>
      <c r="H182" s="2366"/>
      <c r="I182" s="2364">
        <f>'BS old'!E112</f>
        <v>0</v>
      </c>
      <c r="J182" s="2368"/>
    </row>
    <row r="183" spans="1:10" ht="27.75" customHeight="1">
      <c r="A183" s="812" t="s">
        <v>538</v>
      </c>
      <c r="B183" s="2497" t="s">
        <v>1681</v>
      </c>
      <c r="C183" s="2498"/>
      <c r="D183" s="2498"/>
      <c r="E183" s="2499"/>
      <c r="F183" s="811" t="s">
        <v>747</v>
      </c>
      <c r="G183" s="2364">
        <f>'BS old'!D113</f>
        <v>0</v>
      </c>
      <c r="H183" s="2366"/>
      <c r="I183" s="2364">
        <f>'BS old'!E113</f>
        <v>0</v>
      </c>
      <c r="J183" s="2368"/>
    </row>
    <row r="184" spans="1:10" ht="27.75" customHeight="1">
      <c r="A184" s="812" t="s">
        <v>541</v>
      </c>
      <c r="B184" s="2497" t="s">
        <v>1682</v>
      </c>
      <c r="C184" s="2498"/>
      <c r="D184" s="2498"/>
      <c r="E184" s="2499"/>
      <c r="F184" s="811" t="s">
        <v>749</v>
      </c>
      <c r="G184" s="2364">
        <f>'BS old'!D114</f>
        <v>0</v>
      </c>
      <c r="H184" s="2366"/>
      <c r="I184" s="2364">
        <f>'BS old'!E114</f>
        <v>0</v>
      </c>
      <c r="J184" s="2368"/>
    </row>
    <row r="185" spans="1:10" ht="27.75" customHeight="1">
      <c r="A185" s="812" t="s">
        <v>544</v>
      </c>
      <c r="B185" s="2497" t="s">
        <v>1683</v>
      </c>
      <c r="C185" s="2498"/>
      <c r="D185" s="2498"/>
      <c r="E185" s="2499"/>
      <c r="F185" s="811" t="s">
        <v>751</v>
      </c>
      <c r="G185" s="2364">
        <f>'BS old'!D115</f>
        <v>0</v>
      </c>
      <c r="H185" s="2366"/>
      <c r="I185" s="2364">
        <f>'BS old'!E115</f>
        <v>0</v>
      </c>
      <c r="J185" s="2368"/>
    </row>
    <row r="186" spans="1:10" ht="27.75" customHeight="1">
      <c r="A186" s="812" t="s">
        <v>547</v>
      </c>
      <c r="B186" s="2497" t="s">
        <v>1684</v>
      </c>
      <c r="C186" s="2498"/>
      <c r="D186" s="2498"/>
      <c r="E186" s="2499"/>
      <c r="F186" s="811" t="s">
        <v>753</v>
      </c>
      <c r="G186" s="2364">
        <f>'BS old'!D116</f>
        <v>0</v>
      </c>
      <c r="H186" s="2366"/>
      <c r="I186" s="2364">
        <f>'BS old'!E116</f>
        <v>0</v>
      </c>
      <c r="J186" s="2368"/>
    </row>
    <row r="187" spans="1:10" ht="27.75" customHeight="1">
      <c r="A187" s="812" t="s">
        <v>568</v>
      </c>
      <c r="B187" s="2497" t="s">
        <v>1685</v>
      </c>
      <c r="C187" s="2498"/>
      <c r="D187" s="2498"/>
      <c r="E187" s="2499"/>
      <c r="F187" s="811" t="s">
        <v>755</v>
      </c>
      <c r="G187" s="2364">
        <f>'BS old'!D117</f>
        <v>0</v>
      </c>
      <c r="H187" s="2366"/>
      <c r="I187" s="2364">
        <f>'BS old'!E117</f>
        <v>0</v>
      </c>
      <c r="J187" s="2368"/>
    </row>
    <row r="188" spans="1:10" ht="27.75" customHeight="1">
      <c r="A188" s="812" t="s">
        <v>571</v>
      </c>
      <c r="B188" s="2497" t="s">
        <v>1686</v>
      </c>
      <c r="C188" s="2498"/>
      <c r="D188" s="2498"/>
      <c r="E188" s="2499"/>
      <c r="F188" s="811" t="s">
        <v>757</v>
      </c>
      <c r="G188" s="2364">
        <f>'BS old'!D118</f>
        <v>0</v>
      </c>
      <c r="H188" s="2366"/>
      <c r="I188" s="2364">
        <f>'BS old'!E118</f>
        <v>0</v>
      </c>
      <c r="J188" s="2368"/>
    </row>
    <row r="189" spans="1:10" ht="27.75" customHeight="1">
      <c r="A189" s="812" t="s">
        <v>758</v>
      </c>
      <c r="B189" s="2497" t="s">
        <v>1687</v>
      </c>
      <c r="C189" s="2498"/>
      <c r="D189" s="2498"/>
      <c r="E189" s="2499"/>
      <c r="F189" s="811" t="s">
        <v>760</v>
      </c>
      <c r="G189" s="2364">
        <f>'BS old'!D119</f>
        <v>0</v>
      </c>
      <c r="H189" s="2366"/>
      <c r="I189" s="2364">
        <f>'BS old'!E119</f>
        <v>0</v>
      </c>
      <c r="J189" s="2368"/>
    </row>
    <row r="190" spans="1:10" ht="27.75" customHeight="1">
      <c r="A190" s="812" t="s">
        <v>761</v>
      </c>
      <c r="B190" s="2497" t="s">
        <v>1688</v>
      </c>
      <c r="C190" s="2498"/>
      <c r="D190" s="2498"/>
      <c r="E190" s="2499"/>
      <c r="F190" s="811" t="s">
        <v>763</v>
      </c>
      <c r="G190" s="2364">
        <f>'BS old'!D120</f>
        <v>0</v>
      </c>
      <c r="H190" s="2366"/>
      <c r="I190" s="2364">
        <f>'BS old'!E120</f>
        <v>0</v>
      </c>
      <c r="J190" s="2368"/>
    </row>
    <row r="191" spans="1:10" ht="27.75" customHeight="1">
      <c r="A191" s="813" t="s">
        <v>631</v>
      </c>
      <c r="B191" s="2506" t="s">
        <v>1689</v>
      </c>
      <c r="C191" s="2507"/>
      <c r="D191" s="2507"/>
      <c r="E191" s="2508"/>
      <c r="F191" s="811" t="s">
        <v>765</v>
      </c>
      <c r="G191" s="2364">
        <f>'BS old'!D121</f>
        <v>0</v>
      </c>
      <c r="H191" s="2366"/>
      <c r="I191" s="2364">
        <f>'BS old'!E121</f>
        <v>0</v>
      </c>
      <c r="J191" s="2368"/>
    </row>
    <row r="192" spans="1:10" ht="27.75" customHeight="1">
      <c r="A192" s="812" t="s">
        <v>634</v>
      </c>
      <c r="B192" s="2497" t="s">
        <v>1690</v>
      </c>
      <c r="C192" s="2498"/>
      <c r="D192" s="2498"/>
      <c r="E192" s="2499"/>
      <c r="F192" s="811" t="s">
        <v>767</v>
      </c>
      <c r="G192" s="2364">
        <f>'BS old'!D122</f>
        <v>0</v>
      </c>
      <c r="H192" s="2366"/>
      <c r="I192" s="2364">
        <f>'BS old'!E122</f>
        <v>0</v>
      </c>
      <c r="J192" s="2368"/>
    </row>
    <row r="193" spans="1:10" ht="27.75" customHeight="1">
      <c r="A193" s="812" t="s">
        <v>532</v>
      </c>
      <c r="B193" s="2386" t="s">
        <v>1626</v>
      </c>
      <c r="C193" s="2422"/>
      <c r="D193" s="2422"/>
      <c r="E193" s="2422"/>
      <c r="F193" s="811" t="s">
        <v>768</v>
      </c>
      <c r="G193" s="2364">
        <f>'BS old'!D123</f>
        <v>0</v>
      </c>
      <c r="H193" s="2366"/>
      <c r="I193" s="2364">
        <f>'BS old'!E123</f>
        <v>0</v>
      </c>
      <c r="J193" s="2368"/>
    </row>
    <row r="194" spans="1:10" ht="27.75" customHeight="1">
      <c r="A194" s="812" t="s">
        <v>535</v>
      </c>
      <c r="B194" s="2497" t="s">
        <v>1691</v>
      </c>
      <c r="C194" s="2498"/>
      <c r="D194" s="2498"/>
      <c r="E194" s="2499"/>
      <c r="F194" s="811" t="s">
        <v>770</v>
      </c>
      <c r="G194" s="2364">
        <f>'BS old'!D124</f>
        <v>0</v>
      </c>
      <c r="H194" s="2366"/>
      <c r="I194" s="2364">
        <f>'BS old'!E124</f>
        <v>0</v>
      </c>
      <c r="J194" s="2368"/>
    </row>
    <row r="195" spans="1:10" s="450" customFormat="1" ht="27.75" customHeight="1">
      <c r="A195" s="812" t="s">
        <v>538</v>
      </c>
      <c r="B195" s="2497" t="s">
        <v>1692</v>
      </c>
      <c r="C195" s="2498"/>
      <c r="D195" s="2498"/>
      <c r="E195" s="2499"/>
      <c r="F195" s="811" t="s">
        <v>772</v>
      </c>
      <c r="G195" s="2364">
        <f>'BS old'!D125</f>
        <v>0</v>
      </c>
      <c r="H195" s="2366"/>
      <c r="I195" s="2364">
        <f>'BS old'!E125</f>
        <v>0</v>
      </c>
      <c r="J195" s="2368"/>
    </row>
    <row r="196" spans="1:10" ht="27.75" customHeight="1">
      <c r="A196" s="812" t="s">
        <v>541</v>
      </c>
      <c r="B196" s="2497" t="s">
        <v>1693</v>
      </c>
      <c r="C196" s="2498"/>
      <c r="D196" s="2498"/>
      <c r="E196" s="2499"/>
      <c r="F196" s="811" t="s">
        <v>774</v>
      </c>
      <c r="G196" s="2364">
        <f>'BS old'!D126</f>
        <v>0</v>
      </c>
      <c r="H196" s="2366"/>
      <c r="I196" s="2364">
        <f>'BS old'!E126</f>
        <v>0</v>
      </c>
      <c r="J196" s="2368"/>
    </row>
    <row r="197" spans="1:10" ht="28.5" customHeight="1">
      <c r="A197" s="812" t="s">
        <v>544</v>
      </c>
      <c r="B197" s="2497" t="s">
        <v>1694</v>
      </c>
      <c r="C197" s="2498"/>
      <c r="D197" s="2498"/>
      <c r="E197" s="2499"/>
      <c r="F197" s="811" t="s">
        <v>776</v>
      </c>
      <c r="G197" s="2364">
        <f>'BS old'!D127</f>
        <v>0</v>
      </c>
      <c r="H197" s="2366"/>
      <c r="I197" s="2364">
        <f>'BS old'!E127</f>
        <v>0</v>
      </c>
      <c r="J197" s="2368"/>
    </row>
    <row r="198" spans="1:10" ht="27.75" customHeight="1">
      <c r="A198" s="812" t="s">
        <v>547</v>
      </c>
      <c r="B198" s="2497" t="s">
        <v>1695</v>
      </c>
      <c r="C198" s="2498"/>
      <c r="D198" s="2498"/>
      <c r="E198" s="2499"/>
      <c r="F198" s="811" t="s">
        <v>778</v>
      </c>
      <c r="G198" s="2364">
        <f>'BS old'!D128</f>
        <v>0</v>
      </c>
      <c r="H198" s="2366"/>
      <c r="I198" s="2364">
        <f>'BS old'!E128</f>
        <v>0</v>
      </c>
      <c r="J198" s="2368"/>
    </row>
    <row r="199" spans="1:10" ht="27.75" customHeight="1">
      <c r="A199" s="812" t="s">
        <v>568</v>
      </c>
      <c r="B199" s="2497" t="s">
        <v>1696</v>
      </c>
      <c r="C199" s="2498"/>
      <c r="D199" s="2498"/>
      <c r="E199" s="2499"/>
      <c r="F199" s="811" t="s">
        <v>780</v>
      </c>
      <c r="G199" s="2364">
        <f>'BS old'!D129</f>
        <v>0</v>
      </c>
      <c r="H199" s="2366"/>
      <c r="I199" s="2364">
        <f>'BS old'!E129</f>
        <v>0</v>
      </c>
      <c r="J199" s="2368"/>
    </row>
    <row r="200" spans="1:10" ht="27.75" customHeight="1">
      <c r="A200" s="812" t="s">
        <v>571</v>
      </c>
      <c r="B200" s="2497" t="s">
        <v>1697</v>
      </c>
      <c r="C200" s="2498"/>
      <c r="D200" s="2498"/>
      <c r="E200" s="2499"/>
      <c r="F200" s="811" t="s">
        <v>782</v>
      </c>
      <c r="G200" s="2364">
        <f>'BS old'!D130</f>
        <v>0</v>
      </c>
      <c r="H200" s="2366"/>
      <c r="I200" s="2364">
        <f>'BS old'!E130</f>
        <v>0</v>
      </c>
      <c r="J200" s="2368"/>
    </row>
    <row r="201" spans="1:10" ht="27.75" customHeight="1">
      <c r="A201" s="812" t="s">
        <v>758</v>
      </c>
      <c r="B201" s="2497" t="s">
        <v>1698</v>
      </c>
      <c r="C201" s="2498"/>
      <c r="D201" s="2498"/>
      <c r="E201" s="2499"/>
      <c r="F201" s="811" t="s">
        <v>784</v>
      </c>
      <c r="G201" s="2364">
        <f>'BS old'!D131</f>
        <v>0</v>
      </c>
      <c r="H201" s="2366"/>
      <c r="I201" s="2364">
        <f>'BS old'!E131</f>
        <v>0</v>
      </c>
      <c r="J201" s="2368"/>
    </row>
    <row r="202" spans="1:10" ht="27.75" customHeight="1">
      <c r="A202" s="813" t="s">
        <v>649</v>
      </c>
      <c r="B202" s="2506" t="s">
        <v>1699</v>
      </c>
      <c r="C202" s="2507"/>
      <c r="D202" s="2507"/>
      <c r="E202" s="2508"/>
      <c r="F202" s="811" t="s">
        <v>786</v>
      </c>
      <c r="G202" s="2364">
        <f>'BS old'!D132</f>
        <v>0</v>
      </c>
      <c r="H202" s="2366"/>
      <c r="I202" s="2364">
        <f>'BS old'!E132</f>
        <v>0</v>
      </c>
      <c r="J202" s="2368"/>
    </row>
    <row r="203" spans="1:10" ht="27.75" customHeight="1">
      <c r="A203" s="815" t="s">
        <v>787</v>
      </c>
      <c r="B203" s="2506" t="s">
        <v>1700</v>
      </c>
      <c r="C203" s="2507"/>
      <c r="D203" s="2507"/>
      <c r="E203" s="2508"/>
      <c r="F203" s="811" t="s">
        <v>789</v>
      </c>
      <c r="G203" s="2364">
        <f>'BS old'!D133</f>
        <v>0</v>
      </c>
      <c r="H203" s="2366"/>
      <c r="I203" s="2364">
        <f>'BS old'!E133</f>
        <v>0</v>
      </c>
      <c r="J203" s="2368"/>
    </row>
    <row r="204" spans="1:10" ht="27.75" customHeight="1">
      <c r="A204" s="812" t="s">
        <v>790</v>
      </c>
      <c r="B204" s="2497" t="s">
        <v>1701</v>
      </c>
      <c r="C204" s="2498"/>
      <c r="D204" s="2498"/>
      <c r="E204" s="2499"/>
      <c r="F204" s="811" t="s">
        <v>792</v>
      </c>
      <c r="G204" s="2364">
        <f>'BS old'!D134</f>
        <v>0</v>
      </c>
      <c r="H204" s="2366"/>
      <c r="I204" s="2364">
        <f>'BS old'!E134</f>
        <v>0</v>
      </c>
      <c r="J204" s="2368"/>
    </row>
    <row r="205" spans="1:10" s="450" customFormat="1" ht="27.75" customHeight="1">
      <c r="A205" s="812" t="s">
        <v>532</v>
      </c>
      <c r="B205" s="2497" t="s">
        <v>1702</v>
      </c>
      <c r="C205" s="2498"/>
      <c r="D205" s="2498"/>
      <c r="E205" s="2499"/>
      <c r="F205" s="811" t="s">
        <v>794</v>
      </c>
      <c r="G205" s="2364">
        <f>'BS old'!D135</f>
        <v>0</v>
      </c>
      <c r="H205" s="2366"/>
      <c r="I205" s="2364">
        <f>'BS old'!E135</f>
        <v>0</v>
      </c>
      <c r="J205" s="2368"/>
    </row>
    <row r="206" spans="1:10" ht="27.75" customHeight="1">
      <c r="A206" s="813" t="s">
        <v>663</v>
      </c>
      <c r="B206" s="2506" t="s">
        <v>1703</v>
      </c>
      <c r="C206" s="2507"/>
      <c r="D206" s="2507"/>
      <c r="E206" s="2508"/>
      <c r="F206" s="811" t="s">
        <v>796</v>
      </c>
      <c r="G206" s="2364">
        <f>'BS old'!D136</f>
        <v>0</v>
      </c>
      <c r="H206" s="2366"/>
      <c r="I206" s="2364">
        <f>'BS old'!E136</f>
        <v>0</v>
      </c>
      <c r="J206" s="2368"/>
    </row>
    <row r="207" spans="1:10" ht="27.75" customHeight="1">
      <c r="A207" s="816" t="s">
        <v>666</v>
      </c>
      <c r="B207" s="2497" t="s">
        <v>1704</v>
      </c>
      <c r="C207" s="2498"/>
      <c r="D207" s="2498"/>
      <c r="E207" s="2499"/>
      <c r="F207" s="811" t="s">
        <v>798</v>
      </c>
      <c r="G207" s="2364">
        <f>'BS old'!D137</f>
        <v>0</v>
      </c>
      <c r="H207" s="2366"/>
      <c r="I207" s="2364">
        <f>'BS old'!E137</f>
        <v>0</v>
      </c>
      <c r="J207" s="2368"/>
    </row>
    <row r="208" spans="1:10" ht="27.75" customHeight="1">
      <c r="A208" s="812" t="s">
        <v>532</v>
      </c>
      <c r="B208" s="2497" t="s">
        <v>1705</v>
      </c>
      <c r="C208" s="2498"/>
      <c r="D208" s="2498"/>
      <c r="E208" s="2499"/>
      <c r="F208" s="811" t="s">
        <v>800</v>
      </c>
      <c r="G208" s="2364">
        <f>'BS old'!D138</f>
        <v>0</v>
      </c>
      <c r="H208" s="2366"/>
      <c r="I208" s="2364">
        <f>'BS old'!E138</f>
        <v>0</v>
      </c>
      <c r="J208" s="2368"/>
    </row>
    <row r="209" spans="1:10" s="450" customFormat="1" ht="27.75" customHeight="1">
      <c r="A209" s="812" t="s">
        <v>535</v>
      </c>
      <c r="B209" s="2497" t="s">
        <v>1706</v>
      </c>
      <c r="C209" s="2498"/>
      <c r="D209" s="2498"/>
      <c r="E209" s="2499"/>
      <c r="F209" s="811" t="s">
        <v>802</v>
      </c>
      <c r="G209" s="2364">
        <f>'BS old'!D139</f>
        <v>0</v>
      </c>
      <c r="H209" s="2366"/>
      <c r="I209" s="2364">
        <f>'BS old'!E139</f>
        <v>0</v>
      </c>
      <c r="J209" s="2368"/>
    </row>
    <row r="210" spans="1:10" ht="27.75" customHeight="1" thickBot="1">
      <c r="A210" s="504" t="s">
        <v>538</v>
      </c>
      <c r="B210" s="2500" t="s">
        <v>1707</v>
      </c>
      <c r="C210" s="2501"/>
      <c r="D210" s="2501"/>
      <c r="E210" s="2502"/>
      <c r="F210" s="811" t="s">
        <v>804</v>
      </c>
      <c r="G210" s="2503">
        <f>'BS old'!D140</f>
        <v>0</v>
      </c>
      <c r="H210" s="2504"/>
      <c r="I210" s="2503">
        <f>'BS old'!E140</f>
        <v>0</v>
      </c>
      <c r="J210" s="2505"/>
    </row>
    <row r="211" spans="1:10" ht="24.75" customHeight="1"/>
    <row r="212" spans="1:10" ht="24.75" customHeight="1"/>
    <row r="213" spans="1:10" ht="24.75" customHeight="1"/>
  </sheetData>
  <mergeCells count="692">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30"/>
    <mergeCell ref="E130:F130"/>
    <mergeCell ref="I130:J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6"/>
    <mergeCell ref="E66:F66"/>
    <mergeCell ref="I66:J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5"/>
    <mergeCell ref="E35:F35"/>
    <mergeCell ref="I35:J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ColWidth="9.1796875" defaultRowHeight="12.5"/>
  <cols>
    <col min="1" max="10" width="2.54296875" style="818" customWidth="1"/>
    <col min="11" max="11" width="3.453125" style="818" customWidth="1"/>
    <col min="12" max="36" width="2.54296875" style="818" customWidth="1"/>
    <col min="37" max="37" width="2.1796875" style="818" customWidth="1"/>
    <col min="38" max="38" width="1.81640625" style="818" customWidth="1"/>
    <col min="39" max="39" width="2.1796875" style="818" customWidth="1"/>
    <col min="40" max="45" width="2.54296875" style="818" customWidth="1"/>
    <col min="46" max="46" width="7.7265625" style="818" customWidth="1"/>
    <col min="47" max="61" width="2.54296875" style="818" customWidth="1"/>
    <col min="62" max="16384" width="9.1796875" style="818"/>
  </cols>
  <sheetData>
    <row r="1" spans="1:38">
      <c r="B1" s="817" t="s">
        <v>1234</v>
      </c>
    </row>
    <row r="2" spans="1:38" s="500" customFormat="1" ht="18.5" thickBot="1">
      <c r="C2" s="817"/>
      <c r="N2" s="496" t="s">
        <v>1708</v>
      </c>
    </row>
    <row r="3" spans="1:38" s="397" customFormat="1" ht="21" customHeight="1" thickBot="1">
      <c r="B3" s="876" t="s">
        <v>1709</v>
      </c>
      <c r="C3" s="819"/>
      <c r="D3" s="820"/>
      <c r="E3" s="820"/>
      <c r="F3" s="820"/>
      <c r="G3" s="820"/>
      <c r="H3" s="820"/>
      <c r="I3" s="820"/>
      <c r="J3" s="821"/>
      <c r="K3" s="820"/>
      <c r="L3" s="822"/>
      <c r="N3" s="496" t="s">
        <v>1710</v>
      </c>
      <c r="Q3" s="496"/>
    </row>
    <row r="4" spans="1:38" ht="13" thickBot="1"/>
    <row r="5" spans="1:38" ht="28.5" customHeight="1" thickBot="1">
      <c r="K5" s="856" t="s">
        <v>1543</v>
      </c>
      <c r="L5" s="494" t="str">
        <f>+MID('Input data'!$B$11,1,1)</f>
        <v>3</v>
      </c>
      <c r="M5" s="494" t="str">
        <f>+MID('Input data'!$B$11,2,1)</f>
        <v>1</v>
      </c>
      <c r="N5" s="494" t="s">
        <v>1063</v>
      </c>
      <c r="O5" s="494" t="str">
        <f>LEFT('Input data'!B13,1)</f>
        <v>0</v>
      </c>
      <c r="P5" s="494" t="str">
        <f>RIGHT('Input data'!B13,1)</f>
        <v>3</v>
      </c>
      <c r="Q5" s="494" t="s">
        <v>1063</v>
      </c>
      <c r="R5" s="494" t="str">
        <f>+LEFT('Input data'!$B$14,1)</f>
        <v>2</v>
      </c>
      <c r="S5" s="494" t="str">
        <f>+MID('Input data'!$B$14,2,1)</f>
        <v>0</v>
      </c>
      <c r="T5" s="494" t="str">
        <f>+MID('Input data'!$B$14,3,1)</f>
        <v>1</v>
      </c>
      <c r="U5" s="494" t="str">
        <f>+MID('Input data'!$B$14,4,1)</f>
        <v>9</v>
      </c>
      <c r="V5" s="2723" t="s">
        <v>1544</v>
      </c>
      <c r="W5" s="2724"/>
      <c r="X5" s="2724"/>
      <c r="Y5" s="2724"/>
      <c r="Z5" s="2724"/>
      <c r="AA5" s="2725"/>
    </row>
    <row r="6" spans="1:38" ht="7.5" customHeight="1" thickBot="1"/>
    <row r="7" spans="1:38" s="487" customFormat="1" ht="14.25" customHeight="1">
      <c r="A7" s="490" t="s">
        <v>1545</v>
      </c>
      <c r="B7" s="490"/>
      <c r="C7" s="489"/>
      <c r="D7" s="489"/>
      <c r="E7" s="489"/>
      <c r="F7" s="489"/>
      <c r="G7" s="489"/>
      <c r="H7" s="489"/>
      <c r="I7" s="489"/>
      <c r="J7" s="489"/>
      <c r="K7" s="489"/>
      <c r="L7" s="489"/>
      <c r="M7" s="489"/>
      <c r="N7" s="489"/>
      <c r="O7" s="489"/>
      <c r="P7" s="489"/>
      <c r="Q7" s="489"/>
      <c r="R7" s="489"/>
      <c r="S7" s="488"/>
      <c r="T7" s="489"/>
      <c r="U7" s="489"/>
      <c r="V7" s="489"/>
      <c r="W7" s="489"/>
      <c r="X7" s="489"/>
      <c r="Y7" s="489"/>
      <c r="Z7" s="489"/>
      <c r="AA7" s="489"/>
      <c r="AB7" s="489"/>
      <c r="AC7" s="489"/>
      <c r="AD7" s="489"/>
      <c r="AE7" s="489"/>
      <c r="AF7" s="489"/>
      <c r="AG7" s="489"/>
      <c r="AH7" s="489"/>
      <c r="AI7" s="489"/>
      <c r="AJ7" s="489"/>
      <c r="AK7" s="489"/>
      <c r="AL7" s="488"/>
    </row>
    <row r="8" spans="1:38" s="487" customFormat="1" ht="14.25" customHeight="1">
      <c r="A8" s="857" t="s">
        <v>1546</v>
      </c>
      <c r="B8" s="857"/>
      <c r="C8" s="858"/>
      <c r="D8" s="858"/>
      <c r="E8" s="858"/>
      <c r="F8" s="858"/>
      <c r="G8" s="858"/>
      <c r="H8" s="858"/>
      <c r="I8" s="858"/>
      <c r="J8" s="858"/>
      <c r="K8" s="858"/>
      <c r="L8" s="858"/>
      <c r="M8" s="858"/>
      <c r="N8" s="858"/>
      <c r="O8" s="858"/>
      <c r="P8" s="858"/>
      <c r="Q8" s="858"/>
      <c r="R8" s="858"/>
      <c r="S8" s="858"/>
      <c r="T8" s="858"/>
      <c r="U8" s="858"/>
      <c r="V8" s="858"/>
      <c r="W8" s="858"/>
      <c r="X8" s="858"/>
      <c r="Y8" s="858"/>
      <c r="Z8" s="858"/>
      <c r="AA8" s="858"/>
      <c r="AB8" s="858"/>
      <c r="AC8" s="858"/>
      <c r="AD8" s="858"/>
      <c r="AE8" s="858"/>
      <c r="AF8" s="858"/>
      <c r="AG8" s="858"/>
      <c r="AH8" s="858"/>
      <c r="AI8" s="858"/>
      <c r="AJ8" s="858"/>
      <c r="AK8" s="858"/>
      <c r="AL8" s="859"/>
    </row>
    <row r="9" spans="1:38" s="863" customFormat="1" ht="15" customHeight="1">
      <c r="A9" s="860" t="s">
        <v>1547</v>
      </c>
      <c r="B9" s="860"/>
      <c r="C9" s="861"/>
      <c r="D9" s="861"/>
      <c r="E9" s="861"/>
      <c r="F9" s="861"/>
      <c r="G9" s="861"/>
      <c r="H9" s="861"/>
      <c r="I9" s="861"/>
      <c r="J9" s="861"/>
      <c r="K9" s="861"/>
      <c r="L9" s="861"/>
      <c r="M9" s="861"/>
      <c r="N9" s="861"/>
      <c r="O9" s="861"/>
      <c r="P9" s="861"/>
      <c r="Q9" s="861"/>
      <c r="R9" s="861"/>
      <c r="S9" s="862"/>
      <c r="T9" s="861"/>
      <c r="U9" s="861"/>
      <c r="V9" s="861"/>
      <c r="W9" s="861"/>
      <c r="X9" s="861"/>
      <c r="Y9" s="861"/>
      <c r="Z9" s="861"/>
      <c r="AA9" s="861"/>
      <c r="AB9" s="861"/>
      <c r="AC9" s="861"/>
      <c r="AD9" s="861"/>
      <c r="AE9" s="861"/>
      <c r="AF9" s="861"/>
      <c r="AG9" s="861"/>
      <c r="AH9" s="861"/>
      <c r="AI9" s="861"/>
      <c r="AJ9" s="861"/>
      <c r="AK9" s="861"/>
      <c r="AL9" s="859"/>
    </row>
    <row r="10" spans="1:38" s="482" customFormat="1" ht="18" customHeight="1" thickBot="1">
      <c r="A10" s="485" t="s">
        <v>1067</v>
      </c>
      <c r="B10" s="485"/>
      <c r="C10" s="484"/>
      <c r="D10" s="484"/>
      <c r="E10" s="485"/>
      <c r="F10" s="484"/>
      <c r="G10" s="484"/>
      <c r="H10" s="484"/>
      <c r="I10" s="484"/>
      <c r="J10" s="484"/>
      <c r="K10" s="484"/>
      <c r="L10" s="484"/>
      <c r="M10" s="484"/>
      <c r="N10" s="484"/>
      <c r="O10" s="484"/>
      <c r="P10" s="484"/>
      <c r="Q10" s="484"/>
      <c r="R10" s="484"/>
      <c r="S10" s="483"/>
      <c r="T10" s="484"/>
      <c r="U10" s="484"/>
      <c r="V10" s="484"/>
      <c r="W10" s="484"/>
      <c r="X10" s="484"/>
      <c r="Y10" s="484"/>
      <c r="Z10" s="484"/>
      <c r="AA10" s="484"/>
      <c r="AB10" s="484"/>
      <c r="AC10" s="484"/>
      <c r="AD10" s="484"/>
      <c r="AE10" s="484"/>
      <c r="AF10" s="484"/>
      <c r="AG10" s="484"/>
      <c r="AH10" s="484"/>
      <c r="AI10" s="484"/>
      <c r="AJ10" s="484"/>
      <c r="AK10" s="484"/>
      <c r="AL10" s="483"/>
    </row>
    <row r="11" spans="1:38" s="462" customFormat="1" ht="3.75" customHeight="1" thickBot="1"/>
    <row r="12" spans="1:38" s="462" customFormat="1" ht="14.25" customHeight="1">
      <c r="A12" s="464" t="s">
        <v>1549</v>
      </c>
      <c r="B12" s="463"/>
      <c r="C12" s="463"/>
      <c r="D12" s="463"/>
      <c r="E12" s="463"/>
      <c r="F12" s="463"/>
      <c r="G12" s="463"/>
      <c r="H12" s="463"/>
      <c r="I12" s="407"/>
      <c r="J12" s="841"/>
      <c r="K12" s="480" t="s">
        <v>1550</v>
      </c>
      <c r="L12" s="463"/>
      <c r="M12" s="481"/>
      <c r="N12" s="481"/>
      <c r="O12" s="481"/>
      <c r="P12" s="463"/>
      <c r="Q12" s="480" t="s">
        <v>1550</v>
      </c>
      <c r="R12" s="463"/>
      <c r="S12" s="407"/>
      <c r="T12" s="463"/>
      <c r="U12" s="463"/>
      <c r="V12" s="842"/>
      <c r="W12" s="463"/>
      <c r="X12" s="463"/>
      <c r="Y12" s="463"/>
      <c r="Z12" s="463"/>
      <c r="AA12" s="463"/>
      <c r="AB12" s="463"/>
      <c r="AC12" s="463"/>
      <c r="AD12" s="480" t="s">
        <v>1551</v>
      </c>
      <c r="AE12" s="480"/>
      <c r="AF12" s="480"/>
      <c r="AG12" s="480" t="s">
        <v>1552</v>
      </c>
      <c r="AH12" s="463"/>
      <c r="AI12" s="463"/>
      <c r="AJ12" s="463"/>
      <c r="AK12" s="463"/>
      <c r="AL12" s="479"/>
    </row>
    <row r="13" spans="1:38" s="462" customFormat="1" ht="19.5" customHeight="1">
      <c r="A13" s="476" t="str">
        <f>LEFT('Input data'!C24,1)</f>
        <v>2</v>
      </c>
      <c r="B13" s="441" t="str">
        <f>MID('Input data'!$C$24,2,1)</f>
        <v>0</v>
      </c>
      <c r="C13" s="441" t="str">
        <f>MID('Input data'!$C$24,3,1)</f>
        <v>2</v>
      </c>
      <c r="D13" s="441" t="str">
        <f>MID('Input data'!$C$24,4,1)</f>
        <v>0</v>
      </c>
      <c r="E13" s="441" t="str">
        <f>MID('Input data'!$C$24,5,1)</f>
        <v>3</v>
      </c>
      <c r="F13" s="441" t="str">
        <f>MID('Input data'!$C$24,6,1)</f>
        <v>1</v>
      </c>
      <c r="G13" s="441" t="str">
        <f>MID('Input data'!$C$24,7,1)</f>
        <v>9</v>
      </c>
      <c r="H13" s="441" t="str">
        <f>MID('Input data'!$C$24,8,1)</f>
        <v>8</v>
      </c>
      <c r="I13" s="441" t="str">
        <f>MID('Input data'!$C$24,9,1)</f>
        <v>2</v>
      </c>
      <c r="J13" s="843" t="str">
        <f>MID('Input data'!$C$24,10,1)</f>
        <v>9</v>
      </c>
      <c r="K13" s="844"/>
      <c r="L13" s="465"/>
      <c r="M13" s="465"/>
      <c r="N13" s="465"/>
      <c r="O13" s="465"/>
      <c r="P13" s="465"/>
      <c r="Q13" s="465"/>
      <c r="R13" s="465"/>
      <c r="S13" s="465"/>
      <c r="T13" s="465"/>
      <c r="U13" s="465"/>
      <c r="V13" s="845"/>
      <c r="W13" s="470" t="s">
        <v>1553</v>
      </c>
      <c r="X13" s="465"/>
      <c r="Y13" s="465"/>
      <c r="Z13" s="465"/>
      <c r="AA13" s="465"/>
      <c r="AB13" s="470" t="s">
        <v>1554</v>
      </c>
      <c r="AC13" s="465"/>
      <c r="AD13" s="441" t="str">
        <f>MID('Input data'!$B$8,1,1)</f>
        <v>0</v>
      </c>
      <c r="AE13" s="441" t="str">
        <f>MID('Input data'!$B$8,2,1)</f>
        <v>4</v>
      </c>
      <c r="AF13" s="441"/>
      <c r="AG13" s="441" t="str">
        <f>MID('Input data'!$B$9,1,1)</f>
        <v>2</v>
      </c>
      <c r="AH13" s="441" t="str">
        <f>MID('Input data'!$B$9,2,1)</f>
        <v>0</v>
      </c>
      <c r="AI13" s="441" t="str">
        <f>MID('Input data'!$B$9,3,1)</f>
        <v>1</v>
      </c>
      <c r="AJ13" s="441" t="str">
        <f>MID('Input data'!$B$9,4,1)</f>
        <v>8</v>
      </c>
      <c r="AK13" s="465"/>
      <c r="AL13" s="471"/>
    </row>
    <row r="14" spans="1:38" s="462" customFormat="1" ht="19.5" customHeight="1">
      <c r="A14" s="403" t="s">
        <v>1555</v>
      </c>
      <c r="B14" s="465"/>
      <c r="C14" s="465"/>
      <c r="D14" s="465"/>
      <c r="E14" s="465"/>
      <c r="F14" s="465"/>
      <c r="G14" s="465"/>
      <c r="H14" s="399"/>
      <c r="I14" s="399"/>
      <c r="J14" s="527"/>
      <c r="K14" s="478" t="str">
        <f>IF('Input data'!D7="x","x"," ")</f>
        <v>x</v>
      </c>
      <c r="L14" s="470" t="s">
        <v>1556</v>
      </c>
      <c r="N14" s="472"/>
      <c r="O14" s="472"/>
      <c r="P14" s="472"/>
      <c r="Q14" s="472"/>
      <c r="R14" s="478" t="str">
        <f>IF('Input data'!D17="x","x"," ")</f>
        <v>x</v>
      </c>
      <c r="S14" s="470" t="s">
        <v>1557</v>
      </c>
      <c r="T14" s="465"/>
      <c r="U14" s="465"/>
      <c r="V14" s="845"/>
      <c r="W14" s="825"/>
      <c r="X14" s="826"/>
      <c r="Y14" s="826"/>
      <c r="Z14" s="826"/>
      <c r="AA14" s="826"/>
      <c r="AB14" s="827" t="s">
        <v>1558</v>
      </c>
      <c r="AC14" s="826"/>
      <c r="AD14" s="828" t="str">
        <f>MID('Input data'!$B$13,1,1)</f>
        <v>0</v>
      </c>
      <c r="AE14" s="828" t="str">
        <f>MID('Input data'!$B$13,2,1)</f>
        <v>3</v>
      </c>
      <c r="AF14" s="828"/>
      <c r="AG14" s="828" t="str">
        <f>MID('Input data'!$B$14,1,1)</f>
        <v>2</v>
      </c>
      <c r="AH14" s="828" t="str">
        <f>MID('Input data'!$B$14,2,1)</f>
        <v>0</v>
      </c>
      <c r="AI14" s="828" t="str">
        <f>MID('Input data'!$B$14,3,1)</f>
        <v>1</v>
      </c>
      <c r="AJ14" s="828" t="str">
        <f>MID('Input data'!$B$14,4,1)</f>
        <v>9</v>
      </c>
      <c r="AK14" s="826"/>
      <c r="AL14" s="829"/>
    </row>
    <row r="15" spans="1:38" s="462" customFormat="1" ht="19.5" customHeight="1">
      <c r="A15" s="864" t="str">
        <f>LEFT('Input data'!C26,1)</f>
        <v>3</v>
      </c>
      <c r="B15" s="474" t="str">
        <f>MID('Input data'!$C$26,2,1)</f>
        <v>1</v>
      </c>
      <c r="C15" s="474" t="str">
        <f>MID('Input data'!$C$26,3,1)</f>
        <v>3</v>
      </c>
      <c r="D15" s="474" t="str">
        <f>MID('Input data'!$C$26,4,1)</f>
        <v>6</v>
      </c>
      <c r="E15" s="474" t="str">
        <f>MID('Input data'!$C$26,5,1)</f>
        <v>5</v>
      </c>
      <c r="F15" s="474" t="str">
        <f>MID('Input data'!$C$26,6,1)</f>
        <v>5</v>
      </c>
      <c r="G15" s="474" t="str">
        <f>MID('Input data'!$C$26,7,1)</f>
        <v>0</v>
      </c>
      <c r="H15" s="474" t="str">
        <f>MID('Input data'!$C$26,8,1)</f>
        <v>7</v>
      </c>
      <c r="I15" s="399"/>
      <c r="J15" s="527"/>
      <c r="K15" s="399" t="str">
        <f>IF('Input data'!D8="x","x", "")</f>
        <v/>
      </c>
      <c r="L15" s="470" t="s">
        <v>1559</v>
      </c>
      <c r="M15" s="470"/>
      <c r="N15" s="472"/>
      <c r="O15" s="472"/>
      <c r="P15" s="472"/>
      <c r="Q15" s="472"/>
      <c r="R15" s="472" t="str">
        <f>IF('Input data'!D18="x","x"," ")</f>
        <v xml:space="preserve"> </v>
      </c>
      <c r="S15" s="470" t="s">
        <v>1560</v>
      </c>
      <c r="T15" s="465"/>
      <c r="U15" s="465"/>
      <c r="V15" s="845"/>
      <c r="W15" s="470"/>
      <c r="X15" s="465"/>
      <c r="Y15" s="402"/>
      <c r="Z15" s="399"/>
      <c r="AA15" s="399"/>
      <c r="AB15" s="472"/>
      <c r="AC15" s="399"/>
      <c r="AD15" s="474"/>
      <c r="AE15" s="474"/>
      <c r="AF15" s="474"/>
      <c r="AG15" s="474"/>
      <c r="AH15" s="474"/>
      <c r="AI15" s="474"/>
      <c r="AJ15" s="474"/>
      <c r="AK15" s="399"/>
      <c r="AL15" s="471"/>
    </row>
    <row r="16" spans="1:38" s="462" customFormat="1" ht="19.5" customHeight="1">
      <c r="A16" s="403" t="s">
        <v>1081</v>
      </c>
      <c r="B16" s="465"/>
      <c r="C16" s="465"/>
      <c r="D16" s="465"/>
      <c r="E16" s="465"/>
      <c r="F16" s="418"/>
      <c r="G16" s="465"/>
      <c r="H16" s="465"/>
      <c r="I16" s="399"/>
      <c r="J16" s="527"/>
      <c r="K16" s="844"/>
      <c r="L16" s="399"/>
      <c r="M16" s="470"/>
      <c r="N16" s="472"/>
      <c r="O16" s="472"/>
      <c r="P16" s="472"/>
      <c r="Q16" s="472"/>
      <c r="R16" s="865" t="s">
        <v>1561</v>
      </c>
      <c r="S16" s="472"/>
      <c r="T16" s="465"/>
      <c r="U16" s="465"/>
      <c r="V16" s="845"/>
      <c r="W16" s="470" t="s">
        <v>1562</v>
      </c>
      <c r="X16" s="465"/>
      <c r="Y16" s="402"/>
      <c r="Z16" s="399"/>
      <c r="AA16" s="399"/>
      <c r="AB16" s="470" t="s">
        <v>1554</v>
      </c>
      <c r="AC16" s="399"/>
      <c r="AD16" s="441" t="str">
        <f>MID('Input data'!$B$18,1,1)</f>
        <v>0</v>
      </c>
      <c r="AE16" s="441" t="str">
        <f>MID('Input data'!$B$18,2,1)</f>
        <v>4</v>
      </c>
      <c r="AF16" s="441"/>
      <c r="AG16" s="441" t="str">
        <f>MID('Input data'!$B$19,1,1)</f>
        <v>2</v>
      </c>
      <c r="AH16" s="441" t="str">
        <f>MID('Input data'!$B$19,2,1)</f>
        <v>0</v>
      </c>
      <c r="AI16" s="441" t="str">
        <f>MID('Input data'!$B$19,3,1)</f>
        <v>1</v>
      </c>
      <c r="AJ16" s="441" t="str">
        <f>MID('Input data'!$B$19,4,1)</f>
        <v>7</v>
      </c>
      <c r="AK16" s="399"/>
      <c r="AL16" s="471"/>
    </row>
    <row r="17" spans="1:39" s="462" customFormat="1" ht="19.5" customHeight="1" thickBot="1">
      <c r="A17" s="469" t="str">
        <f>'SK Cover sheet'!A15</f>
        <v>2</v>
      </c>
      <c r="B17" s="394" t="str">
        <f>'SK Cover sheet'!B15</f>
        <v>7</v>
      </c>
      <c r="C17" s="467" t="s">
        <v>1063</v>
      </c>
      <c r="D17" s="394" t="str">
        <f>'SK Cover sheet'!D15</f>
        <v>3</v>
      </c>
      <c r="E17" s="394" t="str">
        <f>'SK Cover sheet'!E15</f>
        <v>1</v>
      </c>
      <c r="F17" s="467" t="s">
        <v>1063</v>
      </c>
      <c r="G17" s="394" t="str">
        <f>'SK Cover sheet'!G15</f>
        <v>0</v>
      </c>
      <c r="H17" s="394"/>
      <c r="I17" s="394"/>
      <c r="J17" s="847"/>
      <c r="K17" s="848"/>
      <c r="L17" s="394"/>
      <c r="M17" s="394"/>
      <c r="N17" s="394"/>
      <c r="O17" s="394"/>
      <c r="P17" s="394"/>
      <c r="Q17" s="394"/>
      <c r="R17" s="394"/>
      <c r="S17" s="394"/>
      <c r="T17" s="467"/>
      <c r="U17" s="467"/>
      <c r="V17" s="849"/>
      <c r="W17" s="466"/>
      <c r="X17" s="467"/>
      <c r="Y17" s="395"/>
      <c r="Z17" s="394"/>
      <c r="AA17" s="394"/>
      <c r="AB17" s="466" t="s">
        <v>1558</v>
      </c>
      <c r="AC17" s="394"/>
      <c r="AD17" s="439" t="str">
        <f>MID('Input data'!$B$21,1,1)</f>
        <v>0</v>
      </c>
      <c r="AE17" s="439" t="str">
        <f>MID('Input data'!$B$21,2,1)</f>
        <v>3</v>
      </c>
      <c r="AF17" s="439"/>
      <c r="AG17" s="439" t="str">
        <f>MID('Input data'!$B$22,1,1)</f>
        <v>2</v>
      </c>
      <c r="AH17" s="439" t="str">
        <f>MID('Input data'!$B$22,2,1)</f>
        <v>0</v>
      </c>
      <c r="AI17" s="439" t="str">
        <f>MID('Input data'!$B$22,3,1)</f>
        <v>1</v>
      </c>
      <c r="AJ17" s="439" t="str">
        <f>MID('Input data'!$B$22,4,1)</f>
        <v>8</v>
      </c>
      <c r="AK17" s="394"/>
      <c r="AL17" s="468"/>
    </row>
    <row r="18" spans="1:39" s="462" customFormat="1" ht="4.5" customHeight="1">
      <c r="A18" s="465"/>
      <c r="B18" s="465"/>
      <c r="C18" s="465"/>
      <c r="D18" s="465"/>
      <c r="E18" s="465"/>
      <c r="F18" s="465"/>
      <c r="G18" s="465"/>
      <c r="H18" s="399"/>
      <c r="I18" s="399"/>
      <c r="J18" s="399"/>
      <c r="K18" s="399"/>
      <c r="L18" s="399"/>
      <c r="M18" s="399"/>
      <c r="N18" s="399"/>
      <c r="O18" s="399"/>
      <c r="P18" s="399"/>
      <c r="Q18" s="399"/>
      <c r="R18" s="399"/>
      <c r="S18" s="399"/>
      <c r="T18" s="465"/>
      <c r="U18" s="465"/>
      <c r="V18" s="399"/>
      <c r="W18" s="399"/>
      <c r="X18" s="399"/>
      <c r="Y18" s="399"/>
      <c r="Z18" s="399"/>
      <c r="AA18" s="399"/>
      <c r="AB18" s="399"/>
      <c r="AC18" s="399"/>
      <c r="AD18" s="399"/>
      <c r="AE18" s="399"/>
      <c r="AF18" s="399"/>
      <c r="AG18" s="399"/>
      <c r="AH18" s="399"/>
      <c r="AI18" s="399"/>
      <c r="AJ18" s="399"/>
      <c r="AK18" s="399"/>
      <c r="AL18" s="465"/>
      <c r="AM18" s="465"/>
    </row>
    <row r="19" spans="1:39" s="462" customFormat="1" ht="3" customHeight="1" thickBot="1">
      <c r="A19" s="866"/>
      <c r="B19" s="465"/>
      <c r="C19" s="465"/>
      <c r="D19" s="465"/>
      <c r="E19" s="465"/>
      <c r="F19" s="465"/>
      <c r="G19" s="465"/>
      <c r="H19" s="399"/>
      <c r="I19" s="399"/>
      <c r="J19" s="399"/>
      <c r="K19" s="399"/>
      <c r="L19" s="399"/>
      <c r="M19" s="399"/>
      <c r="N19" s="399"/>
      <c r="O19" s="399"/>
      <c r="P19" s="399"/>
      <c r="Q19" s="399"/>
      <c r="R19" s="399"/>
      <c r="S19" s="399"/>
      <c r="T19" s="465"/>
      <c r="U19" s="465"/>
      <c r="V19" s="465"/>
      <c r="W19" s="399"/>
      <c r="X19" s="399"/>
      <c r="Y19" s="399"/>
      <c r="Z19" s="399"/>
      <c r="AA19" s="399"/>
      <c r="AB19" s="399"/>
      <c r="AC19" s="399"/>
      <c r="AD19" s="399"/>
      <c r="AE19" s="399"/>
      <c r="AF19" s="399"/>
      <c r="AG19" s="399"/>
      <c r="AH19" s="399"/>
      <c r="AI19" s="399"/>
      <c r="AJ19" s="399"/>
      <c r="AK19" s="399"/>
      <c r="AL19" s="465"/>
      <c r="AM19" s="465"/>
    </row>
    <row r="20" spans="1:39" s="462" customFormat="1" ht="15.5">
      <c r="A20" s="464" t="s">
        <v>1563</v>
      </c>
      <c r="B20" s="463"/>
      <c r="C20" s="463"/>
      <c r="D20" s="463"/>
      <c r="E20" s="463"/>
      <c r="F20" s="463"/>
      <c r="G20" s="463"/>
      <c r="H20" s="407"/>
      <c r="I20" s="407"/>
      <c r="J20" s="407"/>
      <c r="K20" s="407"/>
      <c r="L20" s="407"/>
      <c r="M20" s="407"/>
      <c r="N20" s="407"/>
      <c r="O20" s="407"/>
      <c r="P20" s="407"/>
      <c r="Q20" s="407"/>
      <c r="R20" s="407"/>
      <c r="S20" s="407"/>
      <c r="T20" s="463"/>
      <c r="U20" s="463"/>
      <c r="V20" s="463"/>
      <c r="W20" s="407"/>
      <c r="X20" s="407"/>
      <c r="Y20" s="407"/>
      <c r="Z20" s="407"/>
      <c r="AA20" s="407"/>
      <c r="AB20" s="407"/>
      <c r="AC20" s="407"/>
      <c r="AD20" s="407"/>
      <c r="AE20" s="407"/>
      <c r="AF20" s="407"/>
      <c r="AG20" s="407"/>
      <c r="AH20" s="407"/>
      <c r="AI20" s="407"/>
      <c r="AJ20" s="407"/>
      <c r="AK20" s="407"/>
      <c r="AL20" s="479"/>
    </row>
    <row r="21" spans="1:39" s="462" customFormat="1" ht="19.5" customHeight="1">
      <c r="A21" s="449" t="str">
        <f>+LEFT('Input data'!$F$3,1)</f>
        <v>F</v>
      </c>
      <c r="B21" s="441" t="str">
        <f>+MID('Input data'!$F$3,2,1)</f>
        <v>o</v>
      </c>
      <c r="C21" s="441" t="str">
        <f>+MID('Input data'!$F$3,3,1)</f>
        <v>s</v>
      </c>
      <c r="D21" s="441" t="str">
        <f>+MID('Input data'!$F$3,4,1)</f>
        <v>s</v>
      </c>
      <c r="E21" s="441" t="str">
        <f>+MID('Input data'!$F$3,5,1)</f>
        <v xml:space="preserve"> </v>
      </c>
      <c r="F21" s="441" t="str">
        <f>+MID('Input data'!$F$3,6,1)</f>
        <v>F</v>
      </c>
      <c r="G21" s="441" t="str">
        <f>+MID('Input data'!$F$3,7,1)</f>
        <v>i</v>
      </c>
      <c r="H21" s="441" t="str">
        <f>+MID('Input data'!$F$3,8,1)</f>
        <v>b</v>
      </c>
      <c r="I21" s="441" t="str">
        <f>+MID('Input data'!$F$3,9,1)</f>
        <v>r</v>
      </c>
      <c r="J21" s="441" t="str">
        <f>+MID('Input data'!$F$3,10,1)</f>
        <v>e</v>
      </c>
      <c r="K21" s="441" t="str">
        <f>+MID('Input data'!$F$3,11,1)</f>
        <v xml:space="preserve"> </v>
      </c>
      <c r="L21" s="441" t="str">
        <f>+MID('Input data'!$F$3,12,1)</f>
        <v>O</v>
      </c>
      <c r="M21" s="441" t="str">
        <f>+MID('Input data'!$F$3,13,1)</f>
        <v>p</v>
      </c>
      <c r="N21" s="441" t="str">
        <f>+MID('Input data'!$F$3,14,1)</f>
        <v>t</v>
      </c>
      <c r="O21" s="441" t="str">
        <f>+MID('Input data'!$F$3,15,1)</f>
        <v>i</v>
      </c>
      <c r="P21" s="441" t="str">
        <f>+MID('Input data'!$F$3,16,1)</f>
        <v>c</v>
      </c>
      <c r="Q21" s="441" t="str">
        <f>+MID('Input data'!$F$3,17,1)</f>
        <v>s</v>
      </c>
      <c r="R21" s="441" t="str">
        <f>+MID('Input data'!$F$3,18,1)</f>
        <v>,</v>
      </c>
      <c r="S21" s="441" t="str">
        <f>+MID('Input data'!$F$3,19,1)</f>
        <v xml:space="preserve"> </v>
      </c>
      <c r="T21" s="441" t="str">
        <f>+MID('Input data'!$F$3,20,1)</f>
        <v>s</v>
      </c>
      <c r="U21" s="441" t="str">
        <f>+MID('Input data'!$F$3,21,1)</f>
        <v>.</v>
      </c>
      <c r="V21" s="441" t="str">
        <f>+MID('Input data'!$F$3,22,1)</f>
        <v>r</v>
      </c>
      <c r="W21" s="441" t="str">
        <f>+MID('Input data'!$F$3,23,1)</f>
        <v>.</v>
      </c>
      <c r="X21" s="441" t="str">
        <f>+MID('Input data'!$F$3,24,1)</f>
        <v>o</v>
      </c>
      <c r="Y21" s="441" t="str">
        <f>+MID('Input data'!$F$3,25,1)</f>
        <v>.</v>
      </c>
      <c r="Z21" s="441" t="str">
        <f>+MID('Input data'!$F$3,26,1)</f>
        <v xml:space="preserve"> </v>
      </c>
      <c r="AA21" s="441" t="str">
        <f>+MID('Input data'!$F$3,27,1)</f>
        <v xml:space="preserve">
</v>
      </c>
      <c r="AB21" s="441" t="str">
        <f>+MID('Input data'!$F$3,28,1)</f>
        <v/>
      </c>
      <c r="AC21" s="441" t="str">
        <f>+MID('Input data'!$F$3,29,1)</f>
        <v/>
      </c>
      <c r="AD21" s="441" t="str">
        <f>+MID('Input data'!$F$3,30,1)</f>
        <v/>
      </c>
      <c r="AE21" s="441" t="str">
        <f>+MID('Input data'!$F$3,31,1)</f>
        <v/>
      </c>
      <c r="AF21" s="441" t="str">
        <f>+MID('Input data'!$F$3,32,1)</f>
        <v/>
      </c>
      <c r="AG21" s="441" t="str">
        <f>+MID('Input data'!$F$3,33,1)</f>
        <v/>
      </c>
      <c r="AH21" s="441" t="str">
        <f>+MID('Input data'!$F$3,34,1)</f>
        <v/>
      </c>
      <c r="AI21" s="441" t="str">
        <f>+MID('Input data'!$F$3,35,1)</f>
        <v/>
      </c>
      <c r="AJ21" s="441" t="str">
        <f>+MID('Input data'!$F$3,36,1)</f>
        <v/>
      </c>
      <c r="AK21" s="448" t="str">
        <f>+MID('Input data'!$F$3,37,1)</f>
        <v/>
      </c>
      <c r="AL21" s="471"/>
    </row>
    <row r="22" spans="1:39" ht="19.5" customHeight="1">
      <c r="A22" s="449" t="str">
        <f>+MID('Input data'!$F$3,38,1)</f>
        <v/>
      </c>
      <c r="B22" s="441" t="str">
        <f>+MID('Input data'!$F$3,39,1)</f>
        <v/>
      </c>
      <c r="C22" s="441" t="str">
        <f>+MID('Input data'!$F$3,40,1)</f>
        <v/>
      </c>
      <c r="D22" s="441" t="str">
        <f>+MID('Input data'!$F$3,41,1)</f>
        <v/>
      </c>
      <c r="E22" s="441" t="str">
        <f>+MID('Input data'!$F$3,42,1)</f>
        <v/>
      </c>
      <c r="F22" s="441" t="str">
        <f>+MID('Input data'!$F$3,43,1)</f>
        <v/>
      </c>
      <c r="G22" s="441" t="str">
        <f>+MID('Input data'!$F$3,44,1)</f>
        <v/>
      </c>
      <c r="H22" s="441" t="str">
        <f>+MID('Input data'!$F$3,45,1)</f>
        <v/>
      </c>
      <c r="I22" s="441" t="str">
        <f>+MID('Input data'!$F$3,46,1)</f>
        <v/>
      </c>
      <c r="J22" s="441" t="str">
        <f>+MID('Input data'!$F$3,47,1)</f>
        <v/>
      </c>
      <c r="K22" s="441" t="str">
        <f>+MID('Input data'!$F$3,48,1)</f>
        <v/>
      </c>
      <c r="L22" s="441" t="str">
        <f>+MID('Input data'!$F$3,49,1)</f>
        <v/>
      </c>
      <c r="M22" s="441" t="str">
        <f>+MID('Input data'!$F$3,50,1)</f>
        <v/>
      </c>
      <c r="N22" s="441" t="str">
        <f>+MID('Input data'!$F$3,51,1)</f>
        <v/>
      </c>
      <c r="O22" s="441" t="str">
        <f>+MID('Input data'!$F$3,52,1)</f>
        <v/>
      </c>
      <c r="P22" s="441" t="str">
        <f>+MID('Input data'!$F$3,53,1)</f>
        <v/>
      </c>
      <c r="Q22" s="441" t="str">
        <f>+MID('Input data'!$F$3,54,1)</f>
        <v/>
      </c>
      <c r="R22" s="441" t="str">
        <f>+MID('Input data'!$F$3,55,1)</f>
        <v/>
      </c>
      <c r="S22" s="441" t="str">
        <f>+MID('Input data'!$F$3,56,1)</f>
        <v/>
      </c>
      <c r="T22" s="441" t="str">
        <f>+MID('Input data'!$F$3,57,1)</f>
        <v/>
      </c>
      <c r="U22" s="441" t="str">
        <f>+MID('Input data'!$F$3,58,1)</f>
        <v/>
      </c>
      <c r="V22" s="441" t="str">
        <f>+MID('Input data'!$F$3,59,1)</f>
        <v/>
      </c>
      <c r="W22" s="441" t="str">
        <f>+MID('Input data'!$F$3,60,1)</f>
        <v/>
      </c>
      <c r="X22" s="441" t="str">
        <f>+MID('Input data'!$F$3,61,1)</f>
        <v/>
      </c>
      <c r="Y22" s="441" t="str">
        <f>+MID('Input data'!$F$3,62,1)</f>
        <v/>
      </c>
      <c r="Z22" s="441" t="str">
        <f>+MID('Input data'!$F$3,63,1)</f>
        <v/>
      </c>
      <c r="AA22" s="441" t="str">
        <f>+MID('Input data'!$F$3,64,1)</f>
        <v/>
      </c>
      <c r="AB22" s="441" t="str">
        <f>+MID('Input data'!$F$3,65,1)</f>
        <v/>
      </c>
      <c r="AC22" s="441" t="str">
        <f>+MID('Input data'!$F$3,66,1)</f>
        <v/>
      </c>
      <c r="AD22" s="441" t="str">
        <f>+MID('Input data'!$F$3,67,1)</f>
        <v/>
      </c>
      <c r="AE22" s="441" t="str">
        <f>+MID('Input data'!$F$3,68,1)</f>
        <v/>
      </c>
      <c r="AF22" s="441" t="str">
        <f>+MID('Input data'!$F$3,69,1)</f>
        <v/>
      </c>
      <c r="AG22" s="441" t="str">
        <f>+MID('Input data'!$F$3,70,1)</f>
        <v/>
      </c>
      <c r="AH22" s="441" t="str">
        <f>+MID('Input data'!$F$3,71,1)</f>
        <v/>
      </c>
      <c r="AI22" s="441" t="str">
        <f>+MID('Input data'!$F$3,72,1)</f>
        <v/>
      </c>
      <c r="AJ22" s="441" t="str">
        <f>+MID('Input data'!$F$3,73,1)</f>
        <v/>
      </c>
      <c r="AK22" s="448" t="str">
        <f>+MID('Input data'!$F$3,74,1)</f>
        <v/>
      </c>
      <c r="AL22" s="867"/>
    </row>
    <row r="23" spans="1:39" s="450" customFormat="1" ht="14.25" customHeight="1">
      <c r="A23" s="868" t="s">
        <v>1564</v>
      </c>
      <c r="B23" s="869"/>
      <c r="C23" s="869"/>
      <c r="D23" s="869"/>
      <c r="E23" s="869"/>
      <c r="F23" s="869"/>
      <c r="G23" s="869"/>
      <c r="H23" s="869"/>
      <c r="I23" s="869"/>
      <c r="J23" s="869"/>
      <c r="K23" s="869"/>
      <c r="L23" s="869"/>
      <c r="M23" s="869"/>
      <c r="N23" s="869"/>
      <c r="O23" s="869"/>
      <c r="P23" s="869"/>
      <c r="Q23" s="869"/>
      <c r="R23" s="869"/>
      <c r="S23" s="869"/>
      <c r="T23" s="869"/>
      <c r="U23" s="869"/>
      <c r="V23" s="869"/>
      <c r="W23" s="459"/>
      <c r="X23" s="459"/>
      <c r="Y23" s="459"/>
      <c r="Z23" s="459"/>
      <c r="AA23" s="459"/>
      <c r="AB23" s="459"/>
      <c r="AC23" s="459"/>
      <c r="AD23" s="459"/>
      <c r="AE23" s="459"/>
      <c r="AF23" s="459"/>
      <c r="AG23" s="459"/>
      <c r="AH23" s="459"/>
      <c r="AI23" s="459"/>
      <c r="AJ23" s="459"/>
      <c r="AK23" s="459"/>
      <c r="AL23" s="870"/>
    </row>
    <row r="24" spans="1:39" ht="13">
      <c r="A24" s="446" t="s">
        <v>1565</v>
      </c>
      <c r="B24" s="823"/>
      <c r="C24" s="823"/>
      <c r="D24" s="823"/>
      <c r="E24" s="823"/>
      <c r="F24" s="823"/>
      <c r="G24" s="823"/>
      <c r="H24" s="823"/>
      <c r="I24" s="823"/>
      <c r="J24" s="823"/>
      <c r="K24" s="823"/>
      <c r="L24" s="823"/>
      <c r="M24" s="823"/>
      <c r="N24" s="823"/>
      <c r="O24" s="823"/>
      <c r="P24" s="823"/>
      <c r="Q24" s="823"/>
      <c r="R24" s="823"/>
      <c r="S24" s="823"/>
      <c r="T24" s="823"/>
      <c r="U24" s="823"/>
      <c r="V24" s="823"/>
      <c r="W24" s="399"/>
      <c r="X24" s="399"/>
      <c r="Y24" s="399"/>
      <c r="Z24" s="399"/>
      <c r="AA24" s="399"/>
      <c r="AB24" s="823"/>
      <c r="AC24" s="399"/>
      <c r="AD24" s="402" t="s">
        <v>1566</v>
      </c>
      <c r="AE24" s="399"/>
      <c r="AF24" s="399"/>
      <c r="AG24" s="399"/>
      <c r="AH24" s="399"/>
      <c r="AI24" s="399"/>
      <c r="AJ24" s="399"/>
      <c r="AK24" s="399"/>
      <c r="AL24" s="871"/>
    </row>
    <row r="25" spans="1:39" ht="19.5" customHeight="1">
      <c r="A25" s="449" t="str">
        <f>+LEFT('Input data'!$C$28,1)</f>
        <v>O</v>
      </c>
      <c r="B25" s="441" t="str">
        <f>+MID('Input data'!$C$28,2,1)</f>
        <v>d</v>
      </c>
      <c r="C25" s="441" t="str">
        <f>+MID('Input data'!$C$28,3,1)</f>
        <v>b</v>
      </c>
      <c r="D25" s="441" t="str">
        <f>+MID('Input data'!$C$28,4,1)</f>
        <v>o</v>
      </c>
      <c r="E25" s="441" t="str">
        <f>+MID('Input data'!$C$28,5,1)</f>
        <v>r</v>
      </c>
      <c r="F25" s="441" t="str">
        <f>+MID('Input data'!$C$28,6,1)</f>
        <v>á</v>
      </c>
      <c r="G25" s="441" t="str">
        <f>+MID('Input data'!$C$28,7,1)</f>
        <v>r</v>
      </c>
      <c r="H25" s="441" t="str">
        <f>+MID('Input data'!$C$28,8,1)</f>
        <v>s</v>
      </c>
      <c r="I25" s="441" t="str">
        <f>+MID('Input data'!$C$28,9,1)</f>
        <v>k</v>
      </c>
      <c r="J25" s="441" t="str">
        <f>+MID('Input data'!$C$28,10,1)</f>
        <v>a</v>
      </c>
      <c r="K25" s="441" t="str">
        <f>+MID('Input data'!$C$28,11,1)</f>
        <v/>
      </c>
      <c r="L25" s="441" t="str">
        <f>+MID('Input data'!$C$28,12,1)</f>
        <v/>
      </c>
      <c r="M25" s="441" t="str">
        <f>+MID('Input data'!$C$28,13,1)</f>
        <v/>
      </c>
      <c r="N25" s="441" t="str">
        <f>+MID('Input data'!$C$28,14,1)</f>
        <v/>
      </c>
      <c r="O25" s="441" t="str">
        <f>+MID('Input data'!$C$28,15,1)</f>
        <v/>
      </c>
      <c r="P25" s="441" t="str">
        <f>+MID('Input data'!$C$28,16,1)</f>
        <v/>
      </c>
      <c r="Q25" s="441" t="str">
        <f>+MID('Input data'!$C$28,17,1)</f>
        <v/>
      </c>
      <c r="R25" s="441" t="str">
        <f>+MID('Input data'!$C$28,18,1)</f>
        <v/>
      </c>
      <c r="S25" s="441" t="str">
        <f>+MID('Input data'!$C$28,19,1)</f>
        <v/>
      </c>
      <c r="T25" s="441" t="str">
        <f>+MID('Input data'!$C$28,20,1)</f>
        <v/>
      </c>
      <c r="U25" s="441" t="str">
        <f>+MID('Input data'!$C$28,21,1)</f>
        <v/>
      </c>
      <c r="V25" s="441" t="str">
        <f>+MID('Input data'!$C$28,22,1)</f>
        <v/>
      </c>
      <c r="W25" s="441" t="str">
        <f>+MID('Input data'!$C$28,23,1)</f>
        <v/>
      </c>
      <c r="X25" s="441" t="str">
        <f>+MID('Input data'!$C$28,24,1)</f>
        <v/>
      </c>
      <c r="Y25" s="441" t="str">
        <f>+MID('Input data'!$C$28,25,1)</f>
        <v/>
      </c>
      <c r="Z25" s="441" t="str">
        <f>+MID('Input data'!$C$28,26,1)</f>
        <v/>
      </c>
      <c r="AA25" s="441" t="str">
        <f>+MID('Input data'!$C$28,27,1)</f>
        <v/>
      </c>
      <c r="AB25" s="441" t="str">
        <f>+MID('Input data'!$C$28,28,1)</f>
        <v/>
      </c>
      <c r="AC25" s="443"/>
      <c r="AD25" s="441" t="str">
        <f>+LEFT('Input data'!$C$30,1)</f>
        <v>5</v>
      </c>
      <c r="AE25" s="441" t="str">
        <f>+MID('Input data'!$C$30,2,1)</f>
        <v>2</v>
      </c>
      <c r="AF25" s="441" t="str">
        <f>+MID('Input data'!$C$30,3,1)</f>
        <v/>
      </c>
      <c r="AG25" s="441" t="str">
        <f>+MID('Input data'!$C$30,4,1)</f>
        <v/>
      </c>
      <c r="AH25" s="441" t="str">
        <f>+MID('Input data'!$C$30,5,1)</f>
        <v/>
      </c>
      <c r="AI25" s="441" t="str">
        <f>+MID('Input data'!$C$30,6,1)</f>
        <v/>
      </c>
      <c r="AJ25" s="441" t="str">
        <f>+MID('Input data'!$C$30,7,1)</f>
        <v/>
      </c>
      <c r="AK25" s="441" t="str">
        <f>+MID('Input data'!$C$30,8,1)</f>
        <v/>
      </c>
      <c r="AL25" s="867"/>
    </row>
    <row r="26" spans="1:39" ht="13">
      <c r="A26" s="446" t="s">
        <v>1567</v>
      </c>
      <c r="B26" s="823"/>
      <c r="C26" s="823"/>
      <c r="D26" s="823"/>
      <c r="E26" s="823"/>
      <c r="F26" s="823"/>
      <c r="G26" s="445" t="s">
        <v>1568</v>
      </c>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399"/>
      <c r="AF26" s="399"/>
      <c r="AG26" s="399"/>
      <c r="AH26" s="399"/>
      <c r="AI26" s="399"/>
      <c r="AJ26" s="399"/>
      <c r="AK26" s="399"/>
      <c r="AL26" s="871"/>
    </row>
    <row r="27" spans="1:39" s="447" customFormat="1" ht="19.5" customHeight="1">
      <c r="A27" s="449" t="str">
        <f>+LEFT('Input data'!$C$32,1)</f>
        <v>8</v>
      </c>
      <c r="B27" s="441" t="str">
        <f>+MID('Input data'!$C$32,2,1)</f>
        <v>3</v>
      </c>
      <c r="C27" s="441" t="str">
        <f>+MID('Input data'!$C$32,3,1)</f>
        <v>1</v>
      </c>
      <c r="D27" s="441" t="str">
        <f>+MID('Input data'!$C$32,4,1)</f>
        <v xml:space="preserve"> </v>
      </c>
      <c r="E27" s="441" t="str">
        <f>+MID('Input data'!$C$32,5,1)</f>
        <v>0</v>
      </c>
      <c r="F27" s="441"/>
      <c r="G27" s="441" t="str">
        <f>+LEFT('Input data'!$C$34,1)</f>
        <v>B</v>
      </c>
      <c r="H27" s="441" t="str">
        <f>+MID('Input data'!$C$34,2,1)</f>
        <v>r</v>
      </c>
      <c r="I27" s="441" t="str">
        <f>+MID('Input data'!$C$34,3,1)</f>
        <v>a</v>
      </c>
      <c r="J27" s="441" t="str">
        <f>+MID('Input data'!$C$34,4,1)</f>
        <v>t</v>
      </c>
      <c r="K27" s="441" t="str">
        <f>+MID('Input data'!$C$34,5,1)</f>
        <v>i</v>
      </c>
      <c r="L27" s="441" t="str">
        <f>+MID('Input data'!$C$34,6,1)</f>
        <v>s</v>
      </c>
      <c r="M27" s="441" t="str">
        <f>+MID('Input data'!$C$34,7,1)</f>
        <v>l</v>
      </c>
      <c r="N27" s="441" t="str">
        <f>+MID('Input data'!$C$34,8,1)</f>
        <v>a</v>
      </c>
      <c r="O27" s="441" t="str">
        <f>+MID('Input data'!$C$34,9,1)</f>
        <v>v</v>
      </c>
      <c r="P27" s="441" t="str">
        <f>+MID('Input data'!$C$34,10,1)</f>
        <v>a</v>
      </c>
      <c r="Q27" s="441" t="str">
        <f>+MID('Input data'!$C$34,11,1)</f>
        <v xml:space="preserve"> </v>
      </c>
      <c r="R27" s="441" t="str">
        <f>+MID('Input data'!$C$34,12,1)</f>
        <v/>
      </c>
      <c r="S27" s="441" t="str">
        <f>+MID('Input data'!$C$34,13,1)</f>
        <v/>
      </c>
      <c r="T27" s="441" t="str">
        <f>+MID('Input data'!$C$34,14,1)</f>
        <v/>
      </c>
      <c r="U27" s="441" t="str">
        <f>+MID('Input data'!$C$34,15,1)</f>
        <v/>
      </c>
      <c r="V27" s="441" t="str">
        <f>+MID('Input data'!$C$34,16,1)</f>
        <v/>
      </c>
      <c r="W27" s="441" t="str">
        <f>+MID('Input data'!$C$34,17,1)</f>
        <v/>
      </c>
      <c r="X27" s="441" t="str">
        <f>+MID('Input data'!$C$34,18,1)</f>
        <v/>
      </c>
      <c r="Y27" s="441" t="str">
        <f>+MID('Input data'!$C$34,19,1)</f>
        <v/>
      </c>
      <c r="Z27" s="441" t="str">
        <f>+MID('Input data'!$C$34,20,1)</f>
        <v/>
      </c>
      <c r="AA27" s="441" t="str">
        <f>+MID('Input data'!$C$34,21,1)</f>
        <v/>
      </c>
      <c r="AB27" s="441" t="str">
        <f>+MID('Input data'!$C$34,22,1)</f>
        <v/>
      </c>
      <c r="AC27" s="441" t="str">
        <f>+MID('Input data'!$C$34,23,1)</f>
        <v/>
      </c>
      <c r="AD27" s="441" t="str">
        <f>+MID('Input data'!$C$34,24,1)</f>
        <v/>
      </c>
      <c r="AE27" s="441" t="str">
        <f>+MID('Input data'!$C$34,25,1)</f>
        <v/>
      </c>
      <c r="AF27" s="441" t="str">
        <f>+MID('Input data'!$C$34,26,1)</f>
        <v/>
      </c>
      <c r="AG27" s="441" t="str">
        <f>+MID('Input data'!$C$34,27,1)</f>
        <v/>
      </c>
      <c r="AH27" s="441" t="str">
        <f>+MID('Input data'!$C$34,28,1)</f>
        <v/>
      </c>
      <c r="AI27" s="441" t="str">
        <f>+MID('Input data'!$C$34,29,1)</f>
        <v/>
      </c>
      <c r="AJ27" s="441" t="str">
        <f>+MID('Input data'!$C$34,30,1)</f>
        <v/>
      </c>
      <c r="AK27" s="441" t="str">
        <f>+MID('Input data'!$C$34,31,1)</f>
        <v/>
      </c>
      <c r="AL27" s="867"/>
    </row>
    <row r="28" spans="1:39" ht="13">
      <c r="A28" s="446" t="s">
        <v>1569</v>
      </c>
      <c r="B28" s="823"/>
      <c r="C28" s="823"/>
      <c r="D28" s="823"/>
      <c r="E28" s="823"/>
      <c r="F28" s="823"/>
      <c r="G28" s="445"/>
      <c r="H28" s="445"/>
      <c r="I28" s="445"/>
      <c r="J28" s="445"/>
      <c r="K28" s="445"/>
      <c r="L28" s="445"/>
      <c r="M28" s="445"/>
      <c r="N28" s="823"/>
      <c r="O28" s="445" t="s">
        <v>1570</v>
      </c>
      <c r="P28" s="445"/>
      <c r="Q28" s="445"/>
      <c r="R28" s="445"/>
      <c r="S28" s="445"/>
      <c r="T28" s="445"/>
      <c r="U28" s="445"/>
      <c r="V28" s="445"/>
      <c r="W28" s="445"/>
      <c r="X28" s="445"/>
      <c r="Y28" s="445"/>
      <c r="Z28" s="445"/>
      <c r="AA28" s="445"/>
      <c r="AB28" s="445"/>
      <c r="AC28" s="445"/>
      <c r="AD28" s="445"/>
      <c r="AE28" s="399"/>
      <c r="AF28" s="399"/>
      <c r="AG28" s="399"/>
      <c r="AH28" s="399"/>
      <c r="AI28" s="399"/>
      <c r="AJ28" s="399"/>
      <c r="AK28" s="399"/>
      <c r="AL28" s="871"/>
    </row>
    <row r="29" spans="1:39" ht="19.5" customHeight="1">
      <c r="A29" s="444">
        <v>0</v>
      </c>
      <c r="B29" s="441" t="str">
        <f>+LEFT('Input data'!$C$36,1)</f>
        <v>2</v>
      </c>
      <c r="C29" s="441" t="str">
        <f>+MID('Input data'!$C$36,2,1)</f>
        <v/>
      </c>
      <c r="D29" s="441" t="str">
        <f>+MID('Input data'!$C$36,3,1)</f>
        <v/>
      </c>
      <c r="E29" s="441" t="s">
        <v>1092</v>
      </c>
      <c r="F29" s="441" t="str">
        <f>+LEFT('Input data'!$C$38,1)</f>
        <v>4</v>
      </c>
      <c r="G29" s="441" t="str">
        <f>+MID('Input data'!$C$38,2,1)</f>
        <v>8</v>
      </c>
      <c r="H29" s="441" t="str">
        <f>+MID('Input data'!$C$38,3,1)</f>
        <v>2</v>
      </c>
      <c r="I29" s="441" t="str">
        <f>+MID('Input data'!$C$38,4,1)</f>
        <v>0</v>
      </c>
      <c r="J29" s="441" t="str">
        <f>+MID('Input data'!$C$38,5,1)</f>
        <v>5</v>
      </c>
      <c r="K29" s="441" t="str">
        <f>+MID('Input data'!$C$38,6,1)</f>
        <v>2</v>
      </c>
      <c r="L29" s="441" t="str">
        <f>+MID('Input data'!$C$38,7,1)</f>
        <v>0</v>
      </c>
      <c r="M29" s="441" t="str">
        <f>+MID('Input data'!$C$38,8,1)</f>
        <v>0</v>
      </c>
      <c r="N29" s="443"/>
      <c r="O29" s="442">
        <v>0</v>
      </c>
      <c r="P29" s="441" t="str">
        <f>+LEFT('Input data'!$C$36,1)</f>
        <v>2</v>
      </c>
      <c r="Q29" s="441" t="str">
        <f>+MID('Input data'!$C$36,2,1)</f>
        <v/>
      </c>
      <c r="R29" s="441" t="str">
        <f>+MID('Input data'!$C$36,3,1)</f>
        <v/>
      </c>
      <c r="S29" s="441" t="s">
        <v>1092</v>
      </c>
      <c r="T29" s="441" t="str">
        <f>+LEFT('Input data'!$C$40,1)</f>
        <v/>
      </c>
      <c r="U29" s="441" t="str">
        <f>+MID('Input data'!$C$40,2,1)</f>
        <v/>
      </c>
      <c r="V29" s="441" t="str">
        <f>+MID('Input data'!$C$40,3,1)</f>
        <v/>
      </c>
      <c r="W29" s="441" t="str">
        <f>+MID('Input data'!$C$40,4,1)</f>
        <v/>
      </c>
      <c r="X29" s="441" t="str">
        <f>+MID('Input data'!$C$40,5,1)</f>
        <v/>
      </c>
      <c r="Y29" s="441" t="str">
        <f>+MID('Input data'!$C$40,6,1)</f>
        <v/>
      </c>
      <c r="Z29" s="441" t="str">
        <f>+MID('Input data'!$C$40,7,1)</f>
        <v/>
      </c>
      <c r="AA29" s="441" t="str">
        <f>+MID('Input data'!$C$40,8,1)</f>
        <v/>
      </c>
      <c r="AB29" s="441"/>
      <c r="AC29" s="441"/>
      <c r="AD29" s="441"/>
      <c r="AE29" s="399"/>
      <c r="AF29" s="399"/>
      <c r="AG29" s="399"/>
      <c r="AH29" s="399"/>
      <c r="AI29" s="399"/>
      <c r="AJ29" s="399"/>
      <c r="AK29" s="399"/>
      <c r="AL29" s="867"/>
    </row>
    <row r="30" spans="1:39" s="391" customFormat="1" ht="13">
      <c r="A30" s="403" t="s">
        <v>1571</v>
      </c>
      <c r="B30" s="402"/>
      <c r="C30" s="402"/>
      <c r="D30" s="402"/>
      <c r="E30" s="402"/>
      <c r="F30" s="402"/>
      <c r="G30" s="402"/>
      <c r="H30" s="402"/>
      <c r="I30" s="402"/>
      <c r="J30" s="402"/>
      <c r="K30" s="402"/>
      <c r="L30" s="402"/>
      <c r="M30" s="402"/>
      <c r="N30" s="402"/>
      <c r="O30" s="402"/>
      <c r="P30" s="402"/>
      <c r="Q30" s="402"/>
      <c r="R30" s="402"/>
      <c r="S30" s="402"/>
      <c r="T30" s="402"/>
      <c r="U30" s="402"/>
      <c r="V30" s="402"/>
      <c r="W30" s="399"/>
      <c r="X30" s="399"/>
      <c r="Y30" s="399"/>
      <c r="Z30" s="399"/>
      <c r="AA30" s="399"/>
      <c r="AB30" s="399"/>
      <c r="AC30" s="399"/>
      <c r="AD30" s="399"/>
      <c r="AE30" s="399"/>
      <c r="AF30" s="399"/>
      <c r="AG30" s="399"/>
      <c r="AH30" s="399"/>
      <c r="AI30" s="399"/>
      <c r="AJ30" s="399"/>
      <c r="AK30" s="399"/>
      <c r="AL30" s="486"/>
    </row>
    <row r="31" spans="1:39" ht="19.5" customHeight="1" thickBot="1">
      <c r="A31" s="440" t="str">
        <f>+LEFT('Input data'!$B$42,1)</f>
        <v>o</v>
      </c>
      <c r="B31" s="439" t="str">
        <f>+MID('Input data'!$B$42,2,1)</f>
        <v>f</v>
      </c>
      <c r="C31" s="439" t="str">
        <f>+MID('Input data'!$B$42,3,1)</f>
        <v>f</v>
      </c>
      <c r="D31" s="439" t="str">
        <f>+MID('Input data'!$B$42,4,1)</f>
        <v>i</v>
      </c>
      <c r="E31" s="439" t="str">
        <f>+MID('Input data'!$B$42,5,1)</f>
        <v>c</v>
      </c>
      <c r="F31" s="439" t="str">
        <f>+MID('Input data'!$B$42,6,1)</f>
        <v>e</v>
      </c>
      <c r="G31" s="439" t="str">
        <f>+MID('Input data'!$B$42,7,1)</f>
        <v>.</v>
      </c>
      <c r="H31" s="439" t="str">
        <f>+MID('Input data'!$B$42,8,1)</f>
        <v>s</v>
      </c>
      <c r="I31" s="439" t="str">
        <f>+MID('Input data'!$B$42,9,1)</f>
        <v>k</v>
      </c>
      <c r="J31" s="439" t="str">
        <f>+MID('Input data'!$B$42,10,1)</f>
        <v>@</v>
      </c>
      <c r="K31" s="439" t="str">
        <f>+MID('Input data'!$B$42,11,1)</f>
        <v>f</v>
      </c>
      <c r="L31" s="439" t="str">
        <f>+MID('Input data'!$B$42,12,1)</f>
        <v>o</v>
      </c>
      <c r="M31" s="439" t="str">
        <f>+MID('Input data'!$B$42,13,1)</f>
        <v>s</v>
      </c>
      <c r="N31" s="439" t="str">
        <f>+MID('Input data'!$B$42,14,1)</f>
        <v>s</v>
      </c>
      <c r="O31" s="439" t="str">
        <f>+MID('Input data'!$B$42,15,1)</f>
        <v>f</v>
      </c>
      <c r="P31" s="439" t="str">
        <f>+MID('Input data'!$B$42,16,1)</f>
        <v>i</v>
      </c>
      <c r="Q31" s="439" t="str">
        <f>+MID('Input data'!$B$42,17,1)</f>
        <v>b</v>
      </c>
      <c r="R31" s="439" t="str">
        <f>+MID('Input data'!$B$42,18,1)</f>
        <v>r</v>
      </c>
      <c r="S31" s="439" t="str">
        <f>+MID('Input data'!$B$42,19,1)</f>
        <v>e</v>
      </c>
      <c r="T31" s="439" t="str">
        <f>+MID('Input data'!$B$42,20,1)</f>
        <v>o</v>
      </c>
      <c r="U31" s="439" t="str">
        <f>+MID('Input data'!$B$42,21,1)</f>
        <v>p</v>
      </c>
      <c r="V31" s="439" t="str">
        <f>+MID('Input data'!$B$42,22,1)</f>
        <v>t</v>
      </c>
      <c r="W31" s="439" t="str">
        <f>+MID('Input data'!$B$42,23,1)</f>
        <v>i</v>
      </c>
      <c r="X31" s="439" t="str">
        <f>+MID('Input data'!$B$42,24,1)</f>
        <v>c</v>
      </c>
      <c r="Y31" s="439" t="str">
        <f>+MID('Input data'!$B$42,25,1)</f>
        <v>s</v>
      </c>
      <c r="Z31" s="439" t="str">
        <f>+MID('Input data'!$B$42,26,1)</f>
        <v>.</v>
      </c>
      <c r="AA31" s="439" t="str">
        <f>+MID('Input data'!$B$42,27,1)</f>
        <v>c</v>
      </c>
      <c r="AB31" s="439" t="str">
        <f>+MID('Input data'!$B$42,28,1)</f>
        <v>o</v>
      </c>
      <c r="AC31" s="439" t="str">
        <f>+MID('Input data'!$B$42,29,1)</f>
        <v>m</v>
      </c>
      <c r="AD31" s="439" t="str">
        <f>+MID('Input data'!$B$42,30,1)</f>
        <v/>
      </c>
      <c r="AE31" s="439" t="str">
        <f>+MID('Input data'!$B$42,31,1)</f>
        <v/>
      </c>
      <c r="AF31" s="439" t="str">
        <f>+MID('Input data'!$B$42,32,1)</f>
        <v/>
      </c>
      <c r="AG31" s="439" t="str">
        <f>+MID('Input data'!$B$42,33,1)</f>
        <v/>
      </c>
      <c r="AH31" s="439" t="str">
        <f>+MID('Input data'!$B$42,34,1)</f>
        <v/>
      </c>
      <c r="AI31" s="439" t="str">
        <f>+MID('Input data'!$B$42,35,1)</f>
        <v/>
      </c>
      <c r="AJ31" s="439" t="str">
        <f>+MID('Input data'!$B$42,36,1)</f>
        <v/>
      </c>
      <c r="AK31" s="439" t="str">
        <f>+MID('Input data'!$B$42,37,1)</f>
        <v/>
      </c>
      <c r="AL31" s="872"/>
    </row>
    <row r="32" spans="1:39" s="391" customFormat="1" ht="4.5" customHeight="1" thickBot="1">
      <c r="A32" s="402"/>
      <c r="B32" s="402"/>
      <c r="C32" s="402"/>
      <c r="D32" s="402"/>
      <c r="E32" s="402"/>
      <c r="F32" s="402"/>
      <c r="G32" s="402"/>
      <c r="H32" s="402"/>
      <c r="I32" s="402"/>
      <c r="J32" s="402"/>
      <c r="K32" s="402"/>
      <c r="L32" s="402"/>
      <c r="M32" s="402"/>
      <c r="N32" s="402"/>
      <c r="O32" s="402"/>
      <c r="P32" s="402"/>
      <c r="Q32" s="402"/>
      <c r="R32" s="402"/>
      <c r="S32" s="402"/>
      <c r="T32" s="402"/>
      <c r="U32" s="402"/>
      <c r="V32" s="402"/>
      <c r="W32" s="399"/>
      <c r="X32" s="399"/>
      <c r="Y32" s="399"/>
      <c r="Z32" s="399"/>
      <c r="AA32" s="399"/>
      <c r="AB32" s="399"/>
      <c r="AC32" s="399"/>
      <c r="AD32" s="399"/>
      <c r="AE32" s="399"/>
      <c r="AF32" s="399"/>
      <c r="AG32" s="399"/>
      <c r="AH32" s="399"/>
      <c r="AI32" s="399"/>
      <c r="AJ32" s="399"/>
      <c r="AK32" s="399"/>
      <c r="AL32" s="402"/>
      <c r="AM32" s="402"/>
    </row>
    <row r="33" spans="1:38" s="434" customFormat="1" ht="13" customHeight="1">
      <c r="A33" s="437" t="s">
        <v>1572</v>
      </c>
      <c r="B33" s="436"/>
      <c r="C33" s="436"/>
      <c r="D33" s="436"/>
      <c r="E33" s="436"/>
      <c r="F33" s="436"/>
      <c r="G33" s="436"/>
      <c r="H33" s="436"/>
      <c r="I33" s="436"/>
      <c r="J33" s="436"/>
      <c r="K33" s="830"/>
      <c r="L33" s="830"/>
      <c r="M33" s="2443" t="s">
        <v>1573</v>
      </c>
      <c r="N33" s="2444"/>
      <c r="O33" s="2444"/>
      <c r="P33" s="2444"/>
      <c r="Q33" s="2444"/>
      <c r="R33" s="2444"/>
      <c r="S33" s="2444"/>
      <c r="T33" s="2444"/>
      <c r="U33" s="2445"/>
      <c r="V33" s="2443" t="s">
        <v>1574</v>
      </c>
      <c r="W33" s="2444"/>
      <c r="X33" s="2444"/>
      <c r="Y33" s="2444"/>
      <c r="Z33" s="2444"/>
      <c r="AA33" s="2444"/>
      <c r="AB33" s="2444"/>
      <c r="AC33" s="2445"/>
      <c r="AD33" s="2443" t="s">
        <v>1575</v>
      </c>
      <c r="AE33" s="2444"/>
      <c r="AF33" s="2444"/>
      <c r="AG33" s="2444"/>
      <c r="AH33" s="2444"/>
      <c r="AI33" s="2444"/>
      <c r="AJ33" s="2444"/>
      <c r="AK33" s="2444"/>
      <c r="AL33" s="2449"/>
    </row>
    <row r="34" spans="1:38" s="391" customFormat="1" ht="19.5" customHeight="1">
      <c r="A34" s="420" t="str">
        <f>LEFT(TEXT('Input data'!F34,"dd.m.yyyy"),1)</f>
        <v>1</v>
      </c>
      <c r="B34" s="419" t="str">
        <f>MID(TEXT('Input data'!$F$34,"dd.mm.yyyy"),2,1)</f>
        <v>5</v>
      </c>
      <c r="C34" s="418" t="s">
        <v>1063</v>
      </c>
      <c r="D34" s="419" t="str">
        <f>MID(TEXT('Input data'!$F$34,"dd.mm.yyyy"),4,1)</f>
        <v>0</v>
      </c>
      <c r="E34" s="419" t="str">
        <f>MID(TEXT('Input data'!$F$34,"dd.mm.yyyy"),5,1)</f>
        <v>5</v>
      </c>
      <c r="F34" s="418" t="s">
        <v>1063</v>
      </c>
      <c r="G34" s="419" t="str">
        <f>MID(TEXT('Input data'!$F$34,"dd.mm.yyyy"),7,1)</f>
        <v>2</v>
      </c>
      <c r="H34" s="419" t="str">
        <f>MID(TEXT('Input data'!$F$34,"dd.mm.yyyy"),8,1)</f>
        <v>0</v>
      </c>
      <c r="I34" s="419" t="str">
        <f>MID(TEXT('Input data'!$F$34,"dd.mm.yyyy"),9,1)</f>
        <v>1</v>
      </c>
      <c r="J34" s="419" t="str">
        <f>MID(TEXT('Input data'!$F$34,"dd.mm.yyyy"),10,1)</f>
        <v>9</v>
      </c>
      <c r="K34" s="873"/>
      <c r="L34" s="426"/>
      <c r="M34" s="2446"/>
      <c r="N34" s="2447"/>
      <c r="O34" s="2447"/>
      <c r="P34" s="2447"/>
      <c r="Q34" s="2447"/>
      <c r="R34" s="2447"/>
      <c r="S34" s="2447"/>
      <c r="T34" s="2447"/>
      <c r="U34" s="2448"/>
      <c r="V34" s="2446"/>
      <c r="W34" s="2447"/>
      <c r="X34" s="2447"/>
      <c r="Y34" s="2447"/>
      <c r="Z34" s="2447"/>
      <c r="AA34" s="2447"/>
      <c r="AB34" s="2447"/>
      <c r="AC34" s="2448"/>
      <c r="AD34" s="2446"/>
      <c r="AE34" s="2447"/>
      <c r="AF34" s="2447"/>
      <c r="AG34" s="2447"/>
      <c r="AH34" s="2447"/>
      <c r="AI34" s="2447"/>
      <c r="AJ34" s="2447"/>
      <c r="AK34" s="2447"/>
      <c r="AL34" s="2450"/>
    </row>
    <row r="35" spans="1:38" s="391" customFormat="1" ht="13" customHeight="1">
      <c r="A35" s="432"/>
      <c r="B35" s="431"/>
      <c r="C35" s="431"/>
      <c r="D35" s="431"/>
      <c r="E35" s="431"/>
      <c r="F35" s="431"/>
      <c r="G35" s="431"/>
      <c r="H35" s="431"/>
      <c r="I35" s="431"/>
      <c r="J35" s="431"/>
      <c r="K35" s="832"/>
      <c r="L35" s="832"/>
      <c r="M35" s="2446"/>
      <c r="N35" s="2447"/>
      <c r="O35" s="2447"/>
      <c r="P35" s="2447"/>
      <c r="Q35" s="2447"/>
      <c r="R35" s="2447"/>
      <c r="S35" s="2447"/>
      <c r="T35" s="2447"/>
      <c r="U35" s="2448"/>
      <c r="V35" s="2446"/>
      <c r="W35" s="2447"/>
      <c r="X35" s="2447"/>
      <c r="Y35" s="2447"/>
      <c r="Z35" s="2447"/>
      <c r="AA35" s="2447"/>
      <c r="AB35" s="2447"/>
      <c r="AC35" s="2448"/>
      <c r="AD35" s="2446"/>
      <c r="AE35" s="2447"/>
      <c r="AF35" s="2447"/>
      <c r="AG35" s="2447"/>
      <c r="AH35" s="2447"/>
      <c r="AI35" s="2447"/>
      <c r="AJ35" s="2447"/>
      <c r="AK35" s="2447"/>
      <c r="AL35" s="2450"/>
    </row>
    <row r="36" spans="1:38" s="391" customFormat="1" ht="13">
      <c r="A36" s="403" t="s">
        <v>1576</v>
      </c>
      <c r="B36" s="402"/>
      <c r="C36" s="402"/>
      <c r="D36" s="402"/>
      <c r="E36" s="402"/>
      <c r="F36" s="402"/>
      <c r="G36" s="402"/>
      <c r="H36" s="402"/>
      <c r="I36" s="402"/>
      <c r="J36" s="402"/>
      <c r="K36" s="426"/>
      <c r="L36" s="833"/>
      <c r="M36" s="426"/>
      <c r="N36" s="426"/>
      <c r="O36" s="426"/>
      <c r="P36" s="426"/>
      <c r="Q36" s="426"/>
      <c r="R36" s="426"/>
      <c r="S36" s="426"/>
      <c r="T36" s="402"/>
      <c r="U36" s="424"/>
      <c r="V36" s="425"/>
      <c r="W36" s="425"/>
      <c r="X36" s="425"/>
      <c r="Y36" s="425"/>
      <c r="Z36" s="425"/>
      <c r="AA36" s="399"/>
      <c r="AB36" s="425"/>
      <c r="AC36" s="424"/>
      <c r="AD36" s="423"/>
      <c r="AE36" s="422"/>
      <c r="AF36" s="422"/>
      <c r="AG36" s="422"/>
      <c r="AH36" s="422"/>
      <c r="AI36" s="422"/>
      <c r="AJ36" s="422"/>
      <c r="AK36" s="422"/>
      <c r="AL36" s="421"/>
    </row>
    <row r="37" spans="1:38" s="391" customFormat="1" ht="19.5" customHeight="1">
      <c r="A37" s="420" t="str">
        <f>IF('Input data'!$F$36="","",LEFT(TEXT('Input data'!$F$36,"dd.mm.yyyy"),1))</f>
        <v/>
      </c>
      <c r="B37" s="419" t="str">
        <f>IF('Input data'!$F$36="","",MID(TEXT('Input data'!$F$36,"dd.mm.yyyy"),2,1))</f>
        <v/>
      </c>
      <c r="C37" s="418" t="s">
        <v>1063</v>
      </c>
      <c r="D37" s="419" t="str">
        <f>IF('Input data'!$F$36="","",MID(TEXT('Input data'!$F$36,"dd.mm.yyyy"),4,1))</f>
        <v/>
      </c>
      <c r="E37" s="419" t="str">
        <f>IF('Input data'!$F$36="","",MID(TEXT('Input data'!$F$36,"dd.mm.yyyy"),5,1))</f>
        <v/>
      </c>
      <c r="F37" s="418" t="s">
        <v>1063</v>
      </c>
      <c r="G37" s="417" t="str">
        <f>IF('Input data'!$F$36="","",MID(TEXT('Input data'!$F$36,"dd.mm.yyyy"),7,1))</f>
        <v/>
      </c>
      <c r="H37" s="417" t="str">
        <f>IF('Input data'!$F$36="","",MID(TEXT('Input data'!$F$36,"dd.mm.yyyy"),8,1))</f>
        <v/>
      </c>
      <c r="I37" s="417" t="str">
        <f>IF('Input data'!$F$36="","",MID(TEXT('Input data'!$F$36,"dd.mm.yyyy"),9,1))</f>
        <v/>
      </c>
      <c r="J37" s="417" t="str">
        <f>IF('Input data'!$F$36="","",MID(TEXT('Input data'!$F$36,"dd.mm.yyyy"),10,1))</f>
        <v/>
      </c>
      <c r="K37" s="834"/>
      <c r="L37" s="528"/>
      <c r="M37" s="402"/>
      <c r="N37" s="402"/>
      <c r="O37" s="402"/>
      <c r="P37" s="402"/>
      <c r="Q37" s="402"/>
      <c r="R37" s="402"/>
      <c r="S37" s="402"/>
      <c r="T37" s="402"/>
      <c r="U37" s="528"/>
      <c r="V37" s="402"/>
      <c r="W37" s="399"/>
      <c r="X37" s="399"/>
      <c r="Y37" s="399"/>
      <c r="Z37" s="399"/>
      <c r="AA37" s="399"/>
      <c r="AB37" s="399"/>
      <c r="AC37" s="527"/>
      <c r="AD37" s="399"/>
      <c r="AE37" s="399"/>
      <c r="AF37" s="399"/>
      <c r="AG37" s="399"/>
      <c r="AH37" s="399"/>
      <c r="AI37" s="399"/>
      <c r="AJ37" s="399"/>
      <c r="AK37" s="399"/>
      <c r="AL37" s="398"/>
    </row>
    <row r="38" spans="1:38" s="397" customFormat="1" ht="12" thickBot="1">
      <c r="A38" s="412"/>
      <c r="B38" s="411"/>
      <c r="C38" s="411"/>
      <c r="D38" s="411"/>
      <c r="E38" s="411"/>
      <c r="F38" s="411"/>
      <c r="G38" s="411"/>
      <c r="H38" s="411"/>
      <c r="I38" s="411"/>
      <c r="J38" s="411"/>
      <c r="K38" s="411"/>
      <c r="L38" s="410"/>
      <c r="M38" s="2348">
        <f>'Input data'!F40</f>
        <v>0</v>
      </c>
      <c r="N38" s="2349"/>
      <c r="O38" s="2349"/>
      <c r="P38" s="2349"/>
      <c r="Q38" s="2349"/>
      <c r="R38" s="2349"/>
      <c r="S38" s="2349"/>
      <c r="T38" s="2349"/>
      <c r="U38" s="2350"/>
      <c r="V38" s="2348" t="e">
        <f>'Input data'!#REF!</f>
        <v>#REF!</v>
      </c>
      <c r="W38" s="2349"/>
      <c r="X38" s="2349"/>
      <c r="Y38" s="2349"/>
      <c r="Z38" s="2349"/>
      <c r="AA38" s="2349"/>
      <c r="AB38" s="2349"/>
      <c r="AC38" s="2350"/>
      <c r="AD38" s="2351" t="e">
        <f>'Input data'!#REF!</f>
        <v>#REF!</v>
      </c>
      <c r="AE38" s="2349"/>
      <c r="AF38" s="2349"/>
      <c r="AG38" s="2349"/>
      <c r="AH38" s="2349"/>
      <c r="AI38" s="2349"/>
      <c r="AJ38" s="2349"/>
      <c r="AK38" s="2349"/>
      <c r="AL38" s="2352"/>
    </row>
    <row r="39" spans="1:38" s="397" customFormat="1" ht="13">
      <c r="A39" s="400"/>
      <c r="B39" s="400"/>
      <c r="C39" s="400"/>
      <c r="D39" s="400"/>
      <c r="E39" s="400"/>
      <c r="F39" s="400"/>
      <c r="G39" s="400"/>
      <c r="H39" s="400"/>
      <c r="I39" s="400"/>
      <c r="J39" s="400"/>
      <c r="K39" s="400"/>
      <c r="L39" s="400"/>
      <c r="M39" s="874"/>
      <c r="N39" s="874"/>
      <c r="O39" s="874"/>
      <c r="P39" s="874"/>
      <c r="Q39" s="874"/>
      <c r="R39" s="874"/>
      <c r="S39" s="874"/>
      <c r="T39" s="874"/>
      <c r="U39" s="874"/>
      <c r="V39" s="400"/>
      <c r="W39" s="399"/>
      <c r="X39" s="399"/>
      <c r="Y39" s="399"/>
      <c r="Z39" s="399"/>
      <c r="AA39" s="399"/>
      <c r="AB39" s="399"/>
      <c r="AC39" s="399"/>
      <c r="AD39" s="400"/>
      <c r="AE39" s="400"/>
      <c r="AF39" s="400"/>
      <c r="AG39" s="400"/>
      <c r="AH39" s="400"/>
      <c r="AI39" s="400"/>
      <c r="AJ39" s="400"/>
      <c r="AK39" s="400"/>
      <c r="AL39" s="400"/>
    </row>
    <row r="40" spans="1:38" s="397" customFormat="1" ht="13">
      <c r="A40" s="400"/>
      <c r="B40" s="400"/>
      <c r="C40" s="400"/>
      <c r="D40" s="400"/>
      <c r="E40" s="400"/>
      <c r="F40" s="400"/>
      <c r="G40" s="400"/>
      <c r="H40" s="400"/>
      <c r="I40" s="400"/>
      <c r="J40" s="400"/>
      <c r="K40" s="400"/>
      <c r="L40" s="400"/>
      <c r="M40" s="874"/>
      <c r="N40" s="874"/>
      <c r="O40" s="874"/>
      <c r="P40" s="874"/>
      <c r="Q40" s="874"/>
      <c r="R40" s="874"/>
      <c r="S40" s="874"/>
      <c r="T40" s="874"/>
      <c r="U40" s="874"/>
      <c r="V40" s="400"/>
      <c r="W40" s="399"/>
      <c r="X40" s="399"/>
      <c r="Y40" s="399"/>
      <c r="Z40" s="399"/>
      <c r="AA40" s="399"/>
      <c r="AB40" s="399"/>
      <c r="AC40" s="399"/>
      <c r="AD40" s="400"/>
      <c r="AE40" s="400"/>
      <c r="AF40" s="400"/>
      <c r="AG40" s="400"/>
      <c r="AH40" s="400"/>
      <c r="AI40" s="400"/>
      <c r="AJ40" s="400"/>
      <c r="AK40" s="400"/>
      <c r="AL40" s="400"/>
    </row>
    <row r="41" spans="1:38" s="397" customFormat="1" ht="13">
      <c r="W41" s="392"/>
      <c r="X41" s="392"/>
      <c r="Y41" s="392"/>
      <c r="Z41" s="392"/>
      <c r="AA41" s="392"/>
      <c r="AB41" s="392"/>
      <c r="AC41" s="392"/>
      <c r="AD41" s="392"/>
      <c r="AE41" s="392"/>
      <c r="AF41" s="392"/>
      <c r="AG41" s="392"/>
      <c r="AH41" s="392"/>
      <c r="AI41" s="392"/>
      <c r="AJ41" s="392"/>
      <c r="AK41" s="392"/>
    </row>
    <row r="42" spans="1:38" ht="13.5" thickBot="1">
      <c r="W42" s="392"/>
      <c r="X42" s="392"/>
      <c r="Y42" s="392"/>
      <c r="Z42" s="392"/>
      <c r="AA42" s="392"/>
      <c r="AB42" s="392"/>
      <c r="AC42" s="392"/>
      <c r="AD42" s="392"/>
      <c r="AE42" s="392"/>
      <c r="AF42" s="392"/>
      <c r="AG42" s="392"/>
      <c r="AH42" s="392"/>
      <c r="AI42" s="392"/>
      <c r="AJ42" s="392"/>
      <c r="AK42" s="392"/>
    </row>
    <row r="43" spans="1:38" s="397" customFormat="1" ht="13">
      <c r="B43" s="409" t="s">
        <v>1577</v>
      </c>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392"/>
    </row>
    <row r="44" spans="1:38" s="397" customFormat="1" ht="13">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8" ht="13">
      <c r="B45" s="405"/>
      <c r="C45" s="823"/>
      <c r="D45" s="823"/>
      <c r="E45" s="823"/>
      <c r="F45" s="823"/>
      <c r="G45" s="823"/>
      <c r="H45" s="823"/>
      <c r="I45" s="823"/>
      <c r="J45" s="823"/>
      <c r="K45" s="823"/>
      <c r="L45" s="823"/>
      <c r="M45" s="823"/>
      <c r="N45" s="823"/>
      <c r="O45" s="823"/>
      <c r="P45" s="823"/>
      <c r="Q45" s="823"/>
      <c r="R45" s="823"/>
      <c r="S45" s="823"/>
      <c r="T45" s="823"/>
      <c r="U45" s="823"/>
      <c r="V45" s="823"/>
      <c r="W45" s="399"/>
      <c r="X45" s="399"/>
      <c r="Y45" s="399"/>
      <c r="Z45" s="399"/>
      <c r="AA45" s="399"/>
      <c r="AB45" s="399"/>
      <c r="AC45" s="399"/>
      <c r="AD45" s="399"/>
      <c r="AE45" s="399"/>
      <c r="AF45" s="399"/>
      <c r="AG45" s="399"/>
      <c r="AH45" s="399"/>
      <c r="AI45" s="399"/>
      <c r="AJ45" s="398"/>
      <c r="AK45" s="392"/>
    </row>
    <row r="46" spans="1:38" s="397" customFormat="1" ht="13">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38" s="391" customFormat="1" ht="13">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8" s="391" customFormat="1" ht="13">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ht="13">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ht="13">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1" customFormat="1" ht="13.5" thickBot="1">
      <c r="B53" s="396"/>
      <c r="C53" s="395"/>
      <c r="D53" s="395"/>
      <c r="E53" s="395"/>
      <c r="F53" s="395"/>
      <c r="G53" s="395" t="s">
        <v>1578</v>
      </c>
      <c r="H53" s="395"/>
      <c r="I53" s="395"/>
      <c r="J53" s="395"/>
      <c r="K53" s="395"/>
      <c r="L53" s="395"/>
      <c r="M53" s="395"/>
      <c r="N53" s="395"/>
      <c r="O53" s="395"/>
      <c r="P53" s="395"/>
      <c r="Q53" s="395"/>
      <c r="R53" s="395"/>
      <c r="S53" s="395"/>
      <c r="T53" s="395"/>
      <c r="U53" s="395" t="s">
        <v>1579</v>
      </c>
      <c r="V53" s="395"/>
      <c r="W53" s="394"/>
      <c r="X53" s="394"/>
      <c r="Y53" s="394"/>
      <c r="Z53" s="394"/>
      <c r="AA53" s="394"/>
      <c r="AB53" s="394"/>
      <c r="AC53" s="394"/>
      <c r="AD53" s="394"/>
      <c r="AE53" s="394"/>
      <c r="AF53" s="394"/>
      <c r="AG53" s="394"/>
      <c r="AH53" s="394"/>
      <c r="AI53" s="394"/>
      <c r="AJ53" s="393"/>
      <c r="AK53" s="392"/>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52"/>
  <sheetViews>
    <sheetView showGridLines="0" view="pageBreakPreview" zoomScaleNormal="100" zoomScaleSheetLayoutView="100" workbookViewId="0">
      <selection activeCell="E8" sqref="E8:G8"/>
    </sheetView>
  </sheetViews>
  <sheetFormatPr defaultColWidth="9.1796875" defaultRowHeight="11"/>
  <cols>
    <col min="1" max="1" width="5.54296875" style="1179" customWidth="1"/>
    <col min="2" max="2" width="16.81640625" style="1179" customWidth="1"/>
    <col min="3" max="3" width="0.81640625" style="1179" customWidth="1"/>
    <col min="4" max="4" width="6.26953125" style="1179" customWidth="1"/>
    <col min="5" max="5" width="3.54296875" style="1179" customWidth="1"/>
    <col min="6" max="6" width="12.453125" style="1179" customWidth="1"/>
    <col min="7" max="7" width="12.1796875" style="1179" customWidth="1"/>
    <col min="8" max="8" width="0.81640625" style="1179" customWidth="1"/>
    <col min="9" max="9" width="14.7265625" style="1179" customWidth="1"/>
    <col min="10" max="10" width="3.54296875" style="1179" customWidth="1"/>
    <col min="11" max="11" width="10.54296875" style="1179" customWidth="1"/>
    <col min="12" max="12" width="14.453125" style="1179" customWidth="1"/>
    <col min="13" max="16384" width="9.1796875" style="1179"/>
  </cols>
  <sheetData>
    <row r="1" spans="1:15" ht="15" customHeight="1">
      <c r="A1" s="1178"/>
      <c r="B1" s="502"/>
      <c r="C1" s="445"/>
      <c r="G1" s="1180"/>
      <c r="H1" s="1180"/>
      <c r="I1" s="1180"/>
      <c r="J1" s="1180"/>
      <c r="K1" s="1180"/>
    </row>
    <row r="2" spans="1:15" ht="21.75" customHeight="1">
      <c r="A2" s="1178"/>
      <c r="B2" s="1166" t="s">
        <v>2600</v>
      </c>
      <c r="C2" s="1169"/>
      <c r="D2" s="525" t="s">
        <v>1580</v>
      </c>
      <c r="E2" s="1409"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3"/>
      <c r="G2" s="522"/>
      <c r="H2" s="1205"/>
      <c r="I2" s="1213" t="s">
        <v>2585</v>
      </c>
      <c r="J2" s="1210" t="str">
        <f>"  "&amp;'SK Cover sheet'!A13&amp;"  "&amp;'SK Cover sheet'!B13&amp;"  "&amp;'SK Cover sheet'!C13&amp;"  "&amp;'SK Cover sheet'!D13&amp;"  "&amp;'SK Cover sheet'!E13&amp;"  "&amp;'SK Cover sheet'!F13&amp;"  "&amp;'SK Cover sheet'!G13&amp;"  "&amp;'SK Cover sheet'!H13&amp;" "</f>
        <v xml:space="preserve">  3  1  3  6  5  5  0  7 </v>
      </c>
      <c r="K2" s="1211"/>
      <c r="L2" s="1212"/>
    </row>
    <row r="3" spans="1:15" ht="2.25" customHeight="1" thickBot="1">
      <c r="A3" s="1178"/>
      <c r="C3" s="1180"/>
    </row>
    <row r="4" spans="1:15" s="1181" customFormat="1" ht="11.25" customHeight="1">
      <c r="A4" s="2549" t="s">
        <v>1581</v>
      </c>
      <c r="B4" s="2550" t="s">
        <v>1582</v>
      </c>
      <c r="C4" s="1376"/>
      <c r="D4" s="2735" t="s">
        <v>1583</v>
      </c>
      <c r="E4" s="1667" t="s">
        <v>1584</v>
      </c>
      <c r="F4" s="1668"/>
      <c r="G4" s="1668"/>
      <c r="H4" s="1668"/>
      <c r="I4" s="1668"/>
      <c r="J4" s="1669"/>
      <c r="K4" s="2431" t="s">
        <v>1562</v>
      </c>
      <c r="L4" s="2432"/>
    </row>
    <row r="5" spans="1:15" s="1181" customFormat="1" ht="11.25" customHeight="1">
      <c r="A5" s="2518"/>
      <c r="B5" s="2519"/>
      <c r="C5" s="1317"/>
      <c r="D5" s="2419"/>
      <c r="E5" s="1674">
        <v>1</v>
      </c>
      <c r="F5" s="2379" t="s">
        <v>1585</v>
      </c>
      <c r="G5" s="2438"/>
      <c r="H5" s="1408"/>
      <c r="I5" s="2727" t="s">
        <v>1178</v>
      </c>
      <c r="J5" s="2728"/>
      <c r="K5" s="2371"/>
      <c r="L5" s="2372"/>
    </row>
    <row r="6" spans="1:15" s="1181" customFormat="1" ht="12" customHeight="1">
      <c r="A6" s="2381"/>
      <c r="B6" s="2389"/>
      <c r="C6" s="1377"/>
      <c r="D6" s="2421"/>
      <c r="E6" s="1674"/>
      <c r="F6" s="2379" t="s">
        <v>1586</v>
      </c>
      <c r="G6" s="2438"/>
      <c r="H6" s="1408"/>
      <c r="I6" s="2729"/>
      <c r="J6" s="2730"/>
      <c r="K6" s="2379" t="s">
        <v>1176</v>
      </c>
      <c r="L6" s="2380"/>
    </row>
    <row r="7" spans="1:15" s="1183" customFormat="1" ht="28" customHeight="1">
      <c r="A7" s="1651"/>
      <c r="B7" s="1652" t="s">
        <v>2601</v>
      </c>
      <c r="C7" s="1391"/>
      <c r="D7" s="1653" t="s">
        <v>522</v>
      </c>
      <c r="E7" s="1655">
        <f>BS!D10</f>
        <v>5884865</v>
      </c>
      <c r="F7" s="1655"/>
      <c r="G7" s="1656"/>
      <c r="H7" s="1384"/>
      <c r="I7" s="1657">
        <f>E7-E8</f>
        <v>4356932</v>
      </c>
      <c r="J7" s="1657"/>
      <c r="K7" s="1658"/>
      <c r="L7" s="1182"/>
    </row>
    <row r="8" spans="1:15" s="1183" customFormat="1" ht="28" customHeight="1">
      <c r="A8" s="1651"/>
      <c r="B8" s="1652"/>
      <c r="C8" s="1392"/>
      <c r="D8" s="1654"/>
      <c r="E8" s="1655">
        <f>BS!E10</f>
        <v>1527933</v>
      </c>
      <c r="F8" s="1655"/>
      <c r="G8" s="1656"/>
      <c r="H8" s="1384"/>
      <c r="I8" s="1384"/>
      <c r="J8" s="1656">
        <f>BS!G10</f>
        <v>4805868</v>
      </c>
      <c r="K8" s="1657"/>
      <c r="L8" s="1659"/>
      <c r="O8" s="1183" t="s">
        <v>1093</v>
      </c>
    </row>
    <row r="9" spans="1:15" s="1183" customFormat="1" ht="28" customHeight="1">
      <c r="A9" s="1651" t="s">
        <v>523</v>
      </c>
      <c r="B9" s="2731" t="s">
        <v>1588</v>
      </c>
      <c r="C9" s="1391"/>
      <c r="D9" s="1653" t="s">
        <v>525</v>
      </c>
      <c r="E9" s="1655">
        <f>BS!D11</f>
        <v>3150896</v>
      </c>
      <c r="F9" s="1655"/>
      <c r="G9" s="1656"/>
      <c r="H9" s="1384"/>
      <c r="I9" s="1657">
        <f>E9-E10</f>
        <v>1654944</v>
      </c>
      <c r="J9" s="1657"/>
      <c r="K9" s="1658"/>
      <c r="L9" s="1182"/>
    </row>
    <row r="10" spans="1:15" s="1183" customFormat="1" ht="28" customHeight="1">
      <c r="A10" s="1651"/>
      <c r="B10" s="2397"/>
      <c r="C10" s="1392"/>
      <c r="D10" s="1654"/>
      <c r="E10" s="1655">
        <f>BS!E11</f>
        <v>1495952</v>
      </c>
      <c r="F10" s="1655"/>
      <c r="G10" s="1656"/>
      <c r="H10" s="1384"/>
      <c r="I10" s="1384"/>
      <c r="J10" s="1656">
        <f>BS!G11</f>
        <v>2030208</v>
      </c>
      <c r="K10" s="1657"/>
      <c r="L10" s="1659"/>
    </row>
    <row r="11" spans="1:15" s="1183" customFormat="1" ht="28" customHeight="1">
      <c r="A11" s="1677" t="s">
        <v>526</v>
      </c>
      <c r="B11" s="2731" t="s">
        <v>1589</v>
      </c>
      <c r="C11" s="1214"/>
      <c r="D11" s="1653" t="s">
        <v>528</v>
      </c>
      <c r="E11" s="1655">
        <f>BS!D12</f>
        <v>2251280</v>
      </c>
      <c r="F11" s="1655"/>
      <c r="G11" s="1656"/>
      <c r="H11" s="1384"/>
      <c r="I11" s="1657">
        <f>E11-E12</f>
        <v>1200388</v>
      </c>
      <c r="J11" s="1657"/>
      <c r="K11" s="1658"/>
      <c r="L11" s="1182"/>
    </row>
    <row r="12" spans="1:15" s="1183" customFormat="1" ht="28" customHeight="1">
      <c r="A12" s="1678"/>
      <c r="B12" s="2397"/>
      <c r="C12" s="1215"/>
      <c r="D12" s="1654"/>
      <c r="E12" s="1655">
        <f>BS!E12</f>
        <v>1050892</v>
      </c>
      <c r="F12" s="1655"/>
      <c r="G12" s="1656"/>
      <c r="H12" s="1384"/>
      <c r="I12" s="1384"/>
      <c r="J12" s="1656">
        <f>BS!G12</f>
        <v>1524352</v>
      </c>
      <c r="K12" s="1657"/>
      <c r="L12" s="1659"/>
    </row>
    <row r="13" spans="1:15" s="1181" customFormat="1" ht="28" customHeight="1">
      <c r="A13" s="1692" t="s">
        <v>529</v>
      </c>
      <c r="B13" s="2524" t="s">
        <v>1590</v>
      </c>
      <c r="C13" s="1388"/>
      <c r="D13" s="1685" t="s">
        <v>531</v>
      </c>
      <c r="E13" s="1687">
        <f>BS!D13</f>
        <v>39396</v>
      </c>
      <c r="F13" s="1687"/>
      <c r="G13" s="1688"/>
      <c r="H13" s="1374"/>
      <c r="I13" s="1689">
        <f>E13-E14</f>
        <v>15744</v>
      </c>
      <c r="J13" s="1689"/>
      <c r="K13" s="1690"/>
      <c r="L13" s="1185"/>
    </row>
    <row r="14" spans="1:15" s="1181" customFormat="1" ht="28" customHeight="1">
      <c r="A14" s="1693"/>
      <c r="B14" s="2385"/>
      <c r="C14" s="1389"/>
      <c r="D14" s="1686"/>
      <c r="E14" s="1687">
        <f>BS!E13</f>
        <v>23652</v>
      </c>
      <c r="F14" s="1687"/>
      <c r="G14" s="1688"/>
      <c r="H14" s="1374"/>
      <c r="I14" s="1374"/>
      <c r="J14" s="1688">
        <f>BS!G13</f>
        <v>23628</v>
      </c>
      <c r="K14" s="1689"/>
      <c r="L14" s="1691"/>
    </row>
    <row r="15" spans="1:15" s="1181" customFormat="1" ht="28" customHeight="1">
      <c r="A15" s="1681" t="s">
        <v>532</v>
      </c>
      <c r="B15" s="2524" t="s">
        <v>1591</v>
      </c>
      <c r="C15" s="1388"/>
      <c r="D15" s="1685" t="s">
        <v>534</v>
      </c>
      <c r="E15" s="1687">
        <f>BS!D14</f>
        <v>0</v>
      </c>
      <c r="F15" s="1687"/>
      <c r="G15" s="1688"/>
      <c r="H15" s="1374"/>
      <c r="I15" s="1689">
        <f>E15-E16</f>
        <v>0</v>
      </c>
      <c r="J15" s="1689"/>
      <c r="K15" s="1690"/>
      <c r="L15" s="1185"/>
    </row>
    <row r="16" spans="1:15" s="1181" customFormat="1" ht="28" customHeight="1">
      <c r="A16" s="1682"/>
      <c r="B16" s="2385"/>
      <c r="C16" s="1389"/>
      <c r="D16" s="1686"/>
      <c r="E16" s="1687">
        <f>BS!E14</f>
        <v>0</v>
      </c>
      <c r="F16" s="1687"/>
      <c r="G16" s="1688"/>
      <c r="H16" s="1374"/>
      <c r="I16" s="1374"/>
      <c r="J16" s="1688">
        <f>BS!G14</f>
        <v>0</v>
      </c>
      <c r="K16" s="1689"/>
      <c r="L16" s="1691"/>
    </row>
    <row r="17" spans="1:12" s="1181" customFormat="1" ht="28" customHeight="1">
      <c r="A17" s="1681" t="s">
        <v>535</v>
      </c>
      <c r="B17" s="2524" t="s">
        <v>1592</v>
      </c>
      <c r="C17" s="1388"/>
      <c r="D17" s="1685" t="s">
        <v>537</v>
      </c>
      <c r="E17" s="1687">
        <f>BS!D15</f>
        <v>0</v>
      </c>
      <c r="F17" s="1687"/>
      <c r="G17" s="1688"/>
      <c r="H17" s="1374"/>
      <c r="I17" s="1689">
        <f>E17-E18</f>
        <v>0</v>
      </c>
      <c r="J17" s="1689"/>
      <c r="K17" s="1690"/>
      <c r="L17" s="1185"/>
    </row>
    <row r="18" spans="1:12" s="1181" customFormat="1" ht="28" customHeight="1">
      <c r="A18" s="1682"/>
      <c r="B18" s="2385"/>
      <c r="C18" s="1389"/>
      <c r="D18" s="1686"/>
      <c r="E18" s="1687">
        <f>BS!E15</f>
        <v>0</v>
      </c>
      <c r="F18" s="1687"/>
      <c r="G18" s="1688"/>
      <c r="H18" s="1374"/>
      <c r="I18" s="1374"/>
      <c r="J18" s="1688">
        <f>BS!G15</f>
        <v>0</v>
      </c>
      <c r="K18" s="1689"/>
      <c r="L18" s="1691"/>
    </row>
    <row r="19" spans="1:12" s="1181" customFormat="1" ht="28" customHeight="1">
      <c r="A19" s="1681" t="s">
        <v>538</v>
      </c>
      <c r="B19" s="2524" t="s">
        <v>1593</v>
      </c>
      <c r="C19" s="1388"/>
      <c r="D19" s="1685" t="s">
        <v>540</v>
      </c>
      <c r="E19" s="1687">
        <f>BS!D16</f>
        <v>2211884</v>
      </c>
      <c r="F19" s="1687"/>
      <c r="G19" s="1688"/>
      <c r="H19" s="1374"/>
      <c r="I19" s="1689">
        <f>E19-E20</f>
        <v>1184644</v>
      </c>
      <c r="J19" s="1689"/>
      <c r="K19" s="1690"/>
      <c r="L19" s="1185"/>
    </row>
    <row r="20" spans="1:12" s="1181" customFormat="1" ht="28" customHeight="1">
      <c r="A20" s="1682"/>
      <c r="B20" s="2385"/>
      <c r="C20" s="1389"/>
      <c r="D20" s="1686"/>
      <c r="E20" s="1687">
        <f>BS!E16</f>
        <v>1027240</v>
      </c>
      <c r="F20" s="1687"/>
      <c r="G20" s="1688"/>
      <c r="H20" s="1374"/>
      <c r="I20" s="1374"/>
      <c r="J20" s="1688">
        <f>BS!G16</f>
        <v>1500724</v>
      </c>
      <c r="K20" s="1689"/>
      <c r="L20" s="1691"/>
    </row>
    <row r="21" spans="1:12" s="1181" customFormat="1" ht="28" customHeight="1">
      <c r="A21" s="1681" t="s">
        <v>541</v>
      </c>
      <c r="B21" s="2524" t="s">
        <v>1594</v>
      </c>
      <c r="C21" s="1388"/>
      <c r="D21" s="1685" t="s">
        <v>543</v>
      </c>
      <c r="E21" s="1687">
        <f>BS!D17</f>
        <v>0</v>
      </c>
      <c r="F21" s="1687"/>
      <c r="G21" s="1688"/>
      <c r="H21" s="1374"/>
      <c r="I21" s="1689">
        <f>E21-E22</f>
        <v>0</v>
      </c>
      <c r="J21" s="1689"/>
      <c r="K21" s="1690"/>
      <c r="L21" s="1185"/>
    </row>
    <row r="22" spans="1:12" s="1181" customFormat="1" ht="28" customHeight="1">
      <c r="A22" s="1682"/>
      <c r="B22" s="2385"/>
      <c r="C22" s="1389"/>
      <c r="D22" s="1686"/>
      <c r="E22" s="1687">
        <f>BS!E17</f>
        <v>0</v>
      </c>
      <c r="F22" s="1687"/>
      <c r="G22" s="1688"/>
      <c r="H22" s="1374"/>
      <c r="I22" s="1374"/>
      <c r="J22" s="1688">
        <f>BS!G17</f>
        <v>0</v>
      </c>
      <c r="K22" s="1689"/>
      <c r="L22" s="1691"/>
    </row>
    <row r="23" spans="1:12" s="1181" customFormat="1" ht="28" customHeight="1">
      <c r="A23" s="1681" t="s">
        <v>544</v>
      </c>
      <c r="B23" s="2524" t="s">
        <v>1595</v>
      </c>
      <c r="C23" s="1388"/>
      <c r="D23" s="1685" t="s">
        <v>546</v>
      </c>
      <c r="E23" s="1687">
        <f>BS!D18</f>
        <v>0</v>
      </c>
      <c r="F23" s="1687"/>
      <c r="G23" s="1688"/>
      <c r="H23" s="1374"/>
      <c r="I23" s="1689">
        <f>E23-E24</f>
        <v>0</v>
      </c>
      <c r="J23" s="1689"/>
      <c r="K23" s="1690"/>
      <c r="L23" s="1185"/>
    </row>
    <row r="24" spans="1:12" s="1181" customFormat="1" ht="28" customHeight="1">
      <c r="A24" s="1682"/>
      <c r="B24" s="2385"/>
      <c r="C24" s="1389"/>
      <c r="D24" s="1686"/>
      <c r="E24" s="1687">
        <f>BS!E18</f>
        <v>0</v>
      </c>
      <c r="F24" s="1687"/>
      <c r="G24" s="1688"/>
      <c r="H24" s="1374"/>
      <c r="I24" s="1374"/>
      <c r="J24" s="1688">
        <f>BS!G18</f>
        <v>0</v>
      </c>
      <c r="K24" s="1689"/>
      <c r="L24" s="1691"/>
    </row>
    <row r="25" spans="1:12" s="1181" customFormat="1" ht="28" customHeight="1">
      <c r="A25" s="1681" t="s">
        <v>547</v>
      </c>
      <c r="B25" s="2524" t="s">
        <v>1596</v>
      </c>
      <c r="C25" s="1388"/>
      <c r="D25" s="1685" t="s">
        <v>549</v>
      </c>
      <c r="E25" s="1687">
        <f>BS!D19</f>
        <v>0</v>
      </c>
      <c r="F25" s="1687"/>
      <c r="G25" s="1688"/>
      <c r="H25" s="1374"/>
      <c r="I25" s="1689">
        <f>E25-E26</f>
        <v>0</v>
      </c>
      <c r="J25" s="1689"/>
      <c r="K25" s="1690"/>
      <c r="L25" s="1185"/>
    </row>
    <row r="26" spans="1:12" s="1181" customFormat="1" ht="28" customHeight="1">
      <c r="A26" s="1682"/>
      <c r="B26" s="2385"/>
      <c r="C26" s="1389"/>
      <c r="D26" s="1686"/>
      <c r="E26" s="1687">
        <f>BS!E19</f>
        <v>0</v>
      </c>
      <c r="F26" s="1687"/>
      <c r="G26" s="1688"/>
      <c r="H26" s="1374"/>
      <c r="I26" s="1374"/>
      <c r="J26" s="1688">
        <f>BS!G19</f>
        <v>0</v>
      </c>
      <c r="K26" s="1689"/>
      <c r="L26" s="1691"/>
    </row>
    <row r="27" spans="1:12" s="1183" customFormat="1" ht="28" customHeight="1">
      <c r="A27" s="1694" t="s">
        <v>550</v>
      </c>
      <c r="B27" s="2726" t="s">
        <v>1597</v>
      </c>
      <c r="C27" s="1391"/>
      <c r="D27" s="1653" t="s">
        <v>552</v>
      </c>
      <c r="E27" s="1655">
        <f>BS!D20</f>
        <v>899616</v>
      </c>
      <c r="F27" s="1655"/>
      <c r="G27" s="1656"/>
      <c r="H27" s="1384"/>
      <c r="I27" s="1657">
        <f>E27-E28</f>
        <v>454556</v>
      </c>
      <c r="J27" s="1657"/>
      <c r="K27" s="1658"/>
      <c r="L27" s="1182"/>
    </row>
    <row r="28" spans="1:12" s="1183" customFormat="1" ht="28" customHeight="1">
      <c r="A28" s="1695"/>
      <c r="B28" s="2543"/>
      <c r="C28" s="1392"/>
      <c r="D28" s="1654"/>
      <c r="E28" s="1655">
        <f>BS!E20</f>
        <v>445060</v>
      </c>
      <c r="F28" s="1655"/>
      <c r="G28" s="1656"/>
      <c r="H28" s="1384"/>
      <c r="I28" s="1384"/>
      <c r="J28" s="1656">
        <f>BS!G20</f>
        <v>505856</v>
      </c>
      <c r="K28" s="1657"/>
      <c r="L28" s="1659"/>
    </row>
    <row r="29" spans="1:12" s="1181" customFormat="1" ht="28" customHeight="1">
      <c r="A29" s="1692" t="s">
        <v>553</v>
      </c>
      <c r="B29" s="2524" t="s">
        <v>1598</v>
      </c>
      <c r="C29" s="1388"/>
      <c r="D29" s="1685" t="s">
        <v>555</v>
      </c>
      <c r="E29" s="1687">
        <f>BS!D21</f>
        <v>0</v>
      </c>
      <c r="F29" s="1687"/>
      <c r="G29" s="1688"/>
      <c r="H29" s="1374"/>
      <c r="I29" s="1689">
        <f>E29-E30</f>
        <v>0</v>
      </c>
      <c r="J29" s="1689"/>
      <c r="K29" s="1690"/>
      <c r="L29" s="1185"/>
    </row>
    <row r="30" spans="1:12" s="1181" customFormat="1" ht="28" customHeight="1">
      <c r="A30" s="1693"/>
      <c r="B30" s="2385"/>
      <c r="C30" s="1389"/>
      <c r="D30" s="1686"/>
      <c r="E30" s="1687">
        <f>BS!E21</f>
        <v>0</v>
      </c>
      <c r="F30" s="1687"/>
      <c r="G30" s="1688"/>
      <c r="H30" s="1374"/>
      <c r="I30" s="1374"/>
      <c r="J30" s="1688">
        <f>BS!G21</f>
        <v>0</v>
      </c>
      <c r="K30" s="1689"/>
      <c r="L30" s="1691"/>
    </row>
    <row r="31" spans="1:12" s="1181" customFormat="1" ht="28" customHeight="1">
      <c r="A31" s="1681" t="s">
        <v>532</v>
      </c>
      <c r="B31" s="2524" t="s">
        <v>1599</v>
      </c>
      <c r="C31" s="1388"/>
      <c r="D31" s="1685" t="s">
        <v>557</v>
      </c>
      <c r="E31" s="1687">
        <f>BS!D22</f>
        <v>374726</v>
      </c>
      <c r="F31" s="1687"/>
      <c r="G31" s="1688"/>
      <c r="H31" s="1374"/>
      <c r="I31" s="1689">
        <f>E31-E32</f>
        <v>331639</v>
      </c>
      <c r="J31" s="1689"/>
      <c r="K31" s="1690"/>
      <c r="L31" s="1185"/>
    </row>
    <row r="32" spans="1:12" s="1181" customFormat="1" ht="28" customHeight="1">
      <c r="A32" s="1682"/>
      <c r="B32" s="2385"/>
      <c r="C32" s="1389"/>
      <c r="D32" s="1686"/>
      <c r="E32" s="1687">
        <f>BS!E22</f>
        <v>43087</v>
      </c>
      <c r="F32" s="1687"/>
      <c r="G32" s="1688"/>
      <c r="H32" s="1374"/>
      <c r="I32" s="1374"/>
      <c r="J32" s="1688">
        <f>BS!G22</f>
        <v>358240</v>
      </c>
      <c r="K32" s="1689"/>
      <c r="L32" s="1691"/>
    </row>
    <row r="33" spans="1:12" ht="28" customHeight="1">
      <c r="A33" s="1682" t="s">
        <v>535</v>
      </c>
      <c r="B33" s="2524" t="s">
        <v>1600</v>
      </c>
      <c r="C33" s="1388"/>
      <c r="D33" s="1685" t="s">
        <v>559</v>
      </c>
      <c r="E33" s="1687">
        <f>BS!D23</f>
        <v>521446</v>
      </c>
      <c r="F33" s="1687"/>
      <c r="G33" s="1688"/>
      <c r="H33" s="1374"/>
      <c r="I33" s="1689">
        <f>E33-E34</f>
        <v>119473</v>
      </c>
      <c r="J33" s="1689"/>
      <c r="K33" s="1690"/>
      <c r="L33" s="1185"/>
    </row>
    <row r="34" spans="1:12" ht="28" customHeight="1" thickBot="1">
      <c r="A34" s="1699"/>
      <c r="B34" s="2736"/>
      <c r="C34" s="1397"/>
      <c r="D34" s="1701"/>
      <c r="E34" s="1702">
        <f>BS!E23</f>
        <v>401973</v>
      </c>
      <c r="F34" s="1702"/>
      <c r="G34" s="1703"/>
      <c r="H34" s="1373"/>
      <c r="I34" s="1373"/>
      <c r="J34" s="1703">
        <f>BS!G23</f>
        <v>147616</v>
      </c>
      <c r="K34" s="1704"/>
      <c r="L34" s="1705"/>
    </row>
    <row r="35" spans="1:12" ht="11.25" customHeight="1">
      <c r="A35" s="2549" t="s">
        <v>1581</v>
      </c>
      <c r="B35" s="2550" t="s">
        <v>1582</v>
      </c>
      <c r="C35" s="1376"/>
      <c r="D35" s="2735" t="s">
        <v>1583</v>
      </c>
      <c r="E35" s="1667" t="s">
        <v>1584</v>
      </c>
      <c r="F35" s="1668"/>
      <c r="G35" s="1668"/>
      <c r="H35" s="1668"/>
      <c r="I35" s="1668"/>
      <c r="J35" s="1669"/>
      <c r="K35" s="2431" t="s">
        <v>1562</v>
      </c>
      <c r="L35" s="2432"/>
    </row>
    <row r="36" spans="1:12" ht="11.25" customHeight="1">
      <c r="A36" s="2518"/>
      <c r="B36" s="2519"/>
      <c r="C36" s="1317"/>
      <c r="D36" s="2419"/>
      <c r="E36" s="1674">
        <v>1</v>
      </c>
      <c r="F36" s="2379" t="s">
        <v>1585</v>
      </c>
      <c r="G36" s="2438"/>
      <c r="H36" s="1408"/>
      <c r="I36" s="2727" t="s">
        <v>1178</v>
      </c>
      <c r="J36" s="2728"/>
      <c r="K36" s="2371"/>
      <c r="L36" s="2372"/>
    </row>
    <row r="37" spans="1:12" ht="12" customHeight="1">
      <c r="A37" s="2381"/>
      <c r="B37" s="2389"/>
      <c r="C37" s="1377"/>
      <c r="D37" s="2421"/>
      <c r="E37" s="1674"/>
      <c r="F37" s="2379" t="s">
        <v>1586</v>
      </c>
      <c r="G37" s="2438"/>
      <c r="H37" s="1408"/>
      <c r="I37" s="2729"/>
      <c r="J37" s="2730"/>
      <c r="K37" s="2379" t="s">
        <v>1176</v>
      </c>
      <c r="L37" s="2380"/>
    </row>
    <row r="38" spans="1:12" ht="28" customHeight="1">
      <c r="A38" s="1698" t="s">
        <v>538</v>
      </c>
      <c r="B38" s="2524" t="s">
        <v>1601</v>
      </c>
      <c r="C38" s="1388"/>
      <c r="D38" s="1685" t="s">
        <v>561</v>
      </c>
      <c r="E38" s="1687">
        <f>BS!D24</f>
        <v>0</v>
      </c>
      <c r="F38" s="1687"/>
      <c r="G38" s="1688"/>
      <c r="H38" s="1394"/>
      <c r="I38" s="1688">
        <f>E38-E39</f>
        <v>0</v>
      </c>
      <c r="J38" s="1689"/>
      <c r="K38" s="1690"/>
      <c r="L38" s="1353"/>
    </row>
    <row r="39" spans="1:12" ht="28" customHeight="1">
      <c r="A39" s="1698"/>
      <c r="B39" s="2385"/>
      <c r="C39" s="1389"/>
      <c r="D39" s="1686"/>
      <c r="E39" s="1690">
        <f>BS!E24</f>
        <v>0</v>
      </c>
      <c r="F39" s="1687"/>
      <c r="G39" s="1688"/>
      <c r="H39" s="1374"/>
      <c r="I39" s="1379"/>
      <c r="J39" s="1688">
        <f>BS!G24</f>
        <v>0</v>
      </c>
      <c r="K39" s="1689"/>
      <c r="L39" s="1691"/>
    </row>
    <row r="40" spans="1:12" ht="28" customHeight="1">
      <c r="A40" s="1682" t="s">
        <v>541</v>
      </c>
      <c r="B40" s="2524" t="s">
        <v>1602</v>
      </c>
      <c r="C40" s="1388"/>
      <c r="D40" s="1685" t="s">
        <v>563</v>
      </c>
      <c r="E40" s="1690">
        <f>BS!D25</f>
        <v>0</v>
      </c>
      <c r="F40" s="1687"/>
      <c r="G40" s="1688"/>
      <c r="H40" s="1380"/>
      <c r="I40" s="1688">
        <f>E40-E41</f>
        <v>0</v>
      </c>
      <c r="J40" s="1689"/>
      <c r="K40" s="1690"/>
      <c r="L40" s="1185"/>
    </row>
    <row r="41" spans="1:12" ht="28" customHeight="1">
      <c r="A41" s="1698"/>
      <c r="B41" s="2385"/>
      <c r="C41" s="1389"/>
      <c r="D41" s="1686"/>
      <c r="E41" s="1690">
        <f>BS!E25</f>
        <v>0</v>
      </c>
      <c r="F41" s="1687"/>
      <c r="G41" s="1688"/>
      <c r="H41" s="1374"/>
      <c r="I41" s="1379"/>
      <c r="J41" s="1688">
        <f>BS!G25</f>
        <v>0</v>
      </c>
      <c r="K41" s="1689"/>
      <c r="L41" s="1691"/>
    </row>
    <row r="42" spans="1:12" ht="28" customHeight="1">
      <c r="A42" s="1682" t="s">
        <v>544</v>
      </c>
      <c r="B42" s="2524" t="s">
        <v>1603</v>
      </c>
      <c r="C42" s="1388"/>
      <c r="D42" s="1685" t="s">
        <v>565</v>
      </c>
      <c r="E42" s="1690">
        <f>BS!D26</f>
        <v>0</v>
      </c>
      <c r="F42" s="1687"/>
      <c r="G42" s="1688"/>
      <c r="H42" s="1380"/>
      <c r="I42" s="1688">
        <f>E42-E43</f>
        <v>0</v>
      </c>
      <c r="J42" s="1689"/>
      <c r="K42" s="1690"/>
      <c r="L42" s="1185"/>
    </row>
    <row r="43" spans="1:12" ht="28" customHeight="1">
      <c r="A43" s="1698"/>
      <c r="B43" s="2385"/>
      <c r="C43" s="1389"/>
      <c r="D43" s="1686"/>
      <c r="E43" s="1690">
        <f>BS!E26</f>
        <v>0</v>
      </c>
      <c r="F43" s="1687"/>
      <c r="G43" s="1688"/>
      <c r="H43" s="1374"/>
      <c r="I43" s="1379"/>
      <c r="J43" s="1688">
        <f>BS!G26</f>
        <v>0</v>
      </c>
      <c r="K43" s="1689"/>
      <c r="L43" s="1691"/>
    </row>
    <row r="44" spans="1:12" ht="28" customHeight="1">
      <c r="A44" s="1682" t="s">
        <v>547</v>
      </c>
      <c r="B44" s="2524" t="s">
        <v>1604</v>
      </c>
      <c r="C44" s="1388"/>
      <c r="D44" s="1685" t="s">
        <v>567</v>
      </c>
      <c r="E44" s="1690">
        <f>BS!D27</f>
        <v>3444</v>
      </c>
      <c r="F44" s="1687"/>
      <c r="G44" s="1688"/>
      <c r="H44" s="1380"/>
      <c r="I44" s="1688">
        <f>E44-E45</f>
        <v>3444</v>
      </c>
      <c r="J44" s="1689"/>
      <c r="K44" s="1690"/>
      <c r="L44" s="1185"/>
    </row>
    <row r="45" spans="1:12" ht="28" customHeight="1">
      <c r="A45" s="1698"/>
      <c r="B45" s="2385"/>
      <c r="C45" s="1389"/>
      <c r="D45" s="1686"/>
      <c r="E45" s="1690">
        <f>BS!E27</f>
        <v>0</v>
      </c>
      <c r="F45" s="1687"/>
      <c r="G45" s="1688"/>
      <c r="H45" s="1374"/>
      <c r="I45" s="1379"/>
      <c r="J45" s="1688">
        <f>BS!G27</f>
        <v>0</v>
      </c>
      <c r="K45" s="1689"/>
      <c r="L45" s="1691"/>
    </row>
    <row r="46" spans="1:12" ht="28" customHeight="1">
      <c r="A46" s="1682" t="s">
        <v>568</v>
      </c>
      <c r="B46" s="2524" t="s">
        <v>1605</v>
      </c>
      <c r="C46" s="1388"/>
      <c r="D46" s="1685" t="s">
        <v>570</v>
      </c>
      <c r="E46" s="1690">
        <f>BS!D28</f>
        <v>0</v>
      </c>
      <c r="F46" s="1687"/>
      <c r="G46" s="1688"/>
      <c r="H46" s="1380"/>
      <c r="I46" s="1688">
        <f>E46-E47</f>
        <v>0</v>
      </c>
      <c r="J46" s="1689"/>
      <c r="K46" s="1690"/>
      <c r="L46" s="1185"/>
    </row>
    <row r="47" spans="1:12" ht="28" customHeight="1">
      <c r="A47" s="1698"/>
      <c r="B47" s="2385"/>
      <c r="C47" s="1389"/>
      <c r="D47" s="1686"/>
      <c r="E47" s="1690">
        <f>BS!E28</f>
        <v>0</v>
      </c>
      <c r="F47" s="1687"/>
      <c r="G47" s="1688"/>
      <c r="H47" s="1374"/>
      <c r="I47" s="1379"/>
      <c r="J47" s="1688">
        <f>BS!G28</f>
        <v>0</v>
      </c>
      <c r="K47" s="1689"/>
      <c r="L47" s="1691"/>
    </row>
    <row r="48" spans="1:12" ht="28" customHeight="1">
      <c r="A48" s="1682" t="s">
        <v>571</v>
      </c>
      <c r="B48" s="2524" t="s">
        <v>1606</v>
      </c>
      <c r="C48" s="1388"/>
      <c r="D48" s="1685" t="s">
        <v>573</v>
      </c>
      <c r="E48" s="1690">
        <f>BS!D29</f>
        <v>0</v>
      </c>
      <c r="F48" s="1687"/>
      <c r="G48" s="1688"/>
      <c r="H48" s="1380"/>
      <c r="I48" s="1688">
        <f>E48-E49</f>
        <v>0</v>
      </c>
      <c r="J48" s="1689"/>
      <c r="K48" s="1690"/>
      <c r="L48" s="1185"/>
    </row>
    <row r="49" spans="1:12" ht="28" customHeight="1">
      <c r="A49" s="1698"/>
      <c r="B49" s="2385"/>
      <c r="C49" s="1389"/>
      <c r="D49" s="1686"/>
      <c r="E49" s="1690">
        <f>BS!E29</f>
        <v>0</v>
      </c>
      <c r="F49" s="1687"/>
      <c r="G49" s="1688"/>
      <c r="H49" s="1374"/>
      <c r="I49" s="1379"/>
      <c r="J49" s="1688">
        <f>BS!G29</f>
        <v>0</v>
      </c>
      <c r="K49" s="1689"/>
      <c r="L49" s="1691"/>
    </row>
    <row r="50" spans="1:12" ht="28" customHeight="1">
      <c r="A50" s="1709" t="s">
        <v>574</v>
      </c>
      <c r="B50" s="2731" t="s">
        <v>2602</v>
      </c>
      <c r="C50" s="1221"/>
      <c r="D50" s="1653" t="s">
        <v>576</v>
      </c>
      <c r="E50" s="1655">
        <f>BS!D30</f>
        <v>0</v>
      </c>
      <c r="F50" s="1655"/>
      <c r="G50" s="1656"/>
      <c r="H50" s="1383"/>
      <c r="I50" s="1656">
        <f>E50-E51</f>
        <v>0</v>
      </c>
      <c r="J50" s="1657"/>
      <c r="K50" s="1658"/>
      <c r="L50" s="1182"/>
    </row>
    <row r="51" spans="1:12" ht="28" customHeight="1">
      <c r="A51" s="1710"/>
      <c r="B51" s="2397"/>
      <c r="C51" s="1215"/>
      <c r="D51" s="1654"/>
      <c r="E51" s="1655">
        <f>BS!E30</f>
        <v>0</v>
      </c>
      <c r="F51" s="1655"/>
      <c r="G51" s="1656"/>
      <c r="H51" s="1384"/>
      <c r="I51" s="1382"/>
      <c r="J51" s="1656">
        <f>BS!G30</f>
        <v>0</v>
      </c>
      <c r="K51" s="1657"/>
      <c r="L51" s="1659"/>
    </row>
    <row r="52" spans="1:12" s="1187" customFormat="1" ht="28" customHeight="1">
      <c r="A52" s="1682" t="s">
        <v>577</v>
      </c>
      <c r="B52" s="2737" t="s">
        <v>2414</v>
      </c>
      <c r="C52" s="1388"/>
      <c r="D52" s="1685" t="s">
        <v>579</v>
      </c>
      <c r="E52" s="1687">
        <f>BS!D31</f>
        <v>0</v>
      </c>
      <c r="F52" s="1687"/>
      <c r="G52" s="1688"/>
      <c r="H52" s="1380"/>
      <c r="I52" s="1688">
        <f>E52-E53</f>
        <v>0</v>
      </c>
      <c r="J52" s="1689"/>
      <c r="K52" s="1690"/>
      <c r="L52" s="1185"/>
    </row>
    <row r="53" spans="1:12" s="1187" customFormat="1" ht="28" customHeight="1">
      <c r="A53" s="1698"/>
      <c r="B53" s="2738"/>
      <c r="C53" s="1389"/>
      <c r="D53" s="1686"/>
      <c r="E53" s="1687">
        <f>BS!E31</f>
        <v>0</v>
      </c>
      <c r="F53" s="1687"/>
      <c r="G53" s="1688"/>
      <c r="H53" s="1374"/>
      <c r="I53" s="1379"/>
      <c r="J53" s="1688">
        <f>BS!G31</f>
        <v>0</v>
      </c>
      <c r="K53" s="1689"/>
      <c r="L53" s="1691"/>
    </row>
    <row r="54" spans="1:12" ht="28" customHeight="1">
      <c r="A54" s="1682" t="s">
        <v>532</v>
      </c>
      <c r="B54" s="2737" t="s">
        <v>2415</v>
      </c>
      <c r="C54" s="1388"/>
      <c r="D54" s="1685" t="s">
        <v>581</v>
      </c>
      <c r="E54" s="1687">
        <f>BS!D32</f>
        <v>0</v>
      </c>
      <c r="F54" s="1687"/>
      <c r="G54" s="1688"/>
      <c r="H54" s="1380"/>
      <c r="I54" s="1688">
        <f>E54-E55</f>
        <v>0</v>
      </c>
      <c r="J54" s="1689"/>
      <c r="K54" s="1690"/>
      <c r="L54" s="1185"/>
    </row>
    <row r="55" spans="1:12" ht="28" customHeight="1">
      <c r="A55" s="1698"/>
      <c r="B55" s="2738"/>
      <c r="C55" s="1389"/>
      <c r="D55" s="1686"/>
      <c r="E55" s="1687">
        <f>BS!E32</f>
        <v>0</v>
      </c>
      <c r="F55" s="1687"/>
      <c r="G55" s="1688"/>
      <c r="H55" s="1374"/>
      <c r="I55" s="1379"/>
      <c r="J55" s="1688">
        <f>BS!G32</f>
        <v>0</v>
      </c>
      <c r="K55" s="1689"/>
      <c r="L55" s="1691"/>
    </row>
    <row r="56" spans="1:12" ht="28" customHeight="1">
      <c r="A56" s="1682" t="s">
        <v>535</v>
      </c>
      <c r="B56" s="2737" t="s">
        <v>2416</v>
      </c>
      <c r="C56" s="1388"/>
      <c r="D56" s="1685" t="s">
        <v>583</v>
      </c>
      <c r="E56" s="1687">
        <f>BS!D33</f>
        <v>0</v>
      </c>
      <c r="F56" s="1687"/>
      <c r="G56" s="1688"/>
      <c r="H56" s="1380"/>
      <c r="I56" s="1688">
        <f>E56-E57</f>
        <v>0</v>
      </c>
      <c r="J56" s="1689"/>
      <c r="K56" s="1690"/>
      <c r="L56" s="1185"/>
    </row>
    <row r="57" spans="1:12" ht="28" customHeight="1">
      <c r="A57" s="1698"/>
      <c r="B57" s="2738"/>
      <c r="C57" s="1389"/>
      <c r="D57" s="1686"/>
      <c r="E57" s="1687">
        <f>BS!E33</f>
        <v>0</v>
      </c>
      <c r="F57" s="1687"/>
      <c r="G57" s="1688"/>
      <c r="H57" s="1374"/>
      <c r="I57" s="1379"/>
      <c r="J57" s="1688">
        <f>BS!G33</f>
        <v>0</v>
      </c>
      <c r="K57" s="1689"/>
      <c r="L57" s="1691"/>
    </row>
    <row r="58" spans="1:12" ht="28" customHeight="1">
      <c r="A58" s="1682" t="s">
        <v>538</v>
      </c>
      <c r="B58" s="2737" t="s">
        <v>2417</v>
      </c>
      <c r="C58" s="1388"/>
      <c r="D58" s="1685" t="s">
        <v>585</v>
      </c>
      <c r="E58" s="1687">
        <f>BS!D34</f>
        <v>0</v>
      </c>
      <c r="F58" s="1687"/>
      <c r="G58" s="1688"/>
      <c r="H58" s="1380"/>
      <c r="I58" s="1688">
        <f>E58-E59</f>
        <v>0</v>
      </c>
      <c r="J58" s="1689"/>
      <c r="K58" s="1690"/>
      <c r="L58" s="1185"/>
    </row>
    <row r="59" spans="1:12" ht="28" customHeight="1">
      <c r="A59" s="1698"/>
      <c r="B59" s="2738"/>
      <c r="C59" s="1389"/>
      <c r="D59" s="1686"/>
      <c r="E59" s="1687">
        <f>BS!E34</f>
        <v>0</v>
      </c>
      <c r="F59" s="1687"/>
      <c r="G59" s="1688"/>
      <c r="H59" s="1374"/>
      <c r="I59" s="1379"/>
      <c r="J59" s="1688">
        <f>BS!G34</f>
        <v>0</v>
      </c>
      <c r="K59" s="1689"/>
      <c r="L59" s="1691"/>
    </row>
    <row r="60" spans="1:12" ht="28" customHeight="1">
      <c r="A60" s="1682" t="s">
        <v>541</v>
      </c>
      <c r="B60" s="2737" t="s">
        <v>2418</v>
      </c>
      <c r="C60" s="1388"/>
      <c r="D60" s="1685" t="s">
        <v>587</v>
      </c>
      <c r="E60" s="1687">
        <f>BS!D35</f>
        <v>0</v>
      </c>
      <c r="F60" s="1687"/>
      <c r="G60" s="1688"/>
      <c r="H60" s="1380"/>
      <c r="I60" s="1688">
        <f>E60-E61</f>
        <v>0</v>
      </c>
      <c r="J60" s="1689"/>
      <c r="K60" s="1690"/>
      <c r="L60" s="1185"/>
    </row>
    <row r="61" spans="1:12" ht="28" customHeight="1">
      <c r="A61" s="1698"/>
      <c r="B61" s="2738"/>
      <c r="C61" s="1389"/>
      <c r="D61" s="1686"/>
      <c r="E61" s="1687">
        <f>BS!E35</f>
        <v>0</v>
      </c>
      <c r="F61" s="1687"/>
      <c r="G61" s="1688"/>
      <c r="H61" s="1374"/>
      <c r="I61" s="1379"/>
      <c r="J61" s="1688">
        <f>BS!G35</f>
        <v>0</v>
      </c>
      <c r="K61" s="1689"/>
      <c r="L61" s="1691"/>
    </row>
    <row r="62" spans="1:12" ht="28" customHeight="1">
      <c r="A62" s="1682" t="s">
        <v>544</v>
      </c>
      <c r="B62" s="2737" t="s">
        <v>2419</v>
      </c>
      <c r="C62" s="1388"/>
      <c r="D62" s="1685" t="s">
        <v>589</v>
      </c>
      <c r="E62" s="1687">
        <f>BS!D36</f>
        <v>0</v>
      </c>
      <c r="F62" s="1687"/>
      <c r="G62" s="1688"/>
      <c r="H62" s="1380"/>
      <c r="I62" s="1688">
        <f>E62-E63</f>
        <v>0</v>
      </c>
      <c r="J62" s="1689"/>
      <c r="K62" s="1690"/>
      <c r="L62" s="1185"/>
    </row>
    <row r="63" spans="1:12" ht="28" customHeight="1">
      <c r="A63" s="1698"/>
      <c r="B63" s="2738"/>
      <c r="C63" s="1389"/>
      <c r="D63" s="1686"/>
      <c r="E63" s="1687">
        <f>BS!E36</f>
        <v>0</v>
      </c>
      <c r="F63" s="1687"/>
      <c r="G63" s="1688"/>
      <c r="H63" s="1374"/>
      <c r="I63" s="1379"/>
      <c r="J63" s="1688">
        <f>BS!G36</f>
        <v>0</v>
      </c>
      <c r="K63" s="1689"/>
      <c r="L63" s="1691"/>
    </row>
    <row r="64" spans="1:12" ht="28" customHeight="1">
      <c r="A64" s="1698" t="s">
        <v>547</v>
      </c>
      <c r="B64" s="2737" t="s">
        <v>2420</v>
      </c>
      <c r="C64" s="1388"/>
      <c r="D64" s="1685" t="s">
        <v>591</v>
      </c>
      <c r="E64" s="1687">
        <f>BS!D37</f>
        <v>0</v>
      </c>
      <c r="F64" s="1687"/>
      <c r="G64" s="1688"/>
      <c r="H64" s="1380"/>
      <c r="I64" s="1688">
        <f>E64-E65</f>
        <v>0</v>
      </c>
      <c r="J64" s="1689"/>
      <c r="K64" s="1690"/>
      <c r="L64" s="1185"/>
    </row>
    <row r="65" spans="1:12" ht="28" customHeight="1" thickBot="1">
      <c r="A65" s="1699"/>
      <c r="B65" s="2739"/>
      <c r="C65" s="1397"/>
      <c r="D65" s="1701"/>
      <c r="E65" s="1702">
        <f>BS!E37</f>
        <v>0</v>
      </c>
      <c r="F65" s="1702"/>
      <c r="G65" s="1703"/>
      <c r="H65" s="1373"/>
      <c r="I65" s="1381"/>
      <c r="J65" s="1703">
        <f>BS!G37</f>
        <v>0</v>
      </c>
      <c r="K65" s="1704"/>
      <c r="L65" s="1705"/>
    </row>
    <row r="66" spans="1:12" ht="11.25" customHeight="1">
      <c r="A66" s="2549" t="s">
        <v>1581</v>
      </c>
      <c r="B66" s="2550" t="s">
        <v>1582</v>
      </c>
      <c r="C66" s="1376"/>
      <c r="D66" s="2735" t="s">
        <v>1583</v>
      </c>
      <c r="E66" s="1667" t="s">
        <v>1584</v>
      </c>
      <c r="F66" s="1668"/>
      <c r="G66" s="1668"/>
      <c r="H66" s="1668"/>
      <c r="I66" s="1668"/>
      <c r="J66" s="1669"/>
      <c r="K66" s="2431" t="s">
        <v>1562</v>
      </c>
      <c r="L66" s="2432"/>
    </row>
    <row r="67" spans="1:12" ht="11.25" customHeight="1">
      <c r="A67" s="2518"/>
      <c r="B67" s="2519"/>
      <c r="C67" s="1317"/>
      <c r="D67" s="2419"/>
      <c r="E67" s="1674">
        <v>1</v>
      </c>
      <c r="F67" s="2379" t="s">
        <v>1585</v>
      </c>
      <c r="G67" s="2438"/>
      <c r="H67" s="1408"/>
      <c r="I67" s="2727" t="s">
        <v>1178</v>
      </c>
      <c r="J67" s="2728"/>
      <c r="K67" s="2371"/>
      <c r="L67" s="2372"/>
    </row>
    <row r="68" spans="1:12" ht="12" customHeight="1">
      <c r="A68" s="2381"/>
      <c r="B68" s="2389"/>
      <c r="C68" s="1377"/>
      <c r="D68" s="2421"/>
      <c r="E68" s="1674"/>
      <c r="F68" s="2379" t="s">
        <v>1586</v>
      </c>
      <c r="G68" s="2438"/>
      <c r="H68" s="1408"/>
      <c r="I68" s="2729"/>
      <c r="J68" s="2730"/>
      <c r="K68" s="2379" t="s">
        <v>1176</v>
      </c>
      <c r="L68" s="2380"/>
    </row>
    <row r="69" spans="1:12" ht="28" customHeight="1">
      <c r="A69" s="1698" t="s">
        <v>568</v>
      </c>
      <c r="B69" s="2737" t="s">
        <v>2421</v>
      </c>
      <c r="C69" s="1388"/>
      <c r="D69" s="1685" t="s">
        <v>593</v>
      </c>
      <c r="E69" s="1687">
        <f>BS!D38</f>
        <v>0</v>
      </c>
      <c r="F69" s="1687"/>
      <c r="G69" s="1688"/>
      <c r="H69" s="1380"/>
      <c r="I69" s="1688">
        <f>E69-E70</f>
        <v>0</v>
      </c>
      <c r="J69" s="1689"/>
      <c r="K69" s="1690"/>
      <c r="L69" s="1185"/>
    </row>
    <row r="70" spans="1:12" ht="28" customHeight="1">
      <c r="A70" s="1698"/>
      <c r="B70" s="2738"/>
      <c r="C70" s="1389"/>
      <c r="D70" s="1686"/>
      <c r="E70" s="1687">
        <f>BS!E38</f>
        <v>0</v>
      </c>
      <c r="F70" s="1687"/>
      <c r="G70" s="1688"/>
      <c r="H70" s="1374"/>
      <c r="I70" s="1379"/>
      <c r="J70" s="1688">
        <f>BS!G38</f>
        <v>0</v>
      </c>
      <c r="K70" s="1689"/>
      <c r="L70" s="1691"/>
    </row>
    <row r="71" spans="1:12" ht="28" customHeight="1">
      <c r="A71" s="1698" t="s">
        <v>571</v>
      </c>
      <c r="B71" s="2740" t="s">
        <v>2422</v>
      </c>
      <c r="C71" s="1245"/>
      <c r="D71" s="1685" t="s">
        <v>596</v>
      </c>
      <c r="E71" s="1687">
        <f>BS!D39</f>
        <v>0</v>
      </c>
      <c r="F71" s="1687"/>
      <c r="G71" s="1688"/>
      <c r="H71" s="1380"/>
      <c r="I71" s="1688">
        <f>E71-E72</f>
        <v>0</v>
      </c>
      <c r="J71" s="1689"/>
      <c r="K71" s="1690"/>
      <c r="L71" s="1185"/>
    </row>
    <row r="72" spans="1:12" ht="28" customHeight="1">
      <c r="A72" s="1698"/>
      <c r="B72" s="2741"/>
      <c r="C72" s="1246"/>
      <c r="D72" s="1686"/>
      <c r="E72" s="1687">
        <f>BS!E39</f>
        <v>0</v>
      </c>
      <c r="F72" s="1687"/>
      <c r="G72" s="1688"/>
      <c r="H72" s="1374"/>
      <c r="I72" s="1379"/>
      <c r="J72" s="1688">
        <f>BS!G39</f>
        <v>0</v>
      </c>
      <c r="K72" s="1689"/>
      <c r="L72" s="1691"/>
    </row>
    <row r="73" spans="1:12" s="1187" customFormat="1" ht="28" customHeight="1">
      <c r="A73" s="1698" t="s">
        <v>758</v>
      </c>
      <c r="B73" s="2740" t="s">
        <v>2423</v>
      </c>
      <c r="C73" s="1245"/>
      <c r="D73" s="1685" t="s">
        <v>599</v>
      </c>
      <c r="E73" s="1687">
        <f>BS!D40</f>
        <v>0</v>
      </c>
      <c r="F73" s="1687"/>
      <c r="G73" s="1688"/>
      <c r="H73" s="1380"/>
      <c r="I73" s="1688">
        <f>E73-E74</f>
        <v>0</v>
      </c>
      <c r="J73" s="1689"/>
      <c r="K73" s="1690"/>
      <c r="L73" s="1185"/>
    </row>
    <row r="74" spans="1:12" s="1187" customFormat="1" ht="28" customHeight="1">
      <c r="A74" s="1698"/>
      <c r="B74" s="2741"/>
      <c r="C74" s="1246"/>
      <c r="D74" s="1686"/>
      <c r="E74" s="1687">
        <f>BS!E40</f>
        <v>0</v>
      </c>
      <c r="F74" s="1687"/>
      <c r="G74" s="1688"/>
      <c r="H74" s="1374"/>
      <c r="I74" s="1379"/>
      <c r="J74" s="1688">
        <f>BS!G40</f>
        <v>0</v>
      </c>
      <c r="K74" s="1689"/>
      <c r="L74" s="1691"/>
    </row>
    <row r="75" spans="1:12" s="1187" customFormat="1" ht="28" customHeight="1">
      <c r="A75" s="1698" t="s">
        <v>761</v>
      </c>
      <c r="B75" s="2737" t="s">
        <v>2424</v>
      </c>
      <c r="C75" s="1388"/>
      <c r="D75" s="1685" t="s">
        <v>602</v>
      </c>
      <c r="E75" s="1687">
        <f>BS!D41</f>
        <v>0</v>
      </c>
      <c r="F75" s="1687"/>
      <c r="G75" s="1688"/>
      <c r="H75" s="1380"/>
      <c r="I75" s="1688">
        <f>E75-E76</f>
        <v>0</v>
      </c>
      <c r="J75" s="1689"/>
      <c r="K75" s="1690"/>
      <c r="L75" s="1185"/>
    </row>
    <row r="76" spans="1:12" s="1187" customFormat="1" ht="28" customHeight="1">
      <c r="A76" s="1698"/>
      <c r="B76" s="2738"/>
      <c r="C76" s="1389"/>
      <c r="D76" s="1686"/>
      <c r="E76" s="1687">
        <f>BS!E41</f>
        <v>0</v>
      </c>
      <c r="F76" s="1687"/>
      <c r="G76" s="1688"/>
      <c r="H76" s="1374"/>
      <c r="I76" s="1379"/>
      <c r="J76" s="1688">
        <f>BS!G41</f>
        <v>0</v>
      </c>
      <c r="K76" s="1689"/>
      <c r="L76" s="1691"/>
    </row>
    <row r="77" spans="1:12" ht="28" customHeight="1">
      <c r="A77" s="1710" t="s">
        <v>594</v>
      </c>
      <c r="B77" s="1679" t="s">
        <v>2603</v>
      </c>
      <c r="C77" s="1391"/>
      <c r="D77" s="1653" t="s">
        <v>604</v>
      </c>
      <c r="E77" s="1655">
        <f>BS!D42</f>
        <v>2725791</v>
      </c>
      <c r="F77" s="1655"/>
      <c r="G77" s="1656"/>
      <c r="H77" s="1383"/>
      <c r="I77" s="1656">
        <f>E77-E78</f>
        <v>2693810</v>
      </c>
      <c r="J77" s="1657"/>
      <c r="K77" s="1658"/>
      <c r="L77" s="1182"/>
    </row>
    <row r="78" spans="1:12" ht="28" customHeight="1">
      <c r="A78" s="1710"/>
      <c r="B78" s="1697"/>
      <c r="C78" s="1392"/>
      <c r="D78" s="1654"/>
      <c r="E78" s="1655">
        <f>BS!E42</f>
        <v>31981</v>
      </c>
      <c r="F78" s="1655"/>
      <c r="G78" s="1656"/>
      <c r="H78" s="1384"/>
      <c r="I78" s="1382"/>
      <c r="J78" s="1656">
        <f>BS!G42</f>
        <v>2769602</v>
      </c>
      <c r="K78" s="1657"/>
      <c r="L78" s="1659"/>
    </row>
    <row r="79" spans="1:12" ht="28" customHeight="1">
      <c r="A79" s="1710" t="s">
        <v>597</v>
      </c>
      <c r="B79" s="1679" t="s">
        <v>2604</v>
      </c>
      <c r="C79" s="1391"/>
      <c r="D79" s="1653" t="s">
        <v>606</v>
      </c>
      <c r="E79" s="1655">
        <f>BS!D43</f>
        <v>983058</v>
      </c>
      <c r="F79" s="1655"/>
      <c r="G79" s="1656"/>
      <c r="H79" s="1383"/>
      <c r="I79" s="1656">
        <f>E79-E80</f>
        <v>960272</v>
      </c>
      <c r="J79" s="1657"/>
      <c r="K79" s="1658"/>
      <c r="L79" s="1182"/>
    </row>
    <row r="80" spans="1:12" ht="28" customHeight="1">
      <c r="A80" s="1710"/>
      <c r="B80" s="1697"/>
      <c r="C80" s="1392"/>
      <c r="D80" s="1654"/>
      <c r="E80" s="1655">
        <f>BS!E43</f>
        <v>22786</v>
      </c>
      <c r="F80" s="1655"/>
      <c r="G80" s="1656"/>
      <c r="H80" s="1384"/>
      <c r="I80" s="1382"/>
      <c r="J80" s="1656">
        <f>BS!G43</f>
        <v>1028966</v>
      </c>
      <c r="K80" s="1657"/>
      <c r="L80" s="1659"/>
    </row>
    <row r="81" spans="1:14" ht="28" customHeight="1">
      <c r="A81" s="1698" t="s">
        <v>600</v>
      </c>
      <c r="B81" s="1683" t="s">
        <v>2605</v>
      </c>
      <c r="C81" s="1388"/>
      <c r="D81" s="1685" t="s">
        <v>608</v>
      </c>
      <c r="E81" s="1687">
        <f>BS!D44</f>
        <v>548015</v>
      </c>
      <c r="F81" s="1687"/>
      <c r="G81" s="1688"/>
      <c r="H81" s="1380"/>
      <c r="I81" s="1688">
        <f>E81-E82</f>
        <v>525229</v>
      </c>
      <c r="J81" s="1689"/>
      <c r="K81" s="1690"/>
      <c r="L81" s="1185"/>
    </row>
    <row r="82" spans="1:14" ht="28" customHeight="1">
      <c r="A82" s="1698"/>
      <c r="B82" s="1684"/>
      <c r="C82" s="1389"/>
      <c r="D82" s="1686"/>
      <c r="E82" s="1687">
        <f>BS!E44</f>
        <v>22786</v>
      </c>
      <c r="F82" s="1687"/>
      <c r="G82" s="1688"/>
      <c r="H82" s="1374"/>
      <c r="I82" s="1379"/>
      <c r="J82" s="1688">
        <f>BS!G44</f>
        <v>487487</v>
      </c>
      <c r="K82" s="1689"/>
      <c r="L82" s="1691"/>
    </row>
    <row r="83" spans="1:14" ht="28" customHeight="1">
      <c r="A83" s="1698" t="s">
        <v>532</v>
      </c>
      <c r="B83" s="1683" t="s">
        <v>2606</v>
      </c>
      <c r="C83" s="1388"/>
      <c r="D83" s="1685" t="s">
        <v>610</v>
      </c>
      <c r="E83" s="1687">
        <f>BS!D45</f>
        <v>0</v>
      </c>
      <c r="F83" s="1687"/>
      <c r="G83" s="1688"/>
      <c r="H83" s="1380"/>
      <c r="I83" s="1688">
        <f>E83-E84</f>
        <v>0</v>
      </c>
      <c r="J83" s="1689"/>
      <c r="K83" s="1690"/>
      <c r="L83" s="1185"/>
    </row>
    <row r="84" spans="1:14" ht="28" customHeight="1">
      <c r="A84" s="1698"/>
      <c r="B84" s="1684"/>
      <c r="C84" s="1389"/>
      <c r="D84" s="1686"/>
      <c r="E84" s="1687">
        <f>BS!E45</f>
        <v>0</v>
      </c>
      <c r="F84" s="1687"/>
      <c r="G84" s="1688"/>
      <c r="H84" s="1374"/>
      <c r="I84" s="1379"/>
      <c r="J84" s="1688">
        <f>BS!G45</f>
        <v>3950</v>
      </c>
      <c r="K84" s="1689"/>
      <c r="L84" s="1691"/>
    </row>
    <row r="85" spans="1:14" ht="28" customHeight="1">
      <c r="A85" s="1698" t="s">
        <v>535</v>
      </c>
      <c r="B85" s="1683" t="s">
        <v>2607</v>
      </c>
      <c r="C85" s="1388"/>
      <c r="D85" s="1685" t="s">
        <v>612</v>
      </c>
      <c r="E85" s="1687">
        <f>BS!D46</f>
        <v>5542</v>
      </c>
      <c r="F85" s="1687"/>
      <c r="G85" s="1688"/>
      <c r="H85" s="1380"/>
      <c r="I85" s="1688">
        <f>E85-E86</f>
        <v>5542</v>
      </c>
      <c r="J85" s="1689"/>
      <c r="K85" s="1690"/>
      <c r="L85" s="1185"/>
    </row>
    <row r="86" spans="1:14" ht="28" customHeight="1">
      <c r="A86" s="1698"/>
      <c r="B86" s="1684"/>
      <c r="C86" s="1389"/>
      <c r="D86" s="1686"/>
      <c r="E86" s="1687">
        <f>BS!E46</f>
        <v>0</v>
      </c>
      <c r="F86" s="1687"/>
      <c r="G86" s="1688"/>
      <c r="H86" s="1374"/>
      <c r="I86" s="1379"/>
      <c r="J86" s="1688">
        <f>BS!G46</f>
        <v>2326</v>
      </c>
      <c r="K86" s="1689"/>
      <c r="L86" s="1691"/>
    </row>
    <row r="87" spans="1:14" ht="28" customHeight="1">
      <c r="A87" s="1698" t="s">
        <v>538</v>
      </c>
      <c r="B87" s="1683" t="s">
        <v>2608</v>
      </c>
      <c r="C87" s="1388"/>
      <c r="D87" s="1685" t="s">
        <v>615</v>
      </c>
      <c r="E87" s="1687">
        <f>BS!D47</f>
        <v>0</v>
      </c>
      <c r="F87" s="1687"/>
      <c r="G87" s="1688"/>
      <c r="H87" s="1380"/>
      <c r="I87" s="1688">
        <f>E87-E88</f>
        <v>0</v>
      </c>
      <c r="J87" s="1689"/>
      <c r="K87" s="1690"/>
      <c r="L87" s="1185"/>
    </row>
    <row r="88" spans="1:14" ht="28" customHeight="1">
      <c r="A88" s="1698"/>
      <c r="B88" s="1684"/>
      <c r="C88" s="1389"/>
      <c r="D88" s="1686"/>
      <c r="E88" s="1687">
        <f>BS!E47</f>
        <v>0</v>
      </c>
      <c r="F88" s="1687"/>
      <c r="G88" s="1688"/>
      <c r="H88" s="1374"/>
      <c r="I88" s="1379"/>
      <c r="J88" s="1688">
        <f>BS!G47</f>
        <v>0</v>
      </c>
      <c r="K88" s="1689"/>
      <c r="L88" s="1691"/>
    </row>
    <row r="89" spans="1:14" s="1187" customFormat="1" ht="28" customHeight="1">
      <c r="A89" s="1698" t="s">
        <v>541</v>
      </c>
      <c r="B89" s="1683" t="s">
        <v>2609</v>
      </c>
      <c r="C89" s="1388"/>
      <c r="D89" s="1685" t="s">
        <v>618</v>
      </c>
      <c r="E89" s="1687">
        <f>BS!D48</f>
        <v>429501</v>
      </c>
      <c r="F89" s="1687"/>
      <c r="G89" s="1688"/>
      <c r="H89" s="1380"/>
      <c r="I89" s="1688">
        <f>E89-E90</f>
        <v>429501</v>
      </c>
      <c r="J89" s="1689"/>
      <c r="K89" s="1690"/>
      <c r="L89" s="1185"/>
    </row>
    <row r="90" spans="1:14" s="1187" customFormat="1" ht="28" customHeight="1">
      <c r="A90" s="1698"/>
      <c r="B90" s="1684"/>
      <c r="C90" s="1389"/>
      <c r="D90" s="1686"/>
      <c r="E90" s="1687">
        <f>BS!E48</f>
        <v>0</v>
      </c>
      <c r="F90" s="1687"/>
      <c r="G90" s="1688"/>
      <c r="H90" s="1374"/>
      <c r="I90" s="1379"/>
      <c r="J90" s="1688">
        <f>BS!G48</f>
        <v>535203</v>
      </c>
      <c r="K90" s="1689"/>
      <c r="L90" s="1691"/>
    </row>
    <row r="91" spans="1:14" s="1187" customFormat="1" ht="28" customHeight="1">
      <c r="A91" s="1698" t="s">
        <v>544</v>
      </c>
      <c r="B91" s="1683" t="s">
        <v>2610</v>
      </c>
      <c r="C91" s="1388"/>
      <c r="D91" s="1685" t="s">
        <v>620</v>
      </c>
      <c r="E91" s="1687">
        <f>BS!D49</f>
        <v>0</v>
      </c>
      <c r="F91" s="1687"/>
      <c r="G91" s="1688"/>
      <c r="H91" s="1380"/>
      <c r="I91" s="1688">
        <f>E91-E92</f>
        <v>0</v>
      </c>
      <c r="J91" s="1689"/>
      <c r="K91" s="1690"/>
      <c r="L91" s="1185"/>
    </row>
    <row r="92" spans="1:14" s="1187" customFormat="1" ht="28" customHeight="1">
      <c r="A92" s="1698"/>
      <c r="B92" s="1684"/>
      <c r="C92" s="1389"/>
      <c r="D92" s="1686"/>
      <c r="E92" s="1687">
        <f>BS!E49</f>
        <v>0</v>
      </c>
      <c r="F92" s="1687"/>
      <c r="G92" s="1688"/>
      <c r="H92" s="1374"/>
      <c r="I92" s="1379"/>
      <c r="J92" s="1688">
        <f>BS!G49</f>
        <v>0</v>
      </c>
      <c r="K92" s="1689"/>
      <c r="L92" s="1691"/>
    </row>
    <row r="93" spans="1:14" ht="28" customHeight="1">
      <c r="A93" s="1710" t="s">
        <v>613</v>
      </c>
      <c r="B93" s="1696" t="s">
        <v>2611</v>
      </c>
      <c r="C93" s="1391"/>
      <c r="D93" s="1653" t="s">
        <v>622</v>
      </c>
      <c r="E93" s="1655">
        <f>BS!D50</f>
        <v>0</v>
      </c>
      <c r="F93" s="1655"/>
      <c r="G93" s="1656"/>
      <c r="H93" s="1383"/>
      <c r="I93" s="1656">
        <f>E93-E94</f>
        <v>0</v>
      </c>
      <c r="J93" s="1657"/>
      <c r="K93" s="1658"/>
      <c r="L93" s="1182"/>
    </row>
    <row r="94" spans="1:14" ht="28" customHeight="1">
      <c r="A94" s="1710"/>
      <c r="B94" s="1697"/>
      <c r="C94" s="1247"/>
      <c r="D94" s="1654"/>
      <c r="E94" s="1655">
        <f>BS!E50</f>
        <v>0</v>
      </c>
      <c r="F94" s="1655"/>
      <c r="G94" s="1656"/>
      <c r="H94" s="1384"/>
      <c r="I94" s="1382"/>
      <c r="J94" s="1656">
        <f>BS!G50</f>
        <v>0</v>
      </c>
      <c r="K94" s="1657"/>
      <c r="L94" s="1659"/>
    </row>
    <row r="95" spans="1:14" ht="28" customHeight="1">
      <c r="A95" s="1710" t="s">
        <v>616</v>
      </c>
      <c r="B95" s="1696" t="s">
        <v>2612</v>
      </c>
      <c r="C95" s="1391"/>
      <c r="D95" s="1653" t="s">
        <v>624</v>
      </c>
      <c r="E95" s="1687">
        <f>BS!D51</f>
        <v>0</v>
      </c>
      <c r="F95" s="1687"/>
      <c r="G95" s="1688"/>
      <c r="H95" s="1380"/>
      <c r="I95" s="1688">
        <f>E95-E96</f>
        <v>0</v>
      </c>
      <c r="J95" s="1689"/>
      <c r="K95" s="1690"/>
      <c r="L95" s="1185"/>
      <c r="N95" s="1179" t="s">
        <v>1093</v>
      </c>
    </row>
    <row r="96" spans="1:14" ht="28" customHeight="1" thickBot="1">
      <c r="A96" s="1770"/>
      <c r="B96" s="1771"/>
      <c r="C96" s="1355"/>
      <c r="D96" s="1772"/>
      <c r="E96" s="1702">
        <f>BS!E51</f>
        <v>0</v>
      </c>
      <c r="F96" s="1702"/>
      <c r="G96" s="1703"/>
      <c r="H96" s="1373"/>
      <c r="I96" s="1381"/>
      <c r="J96" s="1703">
        <f>BS!G51</f>
        <v>0</v>
      </c>
      <c r="K96" s="1704"/>
      <c r="L96" s="1705"/>
    </row>
    <row r="97" spans="1:12" ht="11.25" customHeight="1">
      <c r="A97" s="2549" t="s">
        <v>1581</v>
      </c>
      <c r="B97" s="2550" t="s">
        <v>1582</v>
      </c>
      <c r="C97" s="1376"/>
      <c r="D97" s="2735" t="s">
        <v>1583</v>
      </c>
      <c r="E97" s="1667" t="s">
        <v>1584</v>
      </c>
      <c r="F97" s="1668"/>
      <c r="G97" s="1668"/>
      <c r="H97" s="1668"/>
      <c r="I97" s="1668"/>
      <c r="J97" s="1669"/>
      <c r="K97" s="2431" t="s">
        <v>1562</v>
      </c>
      <c r="L97" s="2432"/>
    </row>
    <row r="98" spans="1:12" ht="11.25" customHeight="1">
      <c r="A98" s="2518"/>
      <c r="B98" s="2519"/>
      <c r="C98" s="1317"/>
      <c r="D98" s="2419"/>
      <c r="E98" s="1674">
        <v>1</v>
      </c>
      <c r="F98" s="2379" t="s">
        <v>1585</v>
      </c>
      <c r="G98" s="2438"/>
      <c r="H98" s="1408"/>
      <c r="I98" s="2727" t="s">
        <v>1178</v>
      </c>
      <c r="J98" s="2728"/>
      <c r="K98" s="2371"/>
      <c r="L98" s="2372"/>
    </row>
    <row r="99" spans="1:12" ht="12" customHeight="1">
      <c r="A99" s="2381"/>
      <c r="B99" s="2389"/>
      <c r="C99" s="1377"/>
      <c r="D99" s="2421"/>
      <c r="E99" s="1674"/>
      <c r="F99" s="2379" t="s">
        <v>1586</v>
      </c>
      <c r="G99" s="2438"/>
      <c r="H99" s="1408"/>
      <c r="I99" s="2729"/>
      <c r="J99" s="2730"/>
      <c r="K99" s="2379" t="s">
        <v>1176</v>
      </c>
      <c r="L99" s="2380"/>
    </row>
    <row r="100" spans="1:12" ht="28" customHeight="1">
      <c r="A100" s="1698" t="s">
        <v>2265</v>
      </c>
      <c r="B100" s="2737" t="s">
        <v>2435</v>
      </c>
      <c r="C100" s="1249"/>
      <c r="D100" s="1685" t="s">
        <v>626</v>
      </c>
      <c r="E100" s="1687">
        <f>BS!D52</f>
        <v>0</v>
      </c>
      <c r="F100" s="1687"/>
      <c r="G100" s="1688"/>
      <c r="H100" s="1380"/>
      <c r="I100" s="1688">
        <f>E100-E101</f>
        <v>0</v>
      </c>
      <c r="J100" s="1689"/>
      <c r="K100" s="1690"/>
      <c r="L100" s="1185"/>
    </row>
    <row r="101" spans="1:12" ht="28" customHeight="1">
      <c r="A101" s="1698"/>
      <c r="B101" s="2738"/>
      <c r="C101" s="1222"/>
      <c r="D101" s="1686"/>
      <c r="E101" s="1687">
        <f>BS!E52</f>
        <v>0</v>
      </c>
      <c r="F101" s="1687"/>
      <c r="G101" s="1688"/>
      <c r="H101" s="1374"/>
      <c r="I101" s="1379"/>
      <c r="J101" s="1688">
        <f>BS!G52</f>
        <v>0</v>
      </c>
      <c r="K101" s="1689"/>
      <c r="L101" s="1691"/>
    </row>
    <row r="102" spans="1:12" ht="28" customHeight="1">
      <c r="A102" s="1698" t="s">
        <v>2266</v>
      </c>
      <c r="B102" s="2737" t="s">
        <v>2436</v>
      </c>
      <c r="C102" s="1388"/>
      <c r="D102" s="1685" t="s">
        <v>628</v>
      </c>
      <c r="E102" s="1687">
        <f>BS!D53</f>
        <v>0</v>
      </c>
      <c r="F102" s="1687"/>
      <c r="G102" s="1688"/>
      <c r="H102" s="1380"/>
      <c r="I102" s="1688">
        <f>E102-E103</f>
        <v>0</v>
      </c>
      <c r="J102" s="1689"/>
      <c r="K102" s="1690"/>
      <c r="L102" s="1185"/>
    </row>
    <row r="103" spans="1:12" ht="28" customHeight="1">
      <c r="A103" s="1698"/>
      <c r="B103" s="2738"/>
      <c r="C103" s="1389"/>
      <c r="D103" s="1686"/>
      <c r="E103" s="1687">
        <f>BS!E53</f>
        <v>0</v>
      </c>
      <c r="F103" s="1687"/>
      <c r="G103" s="1688"/>
      <c r="H103" s="1374"/>
      <c r="I103" s="1379"/>
      <c r="J103" s="1688">
        <f>BS!G53</f>
        <v>0</v>
      </c>
      <c r="K103" s="1689"/>
      <c r="L103" s="1691"/>
    </row>
    <row r="104" spans="1:12" ht="28" customHeight="1">
      <c r="A104" s="1698" t="s">
        <v>2267</v>
      </c>
      <c r="B104" s="2737" t="s">
        <v>2437</v>
      </c>
      <c r="C104" s="1388"/>
      <c r="D104" s="1685" t="s">
        <v>630</v>
      </c>
      <c r="E104" s="1687">
        <f>BS!D54</f>
        <v>0</v>
      </c>
      <c r="F104" s="1687"/>
      <c r="G104" s="1688"/>
      <c r="H104" s="1380"/>
      <c r="I104" s="1688">
        <f>E104-E105</f>
        <v>0</v>
      </c>
      <c r="J104" s="1689"/>
      <c r="K104" s="1690"/>
      <c r="L104" s="1185"/>
    </row>
    <row r="105" spans="1:12" ht="28" customHeight="1">
      <c r="A105" s="1698"/>
      <c r="B105" s="2738"/>
      <c r="C105" s="1389"/>
      <c r="D105" s="1686"/>
      <c r="E105" s="1687">
        <f>BS!E54</f>
        <v>0</v>
      </c>
      <c r="F105" s="1687"/>
      <c r="G105" s="1688"/>
      <c r="H105" s="1374"/>
      <c r="I105" s="1379"/>
      <c r="J105" s="1688">
        <f>BS!G54</f>
        <v>0</v>
      </c>
      <c r="K105" s="1689"/>
      <c r="L105" s="1691"/>
    </row>
    <row r="106" spans="1:12" ht="28" customHeight="1">
      <c r="A106" s="1698" t="s">
        <v>532</v>
      </c>
      <c r="B106" s="2740" t="s">
        <v>1120</v>
      </c>
      <c r="C106" s="1245"/>
      <c r="D106" s="1685" t="s">
        <v>633</v>
      </c>
      <c r="E106" s="1687">
        <f>BS!D55</f>
        <v>0</v>
      </c>
      <c r="F106" s="1687"/>
      <c r="G106" s="1688"/>
      <c r="H106" s="1380"/>
      <c r="I106" s="1688">
        <f>E106-E107</f>
        <v>0</v>
      </c>
      <c r="J106" s="1689"/>
      <c r="K106" s="1690"/>
      <c r="L106" s="1185"/>
    </row>
    <row r="107" spans="1:12" ht="28" customHeight="1">
      <c r="A107" s="1698"/>
      <c r="B107" s="2741"/>
      <c r="C107" s="1246"/>
      <c r="D107" s="1686"/>
      <c r="E107" s="1687">
        <f>BS!E55</f>
        <v>0</v>
      </c>
      <c r="F107" s="1687"/>
      <c r="G107" s="1688"/>
      <c r="H107" s="1374"/>
      <c r="I107" s="1379"/>
      <c r="J107" s="1688">
        <f>BS!G55</f>
        <v>0</v>
      </c>
      <c r="K107" s="1689"/>
      <c r="L107" s="1691"/>
    </row>
    <row r="108" spans="1:12" s="1187" customFormat="1" ht="28" customHeight="1">
      <c r="A108" s="1698" t="s">
        <v>535</v>
      </c>
      <c r="B108" s="2737" t="s">
        <v>2438</v>
      </c>
      <c r="C108" s="1388"/>
      <c r="D108" s="1685" t="s">
        <v>636</v>
      </c>
      <c r="E108" s="1687">
        <f>BS!D56</f>
        <v>0</v>
      </c>
      <c r="F108" s="1687"/>
      <c r="G108" s="1688"/>
      <c r="H108" s="1380"/>
      <c r="I108" s="1688">
        <f>E108-E109</f>
        <v>0</v>
      </c>
      <c r="J108" s="1689"/>
      <c r="K108" s="1690"/>
      <c r="L108" s="1185"/>
    </row>
    <row r="109" spans="1:12" s="1187" customFormat="1" ht="28" customHeight="1">
      <c r="A109" s="1698"/>
      <c r="B109" s="2738"/>
      <c r="C109" s="1389"/>
      <c r="D109" s="1686"/>
      <c r="E109" s="1687">
        <f>BS!E56</f>
        <v>0</v>
      </c>
      <c r="F109" s="1687"/>
      <c r="G109" s="1688"/>
      <c r="H109" s="1374"/>
      <c r="I109" s="1379"/>
      <c r="J109" s="1688">
        <f>BS!G56</f>
        <v>0</v>
      </c>
      <c r="K109" s="1689"/>
      <c r="L109" s="1691"/>
    </row>
    <row r="110" spans="1:12" s="1187" customFormat="1" ht="28" customHeight="1">
      <c r="A110" s="1698" t="s">
        <v>538</v>
      </c>
      <c r="B110" s="2737" t="s">
        <v>2439</v>
      </c>
      <c r="C110" s="1388"/>
      <c r="D110" s="1685" t="s">
        <v>637</v>
      </c>
      <c r="E110" s="1687">
        <f>BS!D57</f>
        <v>0</v>
      </c>
      <c r="F110" s="1687"/>
      <c r="G110" s="1688"/>
      <c r="H110" s="1380"/>
      <c r="I110" s="1688">
        <f>E110-E111</f>
        <v>0</v>
      </c>
      <c r="J110" s="1689"/>
      <c r="K110" s="1690"/>
      <c r="L110" s="1185"/>
    </row>
    <row r="111" spans="1:12" s="1187" customFormat="1" ht="28" customHeight="1">
      <c r="A111" s="1698"/>
      <c r="B111" s="2738"/>
      <c r="C111" s="1389"/>
      <c r="D111" s="1686"/>
      <c r="E111" s="1687">
        <f>BS!E57</f>
        <v>0</v>
      </c>
      <c r="F111" s="1687"/>
      <c r="G111" s="1688"/>
      <c r="H111" s="1374"/>
      <c r="I111" s="1379"/>
      <c r="J111" s="1688">
        <f>BS!G57</f>
        <v>0</v>
      </c>
      <c r="K111" s="1689"/>
      <c r="L111" s="1691"/>
    </row>
    <row r="112" spans="1:12" ht="28" customHeight="1">
      <c r="A112" s="1698" t="s">
        <v>541</v>
      </c>
      <c r="B112" s="2737" t="s">
        <v>2440</v>
      </c>
      <c r="C112" s="1388"/>
      <c r="D112" s="1685" t="s">
        <v>639</v>
      </c>
      <c r="E112" s="1687">
        <f>BS!D58</f>
        <v>0</v>
      </c>
      <c r="F112" s="1687"/>
      <c r="G112" s="1688"/>
      <c r="H112" s="1380"/>
      <c r="I112" s="1688">
        <f>E112-E113</f>
        <v>0</v>
      </c>
      <c r="J112" s="1689"/>
      <c r="K112" s="1690"/>
      <c r="L112" s="1185"/>
    </row>
    <row r="113" spans="1:12" ht="28" customHeight="1">
      <c r="A113" s="1698"/>
      <c r="B113" s="2738"/>
      <c r="C113" s="1389"/>
      <c r="D113" s="1686"/>
      <c r="E113" s="1687">
        <f>BS!E58</f>
        <v>0</v>
      </c>
      <c r="F113" s="1687"/>
      <c r="G113" s="1688"/>
      <c r="H113" s="1374"/>
      <c r="I113" s="1379"/>
      <c r="J113" s="1688">
        <f>BS!G58</f>
        <v>0</v>
      </c>
      <c r="K113" s="1689"/>
      <c r="L113" s="1691"/>
    </row>
    <row r="114" spans="1:12" ht="28" customHeight="1">
      <c r="A114" s="1698" t="s">
        <v>544</v>
      </c>
      <c r="B114" s="2737" t="s">
        <v>2441</v>
      </c>
      <c r="C114" s="1388"/>
      <c r="D114" s="1685" t="s">
        <v>640</v>
      </c>
      <c r="E114" s="1687">
        <f>BS!D59</f>
        <v>0</v>
      </c>
      <c r="F114" s="1687"/>
      <c r="G114" s="1688"/>
      <c r="H114" s="1380"/>
      <c r="I114" s="1688">
        <f>E114-E115</f>
        <v>0</v>
      </c>
      <c r="J114" s="1689"/>
      <c r="K114" s="1690"/>
      <c r="L114" s="1185"/>
    </row>
    <row r="115" spans="1:12" ht="28" customHeight="1">
      <c r="A115" s="1698"/>
      <c r="B115" s="2738"/>
      <c r="C115" s="1389"/>
      <c r="D115" s="1686"/>
      <c r="E115" s="1687">
        <f>BS!E59</f>
        <v>0</v>
      </c>
      <c r="F115" s="1687"/>
      <c r="G115" s="1688"/>
      <c r="H115" s="1374"/>
      <c r="I115" s="1379"/>
      <c r="J115" s="1688">
        <f>BS!G59</f>
        <v>0</v>
      </c>
      <c r="K115" s="1689"/>
      <c r="L115" s="1691"/>
    </row>
    <row r="116" spans="1:12" ht="28" customHeight="1">
      <c r="A116" s="1698" t="s">
        <v>547</v>
      </c>
      <c r="B116" s="2737" t="s">
        <v>2442</v>
      </c>
      <c r="C116" s="1388"/>
      <c r="D116" s="1685" t="s">
        <v>642</v>
      </c>
      <c r="E116" s="1687">
        <f>BS!D60</f>
        <v>0</v>
      </c>
      <c r="F116" s="1687"/>
      <c r="G116" s="1688"/>
      <c r="H116" s="1380"/>
      <c r="I116" s="1688">
        <f>E116-E117</f>
        <v>0</v>
      </c>
      <c r="J116" s="1689"/>
      <c r="K116" s="1690"/>
      <c r="L116" s="1185"/>
    </row>
    <row r="117" spans="1:12" ht="28" customHeight="1">
      <c r="A117" s="1698"/>
      <c r="B117" s="2738"/>
      <c r="C117" s="1389"/>
      <c r="D117" s="1686"/>
      <c r="E117" s="1687">
        <f>BS!E60</f>
        <v>0</v>
      </c>
      <c r="F117" s="1687"/>
      <c r="G117" s="1688"/>
      <c r="H117" s="1374"/>
      <c r="I117" s="1379"/>
      <c r="J117" s="1688">
        <f>BS!G60</f>
        <v>0</v>
      </c>
      <c r="K117" s="1689"/>
      <c r="L117" s="1691"/>
    </row>
    <row r="118" spans="1:12" ht="28" customHeight="1">
      <c r="A118" s="1698" t="s">
        <v>568</v>
      </c>
      <c r="B118" s="2737" t="s">
        <v>2443</v>
      </c>
      <c r="C118" s="1388"/>
      <c r="D118" s="1685" t="s">
        <v>644</v>
      </c>
      <c r="E118" s="1687">
        <f>BS!D61</f>
        <v>0</v>
      </c>
      <c r="F118" s="1687"/>
      <c r="G118" s="1688"/>
      <c r="H118" s="1380"/>
      <c r="I118" s="1688">
        <f>E118-E119</f>
        <v>0</v>
      </c>
      <c r="J118" s="1689"/>
      <c r="K118" s="1690"/>
      <c r="L118" s="1185"/>
    </row>
    <row r="119" spans="1:12" ht="28" customHeight="1">
      <c r="A119" s="1698"/>
      <c r="B119" s="2738"/>
      <c r="C119" s="1389"/>
      <c r="D119" s="1686"/>
      <c r="E119" s="1687">
        <f>BS!E61</f>
        <v>0</v>
      </c>
      <c r="F119" s="1687"/>
      <c r="G119" s="1688"/>
      <c r="H119" s="1374"/>
      <c r="I119" s="1379"/>
      <c r="J119" s="1688">
        <f>BS!G61</f>
        <v>0</v>
      </c>
      <c r="K119" s="1689"/>
      <c r="L119" s="1691"/>
    </row>
    <row r="120" spans="1:12" ht="28" customHeight="1">
      <c r="A120" s="1710" t="s">
        <v>631</v>
      </c>
      <c r="B120" s="1679" t="s">
        <v>2613</v>
      </c>
      <c r="C120" s="1391"/>
      <c r="D120" s="1653" t="s">
        <v>646</v>
      </c>
      <c r="E120" s="1655">
        <f>BS!D62</f>
        <v>644749</v>
      </c>
      <c r="F120" s="1655"/>
      <c r="G120" s="1656"/>
      <c r="H120" s="1383"/>
      <c r="I120" s="1656">
        <f>E120-E121</f>
        <v>635554</v>
      </c>
      <c r="J120" s="1657"/>
      <c r="K120" s="1658"/>
      <c r="L120" s="1182"/>
    </row>
    <row r="121" spans="1:12" ht="28" customHeight="1">
      <c r="A121" s="1710"/>
      <c r="B121" s="1697"/>
      <c r="C121" s="1392"/>
      <c r="D121" s="1654"/>
      <c r="E121" s="1655">
        <f>BS!E62</f>
        <v>9195</v>
      </c>
      <c r="F121" s="1655"/>
      <c r="G121" s="1656"/>
      <c r="H121" s="1384"/>
      <c r="I121" s="1382"/>
      <c r="J121" s="1656">
        <f>BS!G62</f>
        <v>1440723</v>
      </c>
      <c r="K121" s="1657"/>
      <c r="L121" s="1659"/>
    </row>
    <row r="122" spans="1:12" ht="28" customHeight="1">
      <c r="A122" s="1710" t="s">
        <v>634</v>
      </c>
      <c r="B122" s="1696" t="s">
        <v>2614</v>
      </c>
      <c r="C122" s="1391"/>
      <c r="D122" s="1653" t="s">
        <v>648</v>
      </c>
      <c r="E122" s="1687">
        <f>BS!D63</f>
        <v>625303</v>
      </c>
      <c r="F122" s="1687"/>
      <c r="G122" s="1688"/>
      <c r="H122" s="1380"/>
      <c r="I122" s="1688">
        <f>E122-E123</f>
        <v>625303</v>
      </c>
      <c r="J122" s="1689"/>
      <c r="K122" s="1690"/>
      <c r="L122" s="1185"/>
    </row>
    <row r="123" spans="1:12" ht="28" customHeight="1">
      <c r="A123" s="1710"/>
      <c r="B123" s="1697"/>
      <c r="C123" s="1392"/>
      <c r="D123" s="1654"/>
      <c r="E123" s="1687">
        <f>BS!E63</f>
        <v>0</v>
      </c>
      <c r="F123" s="1687"/>
      <c r="G123" s="1688"/>
      <c r="H123" s="1374"/>
      <c r="I123" s="1379"/>
      <c r="J123" s="1688">
        <f>BS!G63</f>
        <v>1395498</v>
      </c>
      <c r="K123" s="1689"/>
      <c r="L123" s="1691"/>
    </row>
    <row r="124" spans="1:12" ht="28" customHeight="1">
      <c r="A124" s="1698" t="s">
        <v>2265</v>
      </c>
      <c r="B124" s="2740" t="s">
        <v>2446</v>
      </c>
      <c r="C124" s="1245"/>
      <c r="D124" s="1685" t="s">
        <v>651</v>
      </c>
      <c r="E124" s="1687">
        <f>BS!D64</f>
        <v>0</v>
      </c>
      <c r="F124" s="1687"/>
      <c r="G124" s="1688"/>
      <c r="H124" s="1380"/>
      <c r="I124" s="1688">
        <f>E124-E125</f>
        <v>0</v>
      </c>
      <c r="J124" s="1689"/>
      <c r="K124" s="1690"/>
      <c r="L124" s="1185"/>
    </row>
    <row r="125" spans="1:12" ht="28" customHeight="1">
      <c r="A125" s="1698"/>
      <c r="B125" s="2741"/>
      <c r="C125" s="1246"/>
      <c r="D125" s="1686"/>
      <c r="E125" s="1687">
        <f>BS!E64</f>
        <v>0</v>
      </c>
      <c r="F125" s="1687"/>
      <c r="G125" s="1688"/>
      <c r="H125" s="1374"/>
      <c r="I125" s="1379"/>
      <c r="J125" s="1688">
        <f>BS!G64</f>
        <v>134342</v>
      </c>
      <c r="K125" s="1689"/>
      <c r="L125" s="1691"/>
    </row>
    <row r="126" spans="1:12" s="1187" customFormat="1" ht="28" customHeight="1">
      <c r="A126" s="1698" t="s">
        <v>2266</v>
      </c>
      <c r="B126" s="2737" t="s">
        <v>2447</v>
      </c>
      <c r="C126" s="1388"/>
      <c r="D126" s="1685" t="s">
        <v>654</v>
      </c>
      <c r="E126" s="1687">
        <f>BS!D65</f>
        <v>0</v>
      </c>
      <c r="F126" s="1687"/>
      <c r="G126" s="1688"/>
      <c r="H126" s="1380"/>
      <c r="I126" s="1688">
        <f>E126-E127</f>
        <v>0</v>
      </c>
      <c r="J126" s="1689"/>
      <c r="K126" s="1690"/>
      <c r="L126" s="1185"/>
    </row>
    <row r="127" spans="1:12" s="1187" customFormat="1" ht="28" customHeight="1" thickBot="1">
      <c r="A127" s="1699"/>
      <c r="B127" s="2739"/>
      <c r="C127" s="1397"/>
      <c r="D127" s="1701"/>
      <c r="E127" s="1702">
        <f>BS!E65</f>
        <v>0</v>
      </c>
      <c r="F127" s="1702"/>
      <c r="G127" s="1703"/>
      <c r="H127" s="1373"/>
      <c r="I127" s="1381"/>
      <c r="J127" s="1703">
        <f>BS!G65</f>
        <v>0</v>
      </c>
      <c r="K127" s="1704"/>
      <c r="L127" s="1705"/>
    </row>
    <row r="128" spans="1:12" ht="11.25" customHeight="1">
      <c r="A128" s="2549" t="s">
        <v>1581</v>
      </c>
      <c r="B128" s="2550" t="s">
        <v>1582</v>
      </c>
      <c r="C128" s="1376"/>
      <c r="D128" s="2735" t="s">
        <v>1583</v>
      </c>
      <c r="E128" s="1667" t="s">
        <v>1584</v>
      </c>
      <c r="F128" s="1668"/>
      <c r="G128" s="1668"/>
      <c r="H128" s="1668"/>
      <c r="I128" s="1668"/>
      <c r="J128" s="1669"/>
      <c r="K128" s="2431" t="s">
        <v>1562</v>
      </c>
      <c r="L128" s="2432"/>
    </row>
    <row r="129" spans="1:12" ht="11.25" customHeight="1">
      <c r="A129" s="2518"/>
      <c r="B129" s="2519"/>
      <c r="C129" s="1317"/>
      <c r="D129" s="2419"/>
      <c r="E129" s="1674">
        <v>1</v>
      </c>
      <c r="F129" s="2379" t="s">
        <v>1585</v>
      </c>
      <c r="G129" s="2438"/>
      <c r="H129" s="1408"/>
      <c r="I129" s="2727" t="s">
        <v>1178</v>
      </c>
      <c r="J129" s="2728"/>
      <c r="K129" s="2371"/>
      <c r="L129" s="2372"/>
    </row>
    <row r="130" spans="1:12" ht="11.25" customHeight="1">
      <c r="A130" s="2381"/>
      <c r="B130" s="2389"/>
      <c r="C130" s="1377"/>
      <c r="D130" s="2421"/>
      <c r="E130" s="1674"/>
      <c r="F130" s="2379" t="s">
        <v>1586</v>
      </c>
      <c r="G130" s="2438"/>
      <c r="H130" s="1408"/>
      <c r="I130" s="2729"/>
      <c r="J130" s="2730"/>
      <c r="K130" s="2379" t="s">
        <v>1176</v>
      </c>
      <c r="L130" s="2380"/>
    </row>
    <row r="131" spans="1:12" s="1181" customFormat="1" ht="28" customHeight="1">
      <c r="A131" s="1698" t="s">
        <v>2267</v>
      </c>
      <c r="B131" s="2742" t="s">
        <v>2437</v>
      </c>
      <c r="C131" s="1248"/>
      <c r="D131" s="1716" t="s">
        <v>656</v>
      </c>
      <c r="E131" s="1687">
        <f>BS!D66</f>
        <v>625303</v>
      </c>
      <c r="F131" s="1687"/>
      <c r="G131" s="1688"/>
      <c r="H131" s="1380"/>
      <c r="I131" s="1688">
        <f>E131-E132</f>
        <v>625303</v>
      </c>
      <c r="J131" s="1689"/>
      <c r="K131" s="1690"/>
      <c r="L131" s="1185"/>
    </row>
    <row r="132" spans="1:12" s="1181" customFormat="1" ht="28" customHeight="1">
      <c r="A132" s="1698"/>
      <c r="B132" s="2743"/>
      <c r="C132" s="1244"/>
      <c r="D132" s="1717"/>
      <c r="E132" s="1687">
        <f>BS!E66</f>
        <v>0</v>
      </c>
      <c r="F132" s="1687"/>
      <c r="G132" s="1688"/>
      <c r="H132" s="1374"/>
      <c r="I132" s="1379"/>
      <c r="J132" s="1688">
        <f>BS!G66</f>
        <v>1261156</v>
      </c>
      <c r="K132" s="1689"/>
      <c r="L132" s="1691"/>
    </row>
    <row r="133" spans="1:12" s="1181" customFormat="1" ht="28" customHeight="1">
      <c r="A133" s="1698" t="s">
        <v>532</v>
      </c>
      <c r="B133" s="2742" t="s">
        <v>2448</v>
      </c>
      <c r="C133" s="1248"/>
      <c r="D133" s="1716" t="s">
        <v>658</v>
      </c>
      <c r="E133" s="1687">
        <f>BS!D67</f>
        <v>0</v>
      </c>
      <c r="F133" s="1687"/>
      <c r="G133" s="1688"/>
      <c r="H133" s="1380"/>
      <c r="I133" s="1688">
        <f>E133-E134</f>
        <v>0</v>
      </c>
      <c r="J133" s="1689"/>
      <c r="K133" s="1690"/>
      <c r="L133" s="1185"/>
    </row>
    <row r="134" spans="1:12" ht="28" customHeight="1">
      <c r="A134" s="1698"/>
      <c r="B134" s="2743"/>
      <c r="C134" s="1244"/>
      <c r="D134" s="1717"/>
      <c r="E134" s="1687">
        <f>BS!E67</f>
        <v>0</v>
      </c>
      <c r="F134" s="1687"/>
      <c r="G134" s="1688"/>
      <c r="H134" s="1374"/>
      <c r="I134" s="1379"/>
      <c r="J134" s="1688">
        <f>BS!G67</f>
        <v>0</v>
      </c>
      <c r="K134" s="1689"/>
      <c r="L134" s="1691"/>
    </row>
    <row r="135" spans="1:12" ht="28" customHeight="1">
      <c r="A135" s="1698" t="s">
        <v>535</v>
      </c>
      <c r="B135" s="2742" t="s">
        <v>2438</v>
      </c>
      <c r="C135" s="1248"/>
      <c r="D135" s="1716" t="s">
        <v>660</v>
      </c>
      <c r="E135" s="1687">
        <f>BS!D68</f>
        <v>0</v>
      </c>
      <c r="F135" s="1687"/>
      <c r="G135" s="1688"/>
      <c r="H135" s="1380"/>
      <c r="I135" s="1688">
        <f>E135-E136</f>
        <v>0</v>
      </c>
      <c r="J135" s="1689"/>
      <c r="K135" s="1690"/>
      <c r="L135" s="1185"/>
    </row>
    <row r="136" spans="1:12" ht="28" customHeight="1">
      <c r="A136" s="1698"/>
      <c r="B136" s="2743"/>
      <c r="C136" s="1244"/>
      <c r="D136" s="1717"/>
      <c r="E136" s="1687">
        <f>BS!E68</f>
        <v>0</v>
      </c>
      <c r="F136" s="1687"/>
      <c r="G136" s="1688"/>
      <c r="H136" s="1374"/>
      <c r="I136" s="1379"/>
      <c r="J136" s="1688">
        <f>BS!G68</f>
        <v>0</v>
      </c>
      <c r="K136" s="1689"/>
      <c r="L136" s="1691"/>
    </row>
    <row r="137" spans="1:12" ht="28" customHeight="1">
      <c r="A137" s="1698" t="s">
        <v>538</v>
      </c>
      <c r="B137" s="2742" t="s">
        <v>2449</v>
      </c>
      <c r="C137" s="1248"/>
      <c r="D137" s="1716" t="s">
        <v>662</v>
      </c>
      <c r="E137" s="1687">
        <f>BS!D69</f>
        <v>0</v>
      </c>
      <c r="F137" s="1687"/>
      <c r="G137" s="1688"/>
      <c r="H137" s="1380"/>
      <c r="I137" s="1688">
        <f>E137-E138</f>
        <v>0</v>
      </c>
      <c r="J137" s="1689"/>
      <c r="K137" s="1690"/>
      <c r="L137" s="1185"/>
    </row>
    <row r="138" spans="1:12" ht="28" customHeight="1">
      <c r="A138" s="1698"/>
      <c r="B138" s="2743"/>
      <c r="C138" s="1244"/>
      <c r="D138" s="1717"/>
      <c r="E138" s="1687">
        <f>BS!E69</f>
        <v>0</v>
      </c>
      <c r="F138" s="1687"/>
      <c r="G138" s="1688"/>
      <c r="H138" s="1374"/>
      <c r="I138" s="1379"/>
      <c r="J138" s="1688">
        <f>BS!G69</f>
        <v>0</v>
      </c>
      <c r="K138" s="1689"/>
      <c r="L138" s="1691"/>
    </row>
    <row r="139" spans="1:12" ht="28" customHeight="1">
      <c r="A139" s="1698" t="s">
        <v>541</v>
      </c>
      <c r="B139" s="2742" t="s">
        <v>2450</v>
      </c>
      <c r="C139" s="1248"/>
      <c r="D139" s="1716" t="s">
        <v>665</v>
      </c>
      <c r="E139" s="1687">
        <f>BS!D70</f>
        <v>0</v>
      </c>
      <c r="F139" s="1687"/>
      <c r="G139" s="1688"/>
      <c r="H139" s="1380"/>
      <c r="I139" s="1688">
        <f>E139-E140</f>
        <v>0</v>
      </c>
      <c r="J139" s="1689"/>
      <c r="K139" s="1690"/>
      <c r="L139" s="1185"/>
    </row>
    <row r="140" spans="1:12" ht="28" customHeight="1">
      <c r="A140" s="1698"/>
      <c r="B140" s="2743"/>
      <c r="C140" s="1244"/>
      <c r="D140" s="1717"/>
      <c r="E140" s="1687">
        <f>BS!E70</f>
        <v>0</v>
      </c>
      <c r="F140" s="1687"/>
      <c r="G140" s="1688"/>
      <c r="H140" s="1374"/>
      <c r="I140" s="1379"/>
      <c r="J140" s="1688">
        <f>BS!G70</f>
        <v>0</v>
      </c>
      <c r="K140" s="1689"/>
      <c r="L140" s="1691"/>
    </row>
    <row r="141" spans="1:12" ht="28" customHeight="1">
      <c r="A141" s="1698" t="s">
        <v>544</v>
      </c>
      <c r="B141" s="2742" t="s">
        <v>2451</v>
      </c>
      <c r="C141" s="1248"/>
      <c r="D141" s="1716" t="s">
        <v>668</v>
      </c>
      <c r="E141" s="1687">
        <f>BS!D71</f>
        <v>0</v>
      </c>
      <c r="F141" s="1687"/>
      <c r="G141" s="1688"/>
      <c r="H141" s="1380"/>
      <c r="I141" s="1688">
        <f>E141-E142</f>
        <v>0</v>
      </c>
      <c r="J141" s="1689"/>
      <c r="K141" s="1690"/>
      <c r="L141" s="1185"/>
    </row>
    <row r="142" spans="1:12" ht="28" customHeight="1">
      <c r="A142" s="1698"/>
      <c r="B142" s="2743"/>
      <c r="C142" s="1244"/>
      <c r="D142" s="1717"/>
      <c r="E142" s="1687">
        <f>BS!E71</f>
        <v>0</v>
      </c>
      <c r="F142" s="1687"/>
      <c r="G142" s="1688"/>
      <c r="H142" s="1374"/>
      <c r="I142" s="1379"/>
      <c r="J142" s="1688">
        <f>BS!G71</f>
        <v>0</v>
      </c>
      <c r="K142" s="1689"/>
      <c r="L142" s="1691"/>
    </row>
    <row r="143" spans="1:12" ht="28" customHeight="1">
      <c r="A143" s="1698" t="s">
        <v>547</v>
      </c>
      <c r="B143" s="2742" t="s">
        <v>2452</v>
      </c>
      <c r="C143" s="1248"/>
      <c r="D143" s="1716" t="s">
        <v>670</v>
      </c>
      <c r="E143" s="1687">
        <f>BS!D72</f>
        <v>0</v>
      </c>
      <c r="F143" s="1687"/>
      <c r="G143" s="1688"/>
      <c r="H143" s="1380"/>
      <c r="I143" s="1688">
        <f>E143-E144</f>
        <v>0</v>
      </c>
      <c r="J143" s="1689"/>
      <c r="K143" s="1690"/>
      <c r="L143" s="1185"/>
    </row>
    <row r="144" spans="1:12" s="1187" customFormat="1" ht="28" customHeight="1">
      <c r="A144" s="1698"/>
      <c r="B144" s="2743"/>
      <c r="C144" s="1244"/>
      <c r="D144" s="1717"/>
      <c r="E144" s="1687">
        <f>BS!E72</f>
        <v>0</v>
      </c>
      <c r="F144" s="1687"/>
      <c r="G144" s="1688"/>
      <c r="H144" s="1374"/>
      <c r="I144" s="1379"/>
      <c r="J144" s="1688">
        <f>BS!G72</f>
        <v>41600</v>
      </c>
      <c r="K144" s="1689"/>
      <c r="L144" s="1691"/>
    </row>
    <row r="145" spans="1:12" s="1187" customFormat="1" ht="28" customHeight="1">
      <c r="A145" s="1698" t="s">
        <v>568</v>
      </c>
      <c r="B145" s="2742" t="s">
        <v>2441</v>
      </c>
      <c r="C145" s="1248"/>
      <c r="D145" s="1716" t="s">
        <v>672</v>
      </c>
      <c r="E145" s="1687">
        <f>BS!D73</f>
        <v>0</v>
      </c>
      <c r="F145" s="1687"/>
      <c r="G145" s="1688"/>
      <c r="H145" s="1380"/>
      <c r="I145" s="1688">
        <f>E145-E146</f>
        <v>0</v>
      </c>
      <c r="J145" s="1689"/>
      <c r="K145" s="1690"/>
      <c r="L145" s="1185"/>
    </row>
    <row r="146" spans="1:12" ht="28" customHeight="1">
      <c r="A146" s="1698"/>
      <c r="B146" s="2743"/>
      <c r="C146" s="1244"/>
      <c r="D146" s="1717"/>
      <c r="E146" s="1687">
        <f>BS!E73</f>
        <v>0</v>
      </c>
      <c r="F146" s="1687"/>
      <c r="G146" s="1688"/>
      <c r="H146" s="1374"/>
      <c r="I146" s="1379"/>
      <c r="J146" s="1688">
        <f>BS!G73</f>
        <v>0</v>
      </c>
      <c r="K146" s="1689"/>
      <c r="L146" s="1691"/>
    </row>
    <row r="147" spans="1:12" ht="28" customHeight="1">
      <c r="A147" s="1698" t="s">
        <v>571</v>
      </c>
      <c r="B147" s="2742" t="s">
        <v>2453</v>
      </c>
      <c r="C147" s="1256"/>
      <c r="D147" s="1716" t="s">
        <v>674</v>
      </c>
      <c r="E147" s="1687">
        <f>BS!D74</f>
        <v>19446</v>
      </c>
      <c r="F147" s="1687"/>
      <c r="G147" s="1688"/>
      <c r="H147" s="1380"/>
      <c r="I147" s="1688">
        <f>E147-E148</f>
        <v>10251</v>
      </c>
      <c r="J147" s="1689"/>
      <c r="K147" s="1690"/>
      <c r="L147" s="1185"/>
    </row>
    <row r="148" spans="1:12" s="1188" customFormat="1" ht="28" customHeight="1">
      <c r="A148" s="1698"/>
      <c r="B148" s="2743"/>
      <c r="C148" s="1257"/>
      <c r="D148" s="1717"/>
      <c r="E148" s="1687">
        <f>BS!E74</f>
        <v>9195</v>
      </c>
      <c r="F148" s="1687"/>
      <c r="G148" s="1688"/>
      <c r="H148" s="1374"/>
      <c r="I148" s="1379"/>
      <c r="J148" s="1688">
        <f>BS!G74</f>
        <v>3625</v>
      </c>
      <c r="K148" s="1689"/>
      <c r="L148" s="1691"/>
    </row>
    <row r="149" spans="1:12" s="1181" customFormat="1" ht="28" customHeight="1">
      <c r="A149" s="1710" t="s">
        <v>649</v>
      </c>
      <c r="B149" s="2744" t="s">
        <v>2454</v>
      </c>
      <c r="C149" s="1255"/>
      <c r="D149" s="1727" t="s">
        <v>681</v>
      </c>
      <c r="E149" s="1655">
        <f>BS!D75</f>
        <v>0</v>
      </c>
      <c r="F149" s="1655"/>
      <c r="G149" s="1656"/>
      <c r="H149" s="1383"/>
      <c r="I149" s="1656">
        <f>E149-E150</f>
        <v>0</v>
      </c>
      <c r="J149" s="1657"/>
      <c r="K149" s="1658"/>
      <c r="L149" s="1182"/>
    </row>
    <row r="150" spans="1:12" s="1181" customFormat="1" ht="28" customHeight="1">
      <c r="A150" s="1710"/>
      <c r="B150" s="2745"/>
      <c r="C150" s="1410"/>
      <c r="D150" s="1728"/>
      <c r="E150" s="1655">
        <f>BS!E75</f>
        <v>0</v>
      </c>
      <c r="F150" s="1655"/>
      <c r="G150" s="1656"/>
      <c r="H150" s="1384"/>
      <c r="I150" s="1382"/>
      <c r="J150" s="1656">
        <f>BS!G75</f>
        <v>0</v>
      </c>
      <c r="K150" s="1657"/>
      <c r="L150" s="1659"/>
    </row>
    <row r="151" spans="1:12" s="1181" customFormat="1" ht="28" customHeight="1">
      <c r="A151" s="1698" t="s">
        <v>652</v>
      </c>
      <c r="B151" s="2742" t="s">
        <v>2455</v>
      </c>
      <c r="C151" s="1248"/>
      <c r="D151" s="1716" t="s">
        <v>683</v>
      </c>
      <c r="E151" s="1687">
        <f>BS!D76</f>
        <v>0</v>
      </c>
      <c r="F151" s="1687"/>
      <c r="G151" s="1688"/>
      <c r="H151" s="1380"/>
      <c r="I151" s="1688">
        <f>E151-E152</f>
        <v>0</v>
      </c>
      <c r="J151" s="1689"/>
      <c r="K151" s="1690"/>
      <c r="L151" s="1185"/>
    </row>
    <row r="152" spans="1:12" ht="28" customHeight="1">
      <c r="A152" s="1698"/>
      <c r="B152" s="2743"/>
      <c r="C152" s="1244"/>
      <c r="D152" s="1717"/>
      <c r="E152" s="1687">
        <f>BS!E76</f>
        <v>0</v>
      </c>
      <c r="F152" s="1687"/>
      <c r="G152" s="1688"/>
      <c r="H152" s="1374"/>
      <c r="I152" s="1379"/>
      <c r="J152" s="1688">
        <f>BS!G76</f>
        <v>0</v>
      </c>
      <c r="K152" s="1689"/>
      <c r="L152" s="1691"/>
    </row>
    <row r="153" spans="1:12" ht="28" customHeight="1">
      <c r="A153" s="1698" t="s">
        <v>532</v>
      </c>
      <c r="B153" s="2742" t="s">
        <v>2456</v>
      </c>
      <c r="C153" s="1248"/>
      <c r="D153" s="1716" t="s">
        <v>685</v>
      </c>
      <c r="E153" s="1687">
        <f>BS!D77</f>
        <v>0</v>
      </c>
      <c r="F153" s="1687"/>
      <c r="G153" s="1688"/>
      <c r="H153" s="1380"/>
      <c r="I153" s="1688">
        <f>E153-E154</f>
        <v>0</v>
      </c>
      <c r="J153" s="1689"/>
      <c r="K153" s="1690"/>
      <c r="L153" s="1185"/>
    </row>
    <row r="154" spans="1:12" ht="28" customHeight="1">
      <c r="A154" s="1698"/>
      <c r="B154" s="2743"/>
      <c r="C154" s="1244"/>
      <c r="D154" s="1717"/>
      <c r="E154" s="1687">
        <f>BS!E78</f>
        <v>0</v>
      </c>
      <c r="F154" s="1687"/>
      <c r="G154" s="1688"/>
      <c r="H154" s="1374"/>
      <c r="I154" s="1379"/>
      <c r="J154" s="1688">
        <f>BS!G77</f>
        <v>0</v>
      </c>
      <c r="K154" s="1689"/>
      <c r="L154" s="1691"/>
    </row>
    <row r="155" spans="1:12" ht="28" customHeight="1">
      <c r="A155" s="1698" t="s">
        <v>535</v>
      </c>
      <c r="B155" s="2742" t="s">
        <v>2457</v>
      </c>
      <c r="C155" s="1248"/>
      <c r="D155" s="1716" t="s">
        <v>687</v>
      </c>
      <c r="E155" s="1687">
        <f>BS!D78</f>
        <v>0</v>
      </c>
      <c r="F155" s="1687"/>
      <c r="G155" s="1688"/>
      <c r="H155" s="1380"/>
      <c r="I155" s="1688">
        <f>E155-E156</f>
        <v>0</v>
      </c>
      <c r="J155" s="1689"/>
      <c r="K155" s="1690"/>
      <c r="L155" s="1185"/>
    </row>
    <row r="156" spans="1:12" ht="28" customHeight="1">
      <c r="A156" s="1698"/>
      <c r="B156" s="2743"/>
      <c r="C156" s="1244"/>
      <c r="D156" s="1717"/>
      <c r="E156" s="1687">
        <f>BS!E78</f>
        <v>0</v>
      </c>
      <c r="F156" s="1687"/>
      <c r="G156" s="1688"/>
      <c r="H156" s="1374"/>
      <c r="I156" s="1379"/>
      <c r="J156" s="1688">
        <f>BS!G78</f>
        <v>0</v>
      </c>
      <c r="K156" s="1689"/>
      <c r="L156" s="1691"/>
    </row>
    <row r="157" spans="1:12" ht="28" customHeight="1">
      <c r="A157" s="1698" t="s">
        <v>538</v>
      </c>
      <c r="B157" s="2742" t="s">
        <v>2458</v>
      </c>
      <c r="C157" s="1248"/>
      <c r="D157" s="1716" t="s">
        <v>689</v>
      </c>
      <c r="E157" s="1687">
        <f>BS!D79</f>
        <v>0</v>
      </c>
      <c r="F157" s="1687"/>
      <c r="G157" s="1688"/>
      <c r="H157" s="1380"/>
      <c r="I157" s="1688">
        <f>E157-E158</f>
        <v>0</v>
      </c>
      <c r="J157" s="1689"/>
      <c r="K157" s="1690"/>
      <c r="L157" s="1185"/>
    </row>
    <row r="158" spans="1:12" ht="28" customHeight="1" thickBot="1">
      <c r="A158" s="1699"/>
      <c r="B158" s="2746"/>
      <c r="C158" s="1359"/>
      <c r="D158" s="1730"/>
      <c r="E158" s="1702">
        <f>BS!E79</f>
        <v>0</v>
      </c>
      <c r="F158" s="1702"/>
      <c r="G158" s="1703"/>
      <c r="H158" s="1373"/>
      <c r="I158" s="1381"/>
      <c r="J158" s="1703">
        <f>BS!G79</f>
        <v>0</v>
      </c>
      <c r="K158" s="1704"/>
      <c r="L158" s="1705"/>
    </row>
    <row r="159" spans="1:12" ht="11.25" customHeight="1">
      <c r="A159" s="2549" t="s">
        <v>1581</v>
      </c>
      <c r="B159" s="2550" t="s">
        <v>1582</v>
      </c>
      <c r="C159" s="1376"/>
      <c r="D159" s="2735" t="s">
        <v>1583</v>
      </c>
      <c r="E159" s="1667" t="s">
        <v>1584</v>
      </c>
      <c r="F159" s="1668"/>
      <c r="G159" s="1668"/>
      <c r="H159" s="1668"/>
      <c r="I159" s="1668"/>
      <c r="J159" s="1669"/>
      <c r="K159" s="2431" t="s">
        <v>1562</v>
      </c>
      <c r="L159" s="2432"/>
    </row>
    <row r="160" spans="1:12" ht="11.25" customHeight="1">
      <c r="A160" s="2518"/>
      <c r="B160" s="2519"/>
      <c r="C160" s="1317"/>
      <c r="D160" s="2419"/>
      <c r="E160" s="1674">
        <v>1</v>
      </c>
      <c r="F160" s="2379" t="s">
        <v>1585</v>
      </c>
      <c r="G160" s="2438"/>
      <c r="H160" s="1408"/>
      <c r="I160" s="2727" t="s">
        <v>1178</v>
      </c>
      <c r="J160" s="2728"/>
      <c r="K160" s="2371"/>
      <c r="L160" s="2372"/>
    </row>
    <row r="161" spans="1:12" ht="12" customHeight="1">
      <c r="A161" s="2381"/>
      <c r="B161" s="2389"/>
      <c r="C161" s="1377"/>
      <c r="D161" s="2421"/>
      <c r="E161" s="1674"/>
      <c r="F161" s="2379" t="s">
        <v>1586</v>
      </c>
      <c r="G161" s="2438"/>
      <c r="H161" s="1408"/>
      <c r="I161" s="2729"/>
      <c r="J161" s="2730"/>
      <c r="K161" s="2379" t="s">
        <v>1176</v>
      </c>
      <c r="L161" s="2380"/>
    </row>
    <row r="162" spans="1:12" ht="28" customHeight="1">
      <c r="A162" s="1710" t="s">
        <v>787</v>
      </c>
      <c r="B162" s="1725" t="s">
        <v>2615</v>
      </c>
      <c r="C162" s="1255"/>
      <c r="D162" s="1727" t="s">
        <v>691</v>
      </c>
      <c r="E162" s="1655">
        <f>BS!D80</f>
        <v>1097984</v>
      </c>
      <c r="F162" s="1655"/>
      <c r="G162" s="1656"/>
      <c r="H162" s="1383"/>
      <c r="I162" s="1656">
        <f>E162-E163</f>
        <v>1097984</v>
      </c>
      <c r="J162" s="1657"/>
      <c r="K162" s="1658"/>
      <c r="L162" s="1182"/>
    </row>
    <row r="163" spans="1:12" ht="28" customHeight="1">
      <c r="A163" s="1710"/>
      <c r="B163" s="1726"/>
      <c r="C163" s="1410"/>
      <c r="D163" s="1728"/>
      <c r="E163" s="1739">
        <f>BS!E80</f>
        <v>0</v>
      </c>
      <c r="F163" s="1739"/>
      <c r="G163" s="1740"/>
      <c r="H163" s="1258"/>
      <c r="I163" s="1395"/>
      <c r="J163" s="1656">
        <f>BS!G80</f>
        <v>299913</v>
      </c>
      <c r="K163" s="1657"/>
      <c r="L163" s="1659"/>
    </row>
    <row r="164" spans="1:12" ht="28" customHeight="1">
      <c r="A164" s="1698" t="s">
        <v>790</v>
      </c>
      <c r="B164" s="1707" t="s">
        <v>1638</v>
      </c>
      <c r="C164" s="1248"/>
      <c r="D164" s="1716" t="s">
        <v>693</v>
      </c>
      <c r="E164" s="1687">
        <f>BS!D81</f>
        <v>354</v>
      </c>
      <c r="F164" s="1687"/>
      <c r="G164" s="1688"/>
      <c r="H164" s="1380"/>
      <c r="I164" s="1688">
        <f>E164-E165</f>
        <v>354</v>
      </c>
      <c r="J164" s="1737"/>
      <c r="K164" s="1738"/>
      <c r="L164" s="1185"/>
    </row>
    <row r="165" spans="1:12" s="1187" customFormat="1" ht="28" customHeight="1">
      <c r="A165" s="1698"/>
      <c r="B165" s="1708"/>
      <c r="C165" s="1244"/>
      <c r="D165" s="1717"/>
      <c r="E165" s="1687">
        <f>BS!E81</f>
        <v>0</v>
      </c>
      <c r="F165" s="1687"/>
      <c r="G165" s="1688"/>
      <c r="H165" s="1374"/>
      <c r="I165" s="1379"/>
      <c r="J165" s="1688">
        <f>BS!G81</f>
        <v>1088</v>
      </c>
      <c r="K165" s="1689"/>
      <c r="L165" s="1691"/>
    </row>
    <row r="166" spans="1:12" s="1187" customFormat="1" ht="28" customHeight="1">
      <c r="A166" s="1698" t="s">
        <v>532</v>
      </c>
      <c r="B166" s="1707" t="s">
        <v>2616</v>
      </c>
      <c r="C166" s="1248"/>
      <c r="D166" s="1716" t="s">
        <v>695</v>
      </c>
      <c r="E166" s="1687">
        <f>BS!D82</f>
        <v>1097630</v>
      </c>
      <c r="F166" s="1687"/>
      <c r="G166" s="1688"/>
      <c r="H166" s="1380"/>
      <c r="I166" s="1688">
        <f>E166-E167</f>
        <v>1097630</v>
      </c>
      <c r="J166" s="1689"/>
      <c r="K166" s="1690"/>
      <c r="L166" s="1185"/>
    </row>
    <row r="167" spans="1:12" ht="28" customHeight="1">
      <c r="A167" s="1698"/>
      <c r="B167" s="1708"/>
      <c r="C167" s="1244"/>
      <c r="D167" s="1717"/>
      <c r="E167" s="1687">
        <f>BS!E82</f>
        <v>0</v>
      </c>
      <c r="F167" s="1687"/>
      <c r="G167" s="1688"/>
      <c r="H167" s="1374"/>
      <c r="I167" s="1379"/>
      <c r="J167" s="1688">
        <f>BS!G82</f>
        <v>298825</v>
      </c>
      <c r="K167" s="1689"/>
      <c r="L167" s="1691"/>
    </row>
    <row r="168" spans="1:12" ht="28" customHeight="1">
      <c r="A168" s="1710" t="s">
        <v>663</v>
      </c>
      <c r="B168" s="1725" t="s">
        <v>2617</v>
      </c>
      <c r="C168" s="1255"/>
      <c r="D168" s="1727" t="s">
        <v>697</v>
      </c>
      <c r="E168" s="1655">
        <f>BS!D83</f>
        <v>8178</v>
      </c>
      <c r="F168" s="1655"/>
      <c r="G168" s="1656"/>
      <c r="H168" s="1383"/>
      <c r="I168" s="1656">
        <f>E168-E169</f>
        <v>8178</v>
      </c>
      <c r="J168" s="1657"/>
      <c r="K168" s="1658"/>
      <c r="L168" s="1182"/>
    </row>
    <row r="169" spans="1:12" s="1188" customFormat="1" ht="28" customHeight="1">
      <c r="A169" s="1710"/>
      <c r="B169" s="1726"/>
      <c r="C169" s="1410"/>
      <c r="D169" s="1728"/>
      <c r="E169" s="1655">
        <f>BS!E83</f>
        <v>0</v>
      </c>
      <c r="F169" s="1655"/>
      <c r="G169" s="1656"/>
      <c r="H169" s="1384"/>
      <c r="I169" s="1382"/>
      <c r="J169" s="1656">
        <f>BS!G83</f>
        <v>6058</v>
      </c>
      <c r="K169" s="1657"/>
      <c r="L169" s="1659"/>
    </row>
    <row r="170" spans="1:12" ht="28" customHeight="1">
      <c r="A170" s="1698" t="s">
        <v>666</v>
      </c>
      <c r="B170" s="1707" t="s">
        <v>2618</v>
      </c>
      <c r="C170" s="1248"/>
      <c r="D170" s="1716" t="s">
        <v>699</v>
      </c>
      <c r="E170" s="1687">
        <f>BS!D84</f>
        <v>0</v>
      </c>
      <c r="F170" s="1687"/>
      <c r="G170" s="1688"/>
      <c r="H170" s="1380"/>
      <c r="I170" s="1688">
        <f>E170-E171</f>
        <v>0</v>
      </c>
      <c r="J170" s="1689"/>
      <c r="K170" s="1690"/>
      <c r="L170" s="1185"/>
    </row>
    <row r="171" spans="1:12" s="1187" customFormat="1" ht="28" customHeight="1">
      <c r="A171" s="1698"/>
      <c r="B171" s="1708"/>
      <c r="C171" s="1244"/>
      <c r="D171" s="1717"/>
      <c r="E171" s="1687">
        <f>BS!E84</f>
        <v>0</v>
      </c>
      <c r="F171" s="1687"/>
      <c r="G171" s="1688"/>
      <c r="H171" s="1374"/>
      <c r="I171" s="1379"/>
      <c r="J171" s="1688">
        <f>BS!G84</f>
        <v>0</v>
      </c>
      <c r="K171" s="1689"/>
      <c r="L171" s="1691"/>
    </row>
    <row r="172" spans="1:12" s="1187" customFormat="1" ht="28" customHeight="1">
      <c r="A172" s="1698" t="s">
        <v>532</v>
      </c>
      <c r="B172" s="1707" t="s">
        <v>2619</v>
      </c>
      <c r="C172" s="1248"/>
      <c r="D172" s="1716" t="s">
        <v>701</v>
      </c>
      <c r="E172" s="1687">
        <f>BS!D85</f>
        <v>8178</v>
      </c>
      <c r="F172" s="1687"/>
      <c r="G172" s="1688"/>
      <c r="H172" s="1380"/>
      <c r="I172" s="1688">
        <f>E172-E173</f>
        <v>8178</v>
      </c>
      <c r="J172" s="1689"/>
      <c r="K172" s="1690"/>
      <c r="L172" s="1185"/>
    </row>
    <row r="173" spans="1:12" ht="28" customHeight="1">
      <c r="A173" s="1698"/>
      <c r="B173" s="1708"/>
      <c r="C173" s="1244"/>
      <c r="D173" s="1717"/>
      <c r="E173" s="1687">
        <f>BS!E85</f>
        <v>0</v>
      </c>
      <c r="F173" s="1687"/>
      <c r="G173" s="1688"/>
      <c r="H173" s="1374"/>
      <c r="I173" s="1379"/>
      <c r="J173" s="1688">
        <f>BS!G85</f>
        <v>6058</v>
      </c>
      <c r="K173" s="1689"/>
      <c r="L173" s="1691"/>
    </row>
    <row r="174" spans="1:12" ht="28" customHeight="1">
      <c r="A174" s="1698" t="s">
        <v>535</v>
      </c>
      <c r="B174" s="1707" t="s">
        <v>2620</v>
      </c>
      <c r="C174" s="1248"/>
      <c r="D174" s="1716" t="s">
        <v>703</v>
      </c>
      <c r="E174" s="1687">
        <f>BS!D86</f>
        <v>0</v>
      </c>
      <c r="F174" s="1687"/>
      <c r="G174" s="1688"/>
      <c r="H174" s="1380"/>
      <c r="I174" s="1688">
        <f>E174-E175</f>
        <v>0</v>
      </c>
      <c r="J174" s="1689"/>
      <c r="K174" s="1690"/>
      <c r="L174" s="1185"/>
    </row>
    <row r="175" spans="1:12" s="1188" customFormat="1" ht="28" customHeight="1">
      <c r="A175" s="1698"/>
      <c r="B175" s="1708"/>
      <c r="C175" s="1244"/>
      <c r="D175" s="1717"/>
      <c r="E175" s="1687">
        <f>BS!E86</f>
        <v>0</v>
      </c>
      <c r="F175" s="1687"/>
      <c r="G175" s="1688"/>
      <c r="H175" s="1374"/>
      <c r="I175" s="1379"/>
      <c r="J175" s="1688">
        <f>BS!G86</f>
        <v>0</v>
      </c>
      <c r="K175" s="1689"/>
      <c r="L175" s="1691"/>
    </row>
    <row r="176" spans="1:12" ht="28" customHeight="1">
      <c r="A176" s="1698" t="s">
        <v>538</v>
      </c>
      <c r="B176" s="1707" t="s">
        <v>2621</v>
      </c>
      <c r="C176" s="1248"/>
      <c r="D176" s="1716" t="s">
        <v>705</v>
      </c>
      <c r="E176" s="1687">
        <f>BS!D87</f>
        <v>0</v>
      </c>
      <c r="F176" s="1687"/>
      <c r="G176" s="1688"/>
      <c r="H176" s="1380"/>
      <c r="I176" s="1688">
        <f>E176-E177</f>
        <v>0</v>
      </c>
      <c r="J176" s="1689"/>
      <c r="K176" s="1690"/>
      <c r="L176" s="1185"/>
    </row>
    <row r="177" spans="1:12" s="1187" customFormat="1" ht="28" customHeight="1">
      <c r="A177" s="1698"/>
      <c r="B177" s="1708"/>
      <c r="C177" s="1244"/>
      <c r="D177" s="1717"/>
      <c r="E177" s="1687">
        <f>BS!E87</f>
        <v>0</v>
      </c>
      <c r="F177" s="1687"/>
      <c r="G177" s="1688"/>
      <c r="H177" s="1374"/>
      <c r="I177" s="1379"/>
      <c r="J177" s="1688">
        <f>BS!G87</f>
        <v>0</v>
      </c>
      <c r="K177" s="1689"/>
      <c r="L177" s="1691"/>
    </row>
    <row r="178" spans="1:12" s="1187" customFormat="1" ht="2.25" customHeight="1">
      <c r="A178" s="1252"/>
      <c r="B178" s="1222"/>
      <c r="C178" s="1222"/>
      <c r="D178" s="1259"/>
      <c r="E178" s="1394"/>
      <c r="F178" s="1380"/>
      <c r="G178" s="1394"/>
      <c r="H178" s="1380"/>
      <c r="I178" s="1394"/>
      <c r="J178" s="1394"/>
      <c r="K178" s="1394"/>
      <c r="L178" s="1375"/>
    </row>
    <row r="179" spans="1:12" s="1188" customFormat="1" ht="30" customHeight="1">
      <c r="A179" s="518" t="s">
        <v>1581</v>
      </c>
      <c r="B179" s="1672" t="s">
        <v>1648</v>
      </c>
      <c r="C179" s="1733"/>
      <c r="D179" s="1733"/>
      <c r="E179" s="1733"/>
      <c r="F179" s="1734"/>
      <c r="G179" s="1170" t="s">
        <v>1583</v>
      </c>
      <c r="H179" s="1260"/>
      <c r="I179" s="2379" t="s">
        <v>1649</v>
      </c>
      <c r="J179" s="2439"/>
      <c r="K179" s="2371" t="s">
        <v>1650</v>
      </c>
      <c r="L179" s="2372"/>
    </row>
    <row r="180" spans="1:12" s="1188" customFormat="1" ht="27.75" customHeight="1">
      <c r="A180" s="1195"/>
      <c r="B180" s="1652" t="s">
        <v>2622</v>
      </c>
      <c r="C180" s="1652"/>
      <c r="D180" s="1745"/>
      <c r="E180" s="1745"/>
      <c r="F180" s="1745"/>
      <c r="G180" s="1207" t="s">
        <v>707</v>
      </c>
      <c r="H180" s="1261"/>
      <c r="I180" s="1688">
        <f>BS!D94</f>
        <v>4356932</v>
      </c>
      <c r="J180" s="1690"/>
      <c r="K180" s="1688">
        <f>BS!E94</f>
        <v>4805868</v>
      </c>
      <c r="L180" s="1691"/>
    </row>
    <row r="181" spans="1:12" s="1188" customFormat="1" ht="27.75" customHeight="1">
      <c r="A181" s="1195" t="s">
        <v>523</v>
      </c>
      <c r="B181" s="1741" t="s">
        <v>2623</v>
      </c>
      <c r="C181" s="1742"/>
      <c r="D181" s="1742"/>
      <c r="E181" s="1742"/>
      <c r="F181" s="1743"/>
      <c r="G181" s="1208" t="s">
        <v>709</v>
      </c>
      <c r="H181" s="1250"/>
      <c r="I181" s="1688">
        <f>BS!D95</f>
        <v>3173413</v>
      </c>
      <c r="J181" s="1690"/>
      <c r="K181" s="1688">
        <f>BS!E95</f>
        <v>3192339</v>
      </c>
      <c r="L181" s="1691"/>
    </row>
    <row r="182" spans="1:12" ht="27.75" customHeight="1">
      <c r="A182" s="1195" t="s">
        <v>526</v>
      </c>
      <c r="B182" s="1741" t="s">
        <v>2624</v>
      </c>
      <c r="C182" s="1742"/>
      <c r="D182" s="1742"/>
      <c r="E182" s="1742"/>
      <c r="F182" s="1743"/>
      <c r="G182" s="1208" t="s">
        <v>711</v>
      </c>
      <c r="H182" s="1250"/>
      <c r="I182" s="1688">
        <f>BS!D96</f>
        <v>2506390</v>
      </c>
      <c r="J182" s="1690"/>
      <c r="K182" s="1688">
        <f>BS!E96</f>
        <v>2506390</v>
      </c>
      <c r="L182" s="1691"/>
    </row>
    <row r="183" spans="1:12" s="1187" customFormat="1" ht="27.75" customHeight="1">
      <c r="A183" s="1197" t="s">
        <v>529</v>
      </c>
      <c r="B183" s="1746" t="s">
        <v>2625</v>
      </c>
      <c r="C183" s="1747"/>
      <c r="D183" s="1747"/>
      <c r="E183" s="1747"/>
      <c r="F183" s="1748"/>
      <c r="G183" s="1209" t="s">
        <v>713</v>
      </c>
      <c r="H183" s="1251"/>
      <c r="I183" s="1688">
        <f>BS!D97</f>
        <v>2506390</v>
      </c>
      <c r="J183" s="1690"/>
      <c r="K183" s="1688">
        <f>BS!E97</f>
        <v>2506390</v>
      </c>
      <c r="L183" s="1691"/>
    </row>
    <row r="184" spans="1:12" s="1187" customFormat="1" ht="27.75" customHeight="1">
      <c r="A184" s="1195" t="s">
        <v>532</v>
      </c>
      <c r="B184" s="1746" t="s">
        <v>1656</v>
      </c>
      <c r="C184" s="1747"/>
      <c r="D184" s="1747"/>
      <c r="E184" s="1747"/>
      <c r="F184" s="1748"/>
      <c r="G184" s="1209" t="s">
        <v>715</v>
      </c>
      <c r="H184" s="1251"/>
      <c r="I184" s="1688">
        <f>BS!D98</f>
        <v>0</v>
      </c>
      <c r="J184" s="1690"/>
      <c r="K184" s="1688">
        <f>BS!E98</f>
        <v>0</v>
      </c>
      <c r="L184" s="1691"/>
    </row>
    <row r="185" spans="1:12" s="1187" customFormat="1" ht="27.75" customHeight="1">
      <c r="A185" s="1195" t="s">
        <v>535</v>
      </c>
      <c r="B185" s="2750" t="s">
        <v>1160</v>
      </c>
      <c r="C185" s="2751"/>
      <c r="D185" s="2751"/>
      <c r="E185" s="2751"/>
      <c r="F185" s="2752"/>
      <c r="G185" s="1209" t="s">
        <v>718</v>
      </c>
      <c r="H185" s="1251"/>
      <c r="I185" s="1688">
        <f>BS!D99</f>
        <v>0</v>
      </c>
      <c r="J185" s="1690"/>
      <c r="K185" s="1688">
        <f>BS!E99</f>
        <v>0</v>
      </c>
      <c r="L185" s="1691"/>
    </row>
    <row r="186" spans="1:12" ht="27.75" customHeight="1">
      <c r="A186" s="1195" t="s">
        <v>550</v>
      </c>
      <c r="B186" s="1741" t="s">
        <v>2626</v>
      </c>
      <c r="C186" s="1742"/>
      <c r="D186" s="1742"/>
      <c r="E186" s="1742"/>
      <c r="F186" s="1743"/>
      <c r="G186" s="1208" t="s">
        <v>721</v>
      </c>
      <c r="H186" s="1250"/>
      <c r="I186" s="1656">
        <f>BS!D100</f>
        <v>0</v>
      </c>
      <c r="J186" s="1658"/>
      <c r="K186" s="1656">
        <f>BS!E100</f>
        <v>0</v>
      </c>
      <c r="L186" s="1659"/>
    </row>
    <row r="187" spans="1:12" ht="27.75" customHeight="1">
      <c r="A187" s="1195" t="s">
        <v>574</v>
      </c>
      <c r="B187" s="1741" t="s">
        <v>1659</v>
      </c>
      <c r="C187" s="1742"/>
      <c r="D187" s="1742"/>
      <c r="E187" s="1742"/>
      <c r="F187" s="1743"/>
      <c r="G187" s="1208" t="s">
        <v>723</v>
      </c>
      <c r="H187" s="1250"/>
      <c r="I187" s="1656">
        <f>BS!D101</f>
        <v>0</v>
      </c>
      <c r="J187" s="1658"/>
      <c r="K187" s="1656">
        <f>BS!E101</f>
        <v>0</v>
      </c>
      <c r="L187" s="1659"/>
    </row>
    <row r="188" spans="1:12" ht="27.75" customHeight="1">
      <c r="A188" s="1195" t="s">
        <v>716</v>
      </c>
      <c r="B188" s="2747" t="s">
        <v>2470</v>
      </c>
      <c r="C188" s="2748"/>
      <c r="D188" s="2748"/>
      <c r="E188" s="2748"/>
      <c r="F188" s="2749"/>
      <c r="G188" s="1208" t="s">
        <v>726</v>
      </c>
      <c r="H188" s="1250"/>
      <c r="I188" s="1656">
        <f>BS!D102</f>
        <v>115550</v>
      </c>
      <c r="J188" s="1658"/>
      <c r="K188" s="1656">
        <f>BS!E102</f>
        <v>107571</v>
      </c>
      <c r="L188" s="1659"/>
    </row>
    <row r="189" spans="1:12" ht="27.75" customHeight="1">
      <c r="A189" s="1197" t="s">
        <v>719</v>
      </c>
      <c r="B189" s="2750" t="s">
        <v>2471</v>
      </c>
      <c r="C189" s="2751"/>
      <c r="D189" s="2751"/>
      <c r="E189" s="2751"/>
      <c r="F189" s="2752"/>
      <c r="G189" s="1209" t="s">
        <v>728</v>
      </c>
      <c r="H189" s="1251"/>
      <c r="I189" s="1688">
        <f>BS!D103</f>
        <v>115550</v>
      </c>
      <c r="J189" s="1690"/>
      <c r="K189" s="1688">
        <f>BS!E103</f>
        <v>107571</v>
      </c>
      <c r="L189" s="1691"/>
    </row>
    <row r="190" spans="1:12" s="1187" customFormat="1" ht="27.75" customHeight="1" thickBot="1">
      <c r="A190" s="1195" t="s">
        <v>532</v>
      </c>
      <c r="B190" s="2750" t="s">
        <v>2472</v>
      </c>
      <c r="C190" s="2751"/>
      <c r="D190" s="2751"/>
      <c r="E190" s="2751"/>
      <c r="F190" s="2752"/>
      <c r="G190" s="1209" t="s">
        <v>730</v>
      </c>
      <c r="H190" s="1251"/>
      <c r="I190" s="1688">
        <f>BS!D104</f>
        <v>0</v>
      </c>
      <c r="J190" s="1690"/>
      <c r="K190" s="1688">
        <f>BS!E104</f>
        <v>0</v>
      </c>
      <c r="L190" s="1691"/>
    </row>
    <row r="191" spans="1:12" s="1187" customFormat="1" ht="27.75" customHeight="1">
      <c r="A191" s="510" t="s">
        <v>1581</v>
      </c>
      <c r="B191" s="1667" t="s">
        <v>1648</v>
      </c>
      <c r="C191" s="1668"/>
      <c r="D191" s="1668"/>
      <c r="E191" s="1668"/>
      <c r="F191" s="1669"/>
      <c r="G191" s="1174" t="s">
        <v>1583</v>
      </c>
      <c r="H191" s="1363"/>
      <c r="I191" s="2369" t="s">
        <v>1649</v>
      </c>
      <c r="J191" s="2373"/>
      <c r="K191" s="2369" t="s">
        <v>1650</v>
      </c>
      <c r="L191" s="2370"/>
    </row>
    <row r="192" spans="1:12" ht="27.75" customHeight="1">
      <c r="A192" s="1195" t="s">
        <v>724</v>
      </c>
      <c r="B192" s="2747" t="s">
        <v>2473</v>
      </c>
      <c r="C192" s="2748"/>
      <c r="D192" s="2748"/>
      <c r="E192" s="2748"/>
      <c r="F192" s="2749"/>
      <c r="G192" s="1208" t="s">
        <v>732</v>
      </c>
      <c r="H192" s="1250"/>
      <c r="I192" s="1656">
        <f>BS!D105</f>
        <v>0</v>
      </c>
      <c r="J192" s="1658"/>
      <c r="K192" s="1656">
        <f>BS!E105</f>
        <v>0</v>
      </c>
      <c r="L192" s="1659"/>
    </row>
    <row r="193" spans="1:12" ht="27.75" customHeight="1">
      <c r="A193" s="1197" t="s">
        <v>2289</v>
      </c>
      <c r="B193" s="2750" t="s">
        <v>2474</v>
      </c>
      <c r="C193" s="2751"/>
      <c r="D193" s="2751"/>
      <c r="E193" s="2751"/>
      <c r="F193" s="2752"/>
      <c r="G193" s="1209" t="s">
        <v>734</v>
      </c>
      <c r="H193" s="1251"/>
      <c r="I193" s="1688">
        <f>BS!D106</f>
        <v>0</v>
      </c>
      <c r="J193" s="1690"/>
      <c r="K193" s="1688">
        <f>BS!E106</f>
        <v>0</v>
      </c>
      <c r="L193" s="1691"/>
    </row>
    <row r="194" spans="1:12" ht="27.75" customHeight="1">
      <c r="A194" s="1195" t="s">
        <v>532</v>
      </c>
      <c r="B194" s="2750" t="s">
        <v>2475</v>
      </c>
      <c r="C194" s="2751"/>
      <c r="D194" s="2751"/>
      <c r="E194" s="2751"/>
      <c r="F194" s="2752"/>
      <c r="G194" s="1209" t="s">
        <v>736</v>
      </c>
      <c r="H194" s="1251"/>
      <c r="I194" s="1688">
        <f>BS!D107</f>
        <v>0</v>
      </c>
      <c r="J194" s="1690"/>
      <c r="K194" s="1688">
        <f>BS!E107</f>
        <v>0</v>
      </c>
      <c r="L194" s="1691"/>
    </row>
    <row r="195" spans="1:12" ht="27.75" customHeight="1">
      <c r="A195" s="1195" t="s">
        <v>2292</v>
      </c>
      <c r="B195" s="2747" t="s">
        <v>2476</v>
      </c>
      <c r="C195" s="2748"/>
      <c r="D195" s="2748"/>
      <c r="E195" s="2748"/>
      <c r="F195" s="2749"/>
      <c r="G195" s="1208" t="s">
        <v>738</v>
      </c>
      <c r="H195" s="1250"/>
      <c r="I195" s="1656">
        <f>BS!D108</f>
        <v>0</v>
      </c>
      <c r="J195" s="1658"/>
      <c r="K195" s="1656">
        <f>BS!E108</f>
        <v>0</v>
      </c>
      <c r="L195" s="1659"/>
    </row>
    <row r="196" spans="1:12" ht="27.75" customHeight="1">
      <c r="A196" s="1197" t="s">
        <v>2294</v>
      </c>
      <c r="B196" s="2750" t="s">
        <v>2477</v>
      </c>
      <c r="C196" s="2751"/>
      <c r="D196" s="2751"/>
      <c r="E196" s="2751"/>
      <c r="F196" s="2752"/>
      <c r="G196" s="1209" t="s">
        <v>740</v>
      </c>
      <c r="H196" s="1251"/>
      <c r="I196" s="1688">
        <f>BS!D109</f>
        <v>0</v>
      </c>
      <c r="J196" s="1690"/>
      <c r="K196" s="1688">
        <f>BS!E109</f>
        <v>0</v>
      </c>
      <c r="L196" s="1691"/>
    </row>
    <row r="197" spans="1:12" ht="27.75" customHeight="1">
      <c r="A197" s="1197" t="s">
        <v>532</v>
      </c>
      <c r="B197" s="2750" t="s">
        <v>1154</v>
      </c>
      <c r="C197" s="2751"/>
      <c r="D197" s="2751"/>
      <c r="E197" s="2751"/>
      <c r="F197" s="2752"/>
      <c r="G197" s="1209" t="s">
        <v>742</v>
      </c>
      <c r="H197" s="1251"/>
      <c r="I197" s="1688">
        <f>BS!D110</f>
        <v>0</v>
      </c>
      <c r="J197" s="1690"/>
      <c r="K197" s="1688">
        <f>BS!E110</f>
        <v>0</v>
      </c>
      <c r="L197" s="1691"/>
    </row>
    <row r="198" spans="1:12" s="1187" customFormat="1" ht="27.75" customHeight="1">
      <c r="A198" s="1197" t="s">
        <v>535</v>
      </c>
      <c r="B198" s="2750" t="s">
        <v>2478</v>
      </c>
      <c r="C198" s="2751"/>
      <c r="D198" s="2751"/>
      <c r="E198" s="2751"/>
      <c r="F198" s="2752"/>
      <c r="G198" s="1209" t="s">
        <v>743</v>
      </c>
      <c r="H198" s="1251"/>
      <c r="I198" s="1688">
        <f>BS!D111</f>
        <v>0</v>
      </c>
      <c r="J198" s="1690"/>
      <c r="K198" s="1688">
        <f>BS!E111</f>
        <v>0</v>
      </c>
      <c r="L198" s="1691"/>
    </row>
    <row r="199" spans="1:12" ht="27.75" customHeight="1">
      <c r="A199" s="1195" t="s">
        <v>2296</v>
      </c>
      <c r="B199" s="1741" t="s">
        <v>2627</v>
      </c>
      <c r="C199" s="1742"/>
      <c r="D199" s="1742"/>
      <c r="E199" s="1742"/>
      <c r="F199" s="1743"/>
      <c r="G199" s="1208" t="s">
        <v>745</v>
      </c>
      <c r="H199" s="1250"/>
      <c r="I199" s="1656">
        <f>BS!D112</f>
        <v>159039</v>
      </c>
      <c r="J199" s="1658"/>
      <c r="K199" s="1656">
        <f>BS!E112</f>
        <v>418803</v>
      </c>
      <c r="L199" s="1659"/>
    </row>
    <row r="200" spans="1:12" ht="27.75" customHeight="1">
      <c r="A200" s="1197" t="s">
        <v>2298</v>
      </c>
      <c r="B200" s="1746" t="s">
        <v>1669</v>
      </c>
      <c r="C200" s="1747"/>
      <c r="D200" s="1747"/>
      <c r="E200" s="1747"/>
      <c r="F200" s="1748"/>
      <c r="G200" s="1209" t="s">
        <v>747</v>
      </c>
      <c r="H200" s="1251"/>
      <c r="I200" s="1688">
        <f>BS!D113</f>
        <v>159039</v>
      </c>
      <c r="J200" s="1690"/>
      <c r="K200" s="1688">
        <f>BS!E113</f>
        <v>418803</v>
      </c>
      <c r="L200" s="1691"/>
    </row>
    <row r="201" spans="1:12" ht="27.75" customHeight="1">
      <c r="A201" s="1197" t="s">
        <v>532</v>
      </c>
      <c r="B201" s="1746" t="s">
        <v>1670</v>
      </c>
      <c r="C201" s="1747"/>
      <c r="D201" s="1747"/>
      <c r="E201" s="1747"/>
      <c r="F201" s="1748"/>
      <c r="G201" s="1209" t="s">
        <v>749</v>
      </c>
      <c r="H201" s="1251"/>
      <c r="I201" s="1688">
        <f>BS!D114</f>
        <v>0</v>
      </c>
      <c r="J201" s="1690"/>
      <c r="K201" s="1688">
        <f>BS!E114</f>
        <v>0</v>
      </c>
      <c r="L201" s="1691"/>
    </row>
    <row r="202" spans="1:12" s="1187" customFormat="1" ht="31.5" customHeight="1">
      <c r="A202" s="1195" t="s">
        <v>2299</v>
      </c>
      <c r="B202" s="1741" t="s">
        <v>2628</v>
      </c>
      <c r="C202" s="1742"/>
      <c r="D202" s="1742"/>
      <c r="E202" s="1742"/>
      <c r="F202" s="1743"/>
      <c r="G202" s="1208" t="s">
        <v>751</v>
      </c>
      <c r="H202" s="1250"/>
      <c r="I202" s="1656">
        <f>BS!D115</f>
        <v>392434</v>
      </c>
      <c r="J202" s="1658"/>
      <c r="K202" s="1656">
        <f>BS!E115</f>
        <v>159575</v>
      </c>
      <c r="L202" s="1659"/>
    </row>
    <row r="203" spans="1:12" ht="27.75" customHeight="1">
      <c r="A203" s="1195" t="s">
        <v>594</v>
      </c>
      <c r="B203" s="1741" t="s">
        <v>2629</v>
      </c>
      <c r="C203" s="1742"/>
      <c r="D203" s="1742"/>
      <c r="E203" s="1742"/>
      <c r="F203" s="1743"/>
      <c r="G203" s="1208" t="s">
        <v>753</v>
      </c>
      <c r="H203" s="1250"/>
      <c r="I203" s="1656">
        <f>BS!D116</f>
        <v>1183519</v>
      </c>
      <c r="J203" s="1658"/>
      <c r="K203" s="1656">
        <f>BS!E116</f>
        <v>1613529</v>
      </c>
      <c r="L203" s="1659"/>
    </row>
    <row r="204" spans="1:12" ht="27.75" customHeight="1">
      <c r="A204" s="1195" t="s">
        <v>597</v>
      </c>
      <c r="B204" s="1741" t="s">
        <v>2630</v>
      </c>
      <c r="C204" s="1742"/>
      <c r="D204" s="1742"/>
      <c r="E204" s="1742"/>
      <c r="F204" s="1743"/>
      <c r="G204" s="1208" t="s">
        <v>755</v>
      </c>
      <c r="H204" s="1250"/>
      <c r="I204" s="1656">
        <f>BS!D117</f>
        <v>226060</v>
      </c>
      <c r="J204" s="1658"/>
      <c r="K204" s="1656">
        <f>BS!E117</f>
        <v>314230</v>
      </c>
      <c r="L204" s="1659"/>
    </row>
    <row r="205" spans="1:12" s="1187" customFormat="1" ht="27.75" customHeight="1">
      <c r="A205" s="1195" t="s">
        <v>600</v>
      </c>
      <c r="B205" s="1741" t="s">
        <v>2483</v>
      </c>
      <c r="C205" s="1742"/>
      <c r="D205" s="1742"/>
      <c r="E205" s="1742"/>
      <c r="F205" s="1743"/>
      <c r="G205" s="1208" t="s">
        <v>757</v>
      </c>
      <c r="H205" s="1251"/>
      <c r="I205" s="1688">
        <f>BS!D118</f>
        <v>0</v>
      </c>
      <c r="J205" s="1690"/>
      <c r="K205" s="1688">
        <f>BS!E118</f>
        <v>0</v>
      </c>
      <c r="L205" s="1691"/>
    </row>
    <row r="206" spans="1:12" s="1187" customFormat="1" ht="27.75" customHeight="1">
      <c r="A206" s="1197" t="s">
        <v>2265</v>
      </c>
      <c r="B206" s="2750" t="s">
        <v>2484</v>
      </c>
      <c r="C206" s="2751"/>
      <c r="D206" s="2751"/>
      <c r="E206" s="2751"/>
      <c r="F206" s="2752"/>
      <c r="G206" s="1209" t="s">
        <v>760</v>
      </c>
      <c r="H206" s="1251"/>
      <c r="I206" s="1688">
        <f>BS!D119</f>
        <v>0</v>
      </c>
      <c r="J206" s="1690"/>
      <c r="K206" s="1688">
        <f>BS!E119</f>
        <v>0</v>
      </c>
      <c r="L206" s="1691"/>
    </row>
    <row r="207" spans="1:12" s="1187" customFormat="1" ht="31.5" customHeight="1">
      <c r="A207" s="1197" t="s">
        <v>2266</v>
      </c>
      <c r="B207" s="2750" t="s">
        <v>2485</v>
      </c>
      <c r="C207" s="2751"/>
      <c r="D207" s="2751"/>
      <c r="E207" s="2751"/>
      <c r="F207" s="2752"/>
      <c r="G207" s="1209" t="s">
        <v>763</v>
      </c>
      <c r="H207" s="1251"/>
      <c r="I207" s="1688">
        <f>BS!D120</f>
        <v>0</v>
      </c>
      <c r="J207" s="1690"/>
      <c r="K207" s="1688">
        <f>BS!E120</f>
        <v>0</v>
      </c>
      <c r="L207" s="1691"/>
    </row>
    <row r="208" spans="1:12" ht="27.75" customHeight="1">
      <c r="A208" s="1197" t="s">
        <v>2267</v>
      </c>
      <c r="B208" s="2750" t="s">
        <v>2486</v>
      </c>
      <c r="C208" s="2751"/>
      <c r="D208" s="2751"/>
      <c r="E208" s="2751"/>
      <c r="F208" s="2752"/>
      <c r="G208" s="1209" t="s">
        <v>765</v>
      </c>
      <c r="H208" s="1251"/>
      <c r="I208" s="1688">
        <f>BS!D121</f>
        <v>0</v>
      </c>
      <c r="J208" s="1690"/>
      <c r="K208" s="1688">
        <f>BS!E121</f>
        <v>0</v>
      </c>
      <c r="L208" s="1691"/>
    </row>
    <row r="209" spans="1:12" ht="25.5" customHeight="1">
      <c r="A209" s="1197" t="s">
        <v>532</v>
      </c>
      <c r="B209" s="2750" t="s">
        <v>2448</v>
      </c>
      <c r="C209" s="2751"/>
      <c r="D209" s="2751"/>
      <c r="E209" s="2751"/>
      <c r="F209" s="2752"/>
      <c r="G209" s="1208" t="s">
        <v>767</v>
      </c>
      <c r="H209" s="1250"/>
      <c r="I209" s="1688">
        <f>BS!D122</f>
        <v>0</v>
      </c>
      <c r="J209" s="1690"/>
      <c r="K209" s="1688">
        <f>BS!E122</f>
        <v>0</v>
      </c>
      <c r="L209" s="1691"/>
    </row>
    <row r="210" spans="1:12" ht="27.75" customHeight="1">
      <c r="A210" s="1402" t="s">
        <v>535</v>
      </c>
      <c r="B210" s="2738" t="s">
        <v>2487</v>
      </c>
      <c r="C210" s="2738"/>
      <c r="D210" s="2753"/>
      <c r="E210" s="2753"/>
      <c r="F210" s="2753"/>
      <c r="G210" s="1262" t="s">
        <v>768</v>
      </c>
      <c r="H210" s="1259"/>
      <c r="I210" s="1754">
        <f>BS!D123</f>
        <v>112</v>
      </c>
      <c r="J210" s="1738"/>
      <c r="K210" s="1754">
        <f>BS!E123</f>
        <v>279</v>
      </c>
      <c r="L210" s="1755"/>
    </row>
    <row r="211" spans="1:12" ht="32.25" customHeight="1">
      <c r="A211" s="1199" t="s">
        <v>538</v>
      </c>
      <c r="B211" s="2750" t="s">
        <v>2488</v>
      </c>
      <c r="C211" s="2751"/>
      <c r="D211" s="2751"/>
      <c r="E211" s="2751"/>
      <c r="F211" s="2752"/>
      <c r="G211" s="1209" t="s">
        <v>770</v>
      </c>
      <c r="H211" s="1251"/>
      <c r="I211" s="1688">
        <f>BS!D124</f>
        <v>0</v>
      </c>
      <c r="J211" s="1690"/>
      <c r="K211" s="1688">
        <f>BS!E124</f>
        <v>0</v>
      </c>
      <c r="L211" s="1691"/>
    </row>
    <row r="212" spans="1:12" s="1187" customFormat="1" ht="27.75" customHeight="1">
      <c r="A212" s="1199" t="s">
        <v>541</v>
      </c>
      <c r="B212" s="2750" t="s">
        <v>2489</v>
      </c>
      <c r="C212" s="2751"/>
      <c r="D212" s="2751"/>
      <c r="E212" s="2751"/>
      <c r="F212" s="2752"/>
      <c r="G212" s="1209" t="s">
        <v>772</v>
      </c>
      <c r="H212" s="1251"/>
      <c r="I212" s="1688">
        <f>BS!D125</f>
        <v>0</v>
      </c>
      <c r="J212" s="1690"/>
      <c r="K212" s="1688">
        <f>BS!E125</f>
        <v>0</v>
      </c>
      <c r="L212" s="1691"/>
    </row>
    <row r="213" spans="1:12" ht="27.75" customHeight="1">
      <c r="A213" s="1199" t="s">
        <v>544</v>
      </c>
      <c r="B213" s="2750" t="s">
        <v>1128</v>
      </c>
      <c r="C213" s="2751"/>
      <c r="D213" s="2751"/>
      <c r="E213" s="2751"/>
      <c r="F213" s="2752"/>
      <c r="G213" s="1209" t="s">
        <v>774</v>
      </c>
      <c r="H213" s="1251"/>
      <c r="I213" s="1688">
        <f>BS!D126</f>
        <v>0</v>
      </c>
      <c r="J213" s="1690"/>
      <c r="K213" s="1688">
        <f>BS!E126</f>
        <v>0</v>
      </c>
      <c r="L213" s="1691"/>
    </row>
    <row r="214" spans="1:12" ht="27.75" customHeight="1">
      <c r="A214" s="1199" t="s">
        <v>547</v>
      </c>
      <c r="B214" s="2750" t="s">
        <v>1127</v>
      </c>
      <c r="C214" s="2751"/>
      <c r="D214" s="2751"/>
      <c r="E214" s="2751"/>
      <c r="F214" s="2752"/>
      <c r="G214" s="1209" t="s">
        <v>776</v>
      </c>
      <c r="H214" s="1251"/>
      <c r="I214" s="1688">
        <f>BS!D127</f>
        <v>0</v>
      </c>
      <c r="J214" s="1690"/>
      <c r="K214" s="1688">
        <f>BS!E127</f>
        <v>0</v>
      </c>
      <c r="L214" s="1691"/>
    </row>
    <row r="215" spans="1:12" ht="27.75" customHeight="1">
      <c r="A215" s="1199" t="s">
        <v>568</v>
      </c>
      <c r="B215" s="2750" t="s">
        <v>2490</v>
      </c>
      <c r="C215" s="2751"/>
      <c r="D215" s="2751"/>
      <c r="E215" s="2751"/>
      <c r="F215" s="2752"/>
      <c r="G215" s="1209" t="s">
        <v>778</v>
      </c>
      <c r="H215" s="1251"/>
      <c r="I215" s="1688">
        <f>BS!D128</f>
        <v>0</v>
      </c>
      <c r="J215" s="1690"/>
      <c r="K215" s="1688">
        <f>BS!E128</f>
        <v>0</v>
      </c>
      <c r="L215" s="1691"/>
    </row>
    <row r="216" spans="1:12" ht="27.75" customHeight="1">
      <c r="A216" s="1199" t="s">
        <v>571</v>
      </c>
      <c r="B216" s="2750" t="s">
        <v>1125</v>
      </c>
      <c r="C216" s="2751"/>
      <c r="D216" s="2751"/>
      <c r="E216" s="2751"/>
      <c r="F216" s="2752"/>
      <c r="G216" s="1209" t="s">
        <v>780</v>
      </c>
      <c r="H216" s="1251"/>
      <c r="I216" s="1688">
        <f>BS!D129</f>
        <v>8969</v>
      </c>
      <c r="J216" s="1690"/>
      <c r="K216" s="1688">
        <f>BS!E129</f>
        <v>12927</v>
      </c>
      <c r="L216" s="1691"/>
    </row>
    <row r="217" spans="1:12" ht="27.75" customHeight="1">
      <c r="A217" s="1199" t="s">
        <v>758</v>
      </c>
      <c r="B217" s="2750" t="s">
        <v>2491</v>
      </c>
      <c r="C217" s="2751"/>
      <c r="D217" s="2751"/>
      <c r="E217" s="2751"/>
      <c r="F217" s="2752"/>
      <c r="G217" s="1209" t="s">
        <v>782</v>
      </c>
      <c r="H217" s="1251"/>
      <c r="I217" s="1688">
        <f>BS!D130</f>
        <v>0</v>
      </c>
      <c r="J217" s="1690"/>
      <c r="K217" s="1688">
        <f>BS!E130</f>
        <v>0</v>
      </c>
      <c r="L217" s="1691"/>
    </row>
    <row r="218" spans="1:12" ht="27.75" customHeight="1">
      <c r="A218" s="1199" t="s">
        <v>761</v>
      </c>
      <c r="B218" s="2750" t="s">
        <v>2492</v>
      </c>
      <c r="C218" s="2751"/>
      <c r="D218" s="2751"/>
      <c r="E218" s="2751"/>
      <c r="F218" s="2752"/>
      <c r="G218" s="1209" t="s">
        <v>784</v>
      </c>
      <c r="H218" s="1251"/>
      <c r="I218" s="1688">
        <f>BS!D131</f>
        <v>0</v>
      </c>
      <c r="J218" s="1690"/>
      <c r="K218" s="1688">
        <f>BS!E131</f>
        <v>0</v>
      </c>
      <c r="L218" s="1691"/>
    </row>
    <row r="219" spans="1:12" ht="27.75" customHeight="1" thickBot="1">
      <c r="A219" s="1367" t="s">
        <v>2308</v>
      </c>
      <c r="B219" s="2754" t="s">
        <v>1123</v>
      </c>
      <c r="C219" s="2755"/>
      <c r="D219" s="2755"/>
      <c r="E219" s="2755"/>
      <c r="F219" s="2756"/>
      <c r="G219" s="1365" t="s">
        <v>786</v>
      </c>
      <c r="H219" s="1366"/>
      <c r="I219" s="1703">
        <f>BS!D132</f>
        <v>216979</v>
      </c>
      <c r="J219" s="1752"/>
      <c r="K219" s="1703">
        <f>BS!E132</f>
        <v>301024</v>
      </c>
      <c r="L219" s="1705"/>
    </row>
    <row r="220" spans="1:12" ht="27.75" customHeight="1">
      <c r="A220" s="510" t="s">
        <v>1581</v>
      </c>
      <c r="B220" s="1667" t="s">
        <v>1648</v>
      </c>
      <c r="C220" s="1668"/>
      <c r="D220" s="1668"/>
      <c r="E220" s="1668"/>
      <c r="F220" s="1669"/>
      <c r="G220" s="1174" t="s">
        <v>1583</v>
      </c>
      <c r="H220" s="1363"/>
      <c r="I220" s="2369" t="s">
        <v>1649</v>
      </c>
      <c r="J220" s="2373"/>
      <c r="K220" s="2369" t="s">
        <v>1650</v>
      </c>
      <c r="L220" s="2370"/>
    </row>
    <row r="221" spans="1:12" ht="27.75" customHeight="1">
      <c r="A221" s="1404" t="s">
        <v>613</v>
      </c>
      <c r="B221" s="2747" t="s">
        <v>2493</v>
      </c>
      <c r="C221" s="2748"/>
      <c r="D221" s="2748"/>
      <c r="E221" s="2748"/>
      <c r="F221" s="2749"/>
      <c r="G221" s="1208" t="s">
        <v>789</v>
      </c>
      <c r="H221" s="1250"/>
      <c r="I221" s="1656">
        <f>BS!D133</f>
        <v>0</v>
      </c>
      <c r="J221" s="1658"/>
      <c r="K221" s="1656">
        <f>BS!E133</f>
        <v>0</v>
      </c>
      <c r="L221" s="1659"/>
    </row>
    <row r="222" spans="1:12" ht="27.75" customHeight="1">
      <c r="A222" s="1199" t="s">
        <v>616</v>
      </c>
      <c r="B222" s="2750" t="s">
        <v>2494</v>
      </c>
      <c r="C222" s="2751"/>
      <c r="D222" s="2751"/>
      <c r="E222" s="2751"/>
      <c r="F222" s="2752"/>
      <c r="G222" s="1209" t="s">
        <v>792</v>
      </c>
      <c r="H222" s="1251"/>
      <c r="I222" s="1688">
        <f>BS!D134</f>
        <v>0</v>
      </c>
      <c r="J222" s="1690"/>
      <c r="K222" s="1688">
        <f>BS!E134</f>
        <v>0</v>
      </c>
      <c r="L222" s="1691"/>
    </row>
    <row r="223" spans="1:12" ht="27.75" customHeight="1">
      <c r="A223" s="1199" t="s">
        <v>532</v>
      </c>
      <c r="B223" s="2750" t="s">
        <v>2495</v>
      </c>
      <c r="C223" s="2751"/>
      <c r="D223" s="2751"/>
      <c r="E223" s="2751"/>
      <c r="F223" s="2752"/>
      <c r="G223" s="1209" t="s">
        <v>794</v>
      </c>
      <c r="H223" s="1251"/>
      <c r="I223" s="1688">
        <f>BS!D135</f>
        <v>0</v>
      </c>
      <c r="J223" s="1690"/>
      <c r="K223" s="1688">
        <f>BS!E135</f>
        <v>0</v>
      </c>
      <c r="L223" s="1691"/>
    </row>
    <row r="224" spans="1:12" ht="27.75" customHeight="1">
      <c r="A224" s="1404" t="s">
        <v>631</v>
      </c>
      <c r="B224" s="2747" t="s">
        <v>2496</v>
      </c>
      <c r="C224" s="2748"/>
      <c r="D224" s="2748"/>
      <c r="E224" s="2748"/>
      <c r="F224" s="2749"/>
      <c r="G224" s="1208" t="s">
        <v>796</v>
      </c>
      <c r="H224" s="1250"/>
      <c r="I224" s="1656">
        <f>BS!D136</f>
        <v>0</v>
      </c>
      <c r="J224" s="1658"/>
      <c r="K224" s="1656">
        <f>BS!E136</f>
        <v>0</v>
      </c>
      <c r="L224" s="1659"/>
    </row>
    <row r="225" spans="1:12" ht="27.75" customHeight="1">
      <c r="A225" s="1404" t="s">
        <v>649</v>
      </c>
      <c r="B225" s="2747" t="s">
        <v>2568</v>
      </c>
      <c r="C225" s="2748"/>
      <c r="D225" s="2748"/>
      <c r="E225" s="2748"/>
      <c r="F225" s="2749"/>
      <c r="G225" s="1208" t="s">
        <v>798</v>
      </c>
      <c r="H225" s="1250"/>
      <c r="I225" s="1656">
        <f>BS!D137</f>
        <v>821475</v>
      </c>
      <c r="J225" s="1658"/>
      <c r="K225" s="1656">
        <f>BS!E137</f>
        <v>1181891</v>
      </c>
      <c r="L225" s="1659"/>
    </row>
    <row r="226" spans="1:12" s="1187" customFormat="1" ht="27.75" customHeight="1">
      <c r="A226" s="1404" t="s">
        <v>652</v>
      </c>
      <c r="B226" s="2747" t="s">
        <v>2497</v>
      </c>
      <c r="C226" s="2748"/>
      <c r="D226" s="2748"/>
      <c r="E226" s="2748"/>
      <c r="F226" s="2749"/>
      <c r="G226" s="1208" t="s">
        <v>800</v>
      </c>
      <c r="H226" s="1251"/>
      <c r="I226" s="1688">
        <f>BS!D138</f>
        <v>630565</v>
      </c>
      <c r="J226" s="1690"/>
      <c r="K226" s="1688">
        <f>BS!E138</f>
        <v>1079736</v>
      </c>
      <c r="L226" s="1691"/>
    </row>
    <row r="227" spans="1:12" ht="31.5" customHeight="1">
      <c r="A227" s="1199" t="s">
        <v>2265</v>
      </c>
      <c r="B227" s="2750" t="s">
        <v>2498</v>
      </c>
      <c r="C227" s="2751"/>
      <c r="D227" s="2751"/>
      <c r="E227" s="2751"/>
      <c r="F227" s="2752"/>
      <c r="G227" s="1209" t="s">
        <v>802</v>
      </c>
      <c r="H227" s="1251"/>
      <c r="I227" s="1688">
        <f>BS!D139</f>
        <v>0</v>
      </c>
      <c r="J227" s="1690"/>
      <c r="K227" s="1688">
        <f>BS!E139</f>
        <v>19992</v>
      </c>
      <c r="L227" s="1691"/>
    </row>
    <row r="228" spans="1:12" ht="31" customHeight="1">
      <c r="A228" s="1199" t="s">
        <v>2266</v>
      </c>
      <c r="B228" s="2750" t="s">
        <v>2499</v>
      </c>
      <c r="C228" s="2751"/>
      <c r="D228" s="2751"/>
      <c r="E228" s="2751"/>
      <c r="F228" s="2752"/>
      <c r="G228" s="1209" t="s">
        <v>804</v>
      </c>
      <c r="H228" s="1251"/>
      <c r="I228" s="1688">
        <f>BS!D140</f>
        <v>0</v>
      </c>
      <c r="J228" s="1690"/>
      <c r="K228" s="1688">
        <f>BS!E140</f>
        <v>0</v>
      </c>
      <c r="L228" s="1691"/>
    </row>
    <row r="229" spans="1:12" ht="31.5" customHeight="1">
      <c r="A229" s="1199" t="s">
        <v>2267</v>
      </c>
      <c r="B229" s="2750" t="s">
        <v>2500</v>
      </c>
      <c r="C229" s="2751"/>
      <c r="D229" s="2751"/>
      <c r="E229" s="2751"/>
      <c r="F229" s="2752"/>
      <c r="G229" s="1209" t="s">
        <v>2313</v>
      </c>
      <c r="H229" s="1251"/>
      <c r="I229" s="1688">
        <f>BS!D141</f>
        <v>630565</v>
      </c>
      <c r="J229" s="1690"/>
      <c r="K229" s="1688">
        <f>BS!E141</f>
        <v>1059744</v>
      </c>
      <c r="L229" s="1691"/>
    </row>
    <row r="230" spans="1:12" ht="27.75" customHeight="1">
      <c r="A230" s="1199" t="s">
        <v>532</v>
      </c>
      <c r="B230" s="2750" t="s">
        <v>1120</v>
      </c>
      <c r="C230" s="2751"/>
      <c r="D230" s="2751"/>
      <c r="E230" s="2751"/>
      <c r="F230" s="2752"/>
      <c r="G230" s="1209" t="s">
        <v>2314</v>
      </c>
      <c r="H230" s="1251"/>
      <c r="I230" s="1688">
        <f>BS!D142</f>
        <v>0</v>
      </c>
      <c r="J230" s="1690"/>
      <c r="K230" s="1688">
        <f>BS!E142</f>
        <v>0</v>
      </c>
      <c r="L230" s="1691"/>
    </row>
    <row r="231" spans="1:12" ht="27.75" customHeight="1">
      <c r="A231" s="1199" t="s">
        <v>535</v>
      </c>
      <c r="B231" s="2750" t="s">
        <v>2501</v>
      </c>
      <c r="C231" s="2751"/>
      <c r="D231" s="2751"/>
      <c r="E231" s="2751"/>
      <c r="F231" s="2752"/>
      <c r="G231" s="1209" t="s">
        <v>2315</v>
      </c>
      <c r="H231" s="1251"/>
      <c r="I231" s="1688">
        <f>BS!D143</f>
        <v>0</v>
      </c>
      <c r="J231" s="1690"/>
      <c r="K231" s="1688">
        <f>BS!E143</f>
        <v>0</v>
      </c>
      <c r="L231" s="1691"/>
    </row>
    <row r="232" spans="1:12" ht="31" customHeight="1">
      <c r="A232" s="1199" t="s">
        <v>538</v>
      </c>
      <c r="B232" s="2750" t="s">
        <v>2502</v>
      </c>
      <c r="C232" s="2751"/>
      <c r="D232" s="2751"/>
      <c r="E232" s="2751"/>
      <c r="F232" s="2752"/>
      <c r="G232" s="1209" t="s">
        <v>2316</v>
      </c>
      <c r="H232" s="1251"/>
      <c r="I232" s="1688">
        <f>BS!D144</f>
        <v>0</v>
      </c>
      <c r="J232" s="1690"/>
      <c r="K232" s="1688">
        <f>BS!E144</f>
        <v>0</v>
      </c>
      <c r="L232" s="1691"/>
    </row>
    <row r="233" spans="1:12" ht="27.75" customHeight="1">
      <c r="A233" s="1199" t="s">
        <v>541</v>
      </c>
      <c r="B233" s="2750" t="s">
        <v>2503</v>
      </c>
      <c r="C233" s="2751"/>
      <c r="D233" s="2751"/>
      <c r="E233" s="2751"/>
      <c r="F233" s="2752"/>
      <c r="G233" s="1209" t="s">
        <v>2317</v>
      </c>
      <c r="H233" s="1251"/>
      <c r="I233" s="1688">
        <f>BS!D145</f>
        <v>0</v>
      </c>
      <c r="J233" s="1690"/>
      <c r="K233" s="1688">
        <f>BS!E145</f>
        <v>0</v>
      </c>
      <c r="L233" s="1691"/>
    </row>
    <row r="234" spans="1:12" ht="27.75" customHeight="1">
      <c r="A234" s="1199" t="s">
        <v>544</v>
      </c>
      <c r="B234" s="2750" t="s">
        <v>1115</v>
      </c>
      <c r="C234" s="2751"/>
      <c r="D234" s="2751"/>
      <c r="E234" s="2751"/>
      <c r="F234" s="2752"/>
      <c r="G234" s="1209" t="s">
        <v>2318</v>
      </c>
      <c r="H234" s="1251"/>
      <c r="I234" s="1688">
        <f>BS!D146</f>
        <v>62434</v>
      </c>
      <c r="J234" s="1690"/>
      <c r="K234" s="1688">
        <f>BS!E146</f>
        <v>47382</v>
      </c>
      <c r="L234" s="1691"/>
    </row>
    <row r="235" spans="1:12" ht="27.75" customHeight="1">
      <c r="A235" s="1199" t="s">
        <v>547</v>
      </c>
      <c r="B235" s="2750" t="s">
        <v>2504</v>
      </c>
      <c r="C235" s="2751"/>
      <c r="D235" s="2751"/>
      <c r="E235" s="2751"/>
      <c r="F235" s="2752"/>
      <c r="G235" s="1209" t="s">
        <v>2320</v>
      </c>
      <c r="H235" s="1251"/>
      <c r="I235" s="1688">
        <f>BS!D147</f>
        <v>39822</v>
      </c>
      <c r="J235" s="1690"/>
      <c r="K235" s="1688">
        <f>BS!E147</f>
        <v>31104</v>
      </c>
      <c r="L235" s="1691"/>
    </row>
    <row r="236" spans="1:12" s="1187" customFormat="1" ht="27.75" customHeight="1">
      <c r="A236" s="1199" t="s">
        <v>568</v>
      </c>
      <c r="B236" s="2750" t="s">
        <v>2505</v>
      </c>
      <c r="C236" s="2751"/>
      <c r="D236" s="2751"/>
      <c r="E236" s="2751"/>
      <c r="F236" s="2752"/>
      <c r="G236" s="1209" t="s">
        <v>2321</v>
      </c>
      <c r="H236" s="1251"/>
      <c r="I236" s="1688">
        <f>BS!D148</f>
        <v>85270</v>
      </c>
      <c r="J236" s="1690"/>
      <c r="K236" s="1688">
        <f>BS!E148</f>
        <v>8319</v>
      </c>
      <c r="L236" s="1691"/>
    </row>
    <row r="237" spans="1:12" ht="27.75" customHeight="1">
      <c r="A237" s="1199" t="s">
        <v>571</v>
      </c>
      <c r="B237" s="2750" t="s">
        <v>2506</v>
      </c>
      <c r="C237" s="2751"/>
      <c r="D237" s="2751"/>
      <c r="E237" s="2751"/>
      <c r="F237" s="2752"/>
      <c r="G237" s="1209" t="s">
        <v>2323</v>
      </c>
      <c r="H237" s="1251"/>
      <c r="I237" s="1688">
        <f>BS!D149</f>
        <v>0</v>
      </c>
      <c r="J237" s="1690"/>
      <c r="K237" s="1688">
        <f>BS!E149</f>
        <v>0</v>
      </c>
      <c r="L237" s="1691"/>
    </row>
    <row r="238" spans="1:12" ht="27.75" customHeight="1">
      <c r="A238" s="1199" t="s">
        <v>758</v>
      </c>
      <c r="B238" s="2750" t="s">
        <v>2507</v>
      </c>
      <c r="C238" s="2751"/>
      <c r="D238" s="2751"/>
      <c r="E238" s="2751"/>
      <c r="F238" s="2752"/>
      <c r="G238" s="1209" t="s">
        <v>2325</v>
      </c>
      <c r="H238" s="1251"/>
      <c r="I238" s="1688">
        <f>BS!D150</f>
        <v>3384</v>
      </c>
      <c r="J238" s="1690"/>
      <c r="K238" s="1688">
        <f>BS!E150</f>
        <v>15350</v>
      </c>
      <c r="L238" s="1691"/>
    </row>
    <row r="239" spans="1:12" ht="27.75" customHeight="1">
      <c r="A239" s="1404" t="s">
        <v>787</v>
      </c>
      <c r="B239" s="2747" t="s">
        <v>2508</v>
      </c>
      <c r="C239" s="2748"/>
      <c r="D239" s="2748"/>
      <c r="E239" s="2748"/>
      <c r="F239" s="2749"/>
      <c r="G239" s="1208" t="s">
        <v>2327</v>
      </c>
      <c r="H239" s="1250"/>
      <c r="I239" s="1656">
        <f>BS!D151</f>
        <v>134706</v>
      </c>
      <c r="J239" s="1658"/>
      <c r="K239" s="1656">
        <f>BS!E151</f>
        <v>113122</v>
      </c>
      <c r="L239" s="1659"/>
    </row>
    <row r="240" spans="1:12" s="1187" customFormat="1" ht="27.75" customHeight="1">
      <c r="A240" s="1199" t="s">
        <v>790</v>
      </c>
      <c r="B240" s="2750" t="s">
        <v>2509</v>
      </c>
      <c r="C240" s="2751"/>
      <c r="D240" s="2751"/>
      <c r="E240" s="2751"/>
      <c r="F240" s="2752"/>
      <c r="G240" s="1209" t="s">
        <v>2328</v>
      </c>
      <c r="H240" s="1251"/>
      <c r="I240" s="1688">
        <f>BS!D152</f>
        <v>43381</v>
      </c>
      <c r="J240" s="1690"/>
      <c r="K240" s="1688">
        <f>BS!E152</f>
        <v>42770</v>
      </c>
      <c r="L240" s="1691"/>
    </row>
    <row r="241" spans="1:12" s="1187" customFormat="1" ht="27.75" customHeight="1">
      <c r="A241" s="1199" t="s">
        <v>532</v>
      </c>
      <c r="B241" s="2750" t="s">
        <v>2510</v>
      </c>
      <c r="C241" s="2751"/>
      <c r="D241" s="2751"/>
      <c r="E241" s="2751"/>
      <c r="F241" s="2752"/>
      <c r="G241" s="1209" t="s">
        <v>2329</v>
      </c>
      <c r="H241" s="1251"/>
      <c r="I241" s="1688">
        <f>BS!D153</f>
        <v>91325</v>
      </c>
      <c r="J241" s="1690"/>
      <c r="K241" s="1688">
        <f>BS!E153</f>
        <v>70352</v>
      </c>
      <c r="L241" s="1691"/>
    </row>
    <row r="242" spans="1:12" s="1187" customFormat="1" ht="27.75" customHeight="1">
      <c r="A242" s="1401" t="s">
        <v>2330</v>
      </c>
      <c r="B242" s="2757" t="s">
        <v>2511</v>
      </c>
      <c r="C242" s="2757"/>
      <c r="D242" s="2758"/>
      <c r="E242" s="2758"/>
      <c r="F242" s="2758"/>
      <c r="G242" s="1263" t="s">
        <v>2331</v>
      </c>
      <c r="H242" s="1264"/>
      <c r="I242" s="1757">
        <f>BS!D154</f>
        <v>1278</v>
      </c>
      <c r="J242" s="1758"/>
      <c r="K242" s="1757">
        <f>BS!E154</f>
        <v>4286</v>
      </c>
      <c r="L242" s="1759"/>
    </row>
    <row r="243" spans="1:12" s="1187" customFormat="1" ht="27.75" customHeight="1">
      <c r="A243" s="1378" t="s">
        <v>2332</v>
      </c>
      <c r="B243" s="2747" t="s">
        <v>1111</v>
      </c>
      <c r="C243" s="2748"/>
      <c r="D243" s="2748"/>
      <c r="E243" s="2748"/>
      <c r="F243" s="2749"/>
      <c r="G243" s="1208" t="s">
        <v>2333</v>
      </c>
      <c r="H243" s="1250"/>
      <c r="I243" s="1656">
        <f>BS!D155</f>
        <v>0</v>
      </c>
      <c r="J243" s="1658"/>
      <c r="K243" s="1656">
        <f>BS!E155</f>
        <v>0</v>
      </c>
      <c r="L243" s="1659"/>
    </row>
    <row r="244" spans="1:12" s="1187" customFormat="1" ht="27.75" customHeight="1">
      <c r="A244" s="1378" t="s">
        <v>663</v>
      </c>
      <c r="B244" s="2747" t="s">
        <v>2512</v>
      </c>
      <c r="C244" s="2748"/>
      <c r="D244" s="2748"/>
      <c r="E244" s="2748"/>
      <c r="F244" s="2749"/>
      <c r="G244" s="1208" t="s">
        <v>2335</v>
      </c>
      <c r="H244" s="1250"/>
      <c r="I244" s="1656">
        <f>BS!D156</f>
        <v>0</v>
      </c>
      <c r="J244" s="1658"/>
      <c r="K244" s="1656">
        <f>BS!E156</f>
        <v>0</v>
      </c>
      <c r="L244" s="1659"/>
    </row>
    <row r="245" spans="1:12" s="1187" customFormat="1" ht="27.75" customHeight="1">
      <c r="A245" s="1387" t="s">
        <v>666</v>
      </c>
      <c r="B245" s="2750" t="s">
        <v>1106</v>
      </c>
      <c r="C245" s="2751"/>
      <c r="D245" s="2751"/>
      <c r="E245" s="2751"/>
      <c r="F245" s="2752"/>
      <c r="G245" s="1209" t="s">
        <v>2336</v>
      </c>
      <c r="H245" s="1251"/>
      <c r="I245" s="1688">
        <f>BS!D157</f>
        <v>0</v>
      </c>
      <c r="J245" s="1690"/>
      <c r="K245" s="1688">
        <f>BS!E157</f>
        <v>0</v>
      </c>
      <c r="L245" s="1691"/>
    </row>
    <row r="246" spans="1:12" s="1187" customFormat="1" ht="27.75" customHeight="1">
      <c r="A246" s="1387" t="s">
        <v>532</v>
      </c>
      <c r="B246" s="2750" t="s">
        <v>1105</v>
      </c>
      <c r="C246" s="2751"/>
      <c r="D246" s="2751"/>
      <c r="E246" s="2751"/>
      <c r="F246" s="2752"/>
      <c r="G246" s="1209" t="s">
        <v>2337</v>
      </c>
      <c r="H246" s="1251"/>
      <c r="I246" s="1688">
        <f>BS!D158</f>
        <v>0</v>
      </c>
      <c r="J246" s="1690"/>
      <c r="K246" s="1688">
        <f>BS!E158</f>
        <v>0</v>
      </c>
      <c r="L246" s="1691"/>
    </row>
    <row r="247" spans="1:12" s="1187" customFormat="1" ht="27.75" customHeight="1">
      <c r="A247" s="1387" t="s">
        <v>535</v>
      </c>
      <c r="B247" s="2750" t="s">
        <v>2513</v>
      </c>
      <c r="C247" s="2751"/>
      <c r="D247" s="2751"/>
      <c r="E247" s="2751"/>
      <c r="F247" s="2752"/>
      <c r="G247" s="1209" t="s">
        <v>2338</v>
      </c>
      <c r="H247" s="1251"/>
      <c r="I247" s="1688">
        <f>BS!D159</f>
        <v>0</v>
      </c>
      <c r="J247" s="1690"/>
      <c r="K247" s="1688">
        <f>BS!E159</f>
        <v>0</v>
      </c>
      <c r="L247" s="1691"/>
    </row>
    <row r="248" spans="1:12" ht="27.75" customHeight="1" thickBot="1">
      <c r="A248" s="1396" t="s">
        <v>538</v>
      </c>
      <c r="B248" s="2754" t="s">
        <v>2514</v>
      </c>
      <c r="C248" s="2755"/>
      <c r="D248" s="2755"/>
      <c r="E248" s="2755"/>
      <c r="F248" s="2756"/>
      <c r="G248" s="1365" t="s">
        <v>2339</v>
      </c>
      <c r="H248" s="1366"/>
      <c r="I248" s="1703">
        <f>BS!D160</f>
        <v>0</v>
      </c>
      <c r="J248" s="1752"/>
      <c r="K248" s="1703">
        <f>BS!E160</f>
        <v>0</v>
      </c>
      <c r="L248" s="1705"/>
    </row>
    <row r="249" spans="1:12" ht="27.75" customHeight="1">
      <c r="A249" s="1190"/>
      <c r="B249" s="1191"/>
      <c r="C249" s="1191"/>
      <c r="D249" s="1201"/>
      <c r="E249" s="1201"/>
      <c r="F249" s="1201"/>
      <c r="G249" s="1192"/>
      <c r="H249" s="1192"/>
      <c r="I249" s="1193"/>
      <c r="J249" s="1193"/>
      <c r="K249" s="1193"/>
      <c r="L249" s="1193"/>
    </row>
    <row r="250" spans="1:12" ht="24.75" customHeight="1"/>
    <row r="251" spans="1:12" ht="24.75" customHeight="1"/>
    <row r="252" spans="1:12" ht="24.75" customHeight="1"/>
  </sheetData>
  <mergeCells count="816">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30"/>
    <mergeCell ref="F130:G130"/>
    <mergeCell ref="K130:L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97:A99"/>
    <mergeCell ref="B97:B99"/>
    <mergeCell ref="D97:D99"/>
    <mergeCell ref="E97:J97"/>
    <mergeCell ref="K97:L98"/>
    <mergeCell ref="E98:E99"/>
    <mergeCell ref="F98:G98"/>
    <mergeCell ref="I98:J99"/>
    <mergeCell ref="F99:G99"/>
    <mergeCell ref="K99:L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6:A68"/>
    <mergeCell ref="B66:B68"/>
    <mergeCell ref="D66:D68"/>
    <mergeCell ref="E66:J66"/>
    <mergeCell ref="K66:L67"/>
    <mergeCell ref="E67:E68"/>
    <mergeCell ref="F67:G67"/>
    <mergeCell ref="I67:J68"/>
    <mergeCell ref="F68:G68"/>
    <mergeCell ref="K68:L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5:A37"/>
    <mergeCell ref="B35:B37"/>
    <mergeCell ref="D35:D37"/>
    <mergeCell ref="E35:J35"/>
    <mergeCell ref="K35:L36"/>
    <mergeCell ref="E36:E37"/>
    <mergeCell ref="F36:G36"/>
    <mergeCell ref="I36:J37"/>
    <mergeCell ref="F37:G37"/>
    <mergeCell ref="K37:L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7:A8"/>
    <mergeCell ref="B7:B8"/>
    <mergeCell ref="D7:D8"/>
    <mergeCell ref="E7:G7"/>
    <mergeCell ref="I7:K7"/>
    <mergeCell ref="E8:G8"/>
    <mergeCell ref="J8:L8"/>
    <mergeCell ref="A4:A6"/>
    <mergeCell ref="B4:B6"/>
    <mergeCell ref="D4:D6"/>
    <mergeCell ref="E4:J4"/>
    <mergeCell ref="K4:L5"/>
    <mergeCell ref="E5:E6"/>
    <mergeCell ref="F5:G5"/>
    <mergeCell ref="I5:J6"/>
    <mergeCell ref="F6:G6"/>
    <mergeCell ref="K6:L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796875" defaultRowHeight="9.5"/>
  <cols>
    <col min="1" max="1" width="5.1796875" style="1238" customWidth="1"/>
    <col min="2" max="2" width="15.54296875" style="1238" customWidth="1"/>
    <col min="3" max="3" width="6.1796875" style="1238" customWidth="1"/>
    <col min="4" max="4" width="23.81640625" style="1238" customWidth="1"/>
    <col min="5" max="5" width="0.54296875" style="1238" customWidth="1"/>
    <col min="6" max="6" width="6.453125" style="1238" customWidth="1"/>
    <col min="7" max="8" width="22.81640625" style="1238" customWidth="1"/>
    <col min="9" max="16384" width="9.1796875" style="1238"/>
  </cols>
  <sheetData>
    <row r="1" spans="1:12" s="1179" customFormat="1" ht="15" customHeight="1">
      <c r="A1" s="1178"/>
      <c r="D1" s="1180"/>
      <c r="E1" s="1180"/>
      <c r="F1" s="1180"/>
      <c r="I1" s="1180"/>
      <c r="J1" s="1180"/>
    </row>
    <row r="2" spans="1:12" s="1179" customFormat="1" ht="23.25" customHeight="1">
      <c r="A2" s="1178"/>
      <c r="B2" s="1166" t="s">
        <v>2631</v>
      </c>
      <c r="C2" s="525" t="s">
        <v>1580</v>
      </c>
      <c r="D2" s="1268" t="str">
        <f>'BS-SK Statutory'!E2</f>
        <v xml:space="preserve">  2  0  2  0  3  1  9  8  2  9</v>
      </c>
      <c r="E2" s="581"/>
      <c r="F2" s="1213" t="s">
        <v>2585</v>
      </c>
      <c r="G2" s="1267" t="str">
        <f>'BS-SK Statutory'!J2</f>
        <v xml:space="preserve">  3  1  3  6  5  5  0  7 </v>
      </c>
    </row>
    <row r="3" spans="1:12" s="1179" customFormat="1" ht="2.25" customHeight="1" thickBot="1">
      <c r="A3" s="1178"/>
      <c r="B3" s="1225"/>
      <c r="C3" s="1180"/>
      <c r="D3" s="1180"/>
      <c r="E3" s="1180"/>
    </row>
    <row r="4" spans="1:12" s="1230" customFormat="1" ht="11.25" customHeight="1">
      <c r="A4" s="1226"/>
      <c r="B4" s="1227"/>
      <c r="C4" s="1266"/>
      <c r="D4" s="1266"/>
      <c r="E4" s="1228"/>
      <c r="F4" s="1229"/>
      <c r="G4" s="2416" t="s">
        <v>1711</v>
      </c>
      <c r="H4" s="2440"/>
    </row>
    <row r="5" spans="1:12" s="1230" customFormat="1" ht="33.75" customHeight="1">
      <c r="A5" s="1406" t="s">
        <v>1581</v>
      </c>
      <c r="B5" s="1649" t="s">
        <v>1298</v>
      </c>
      <c r="C5" s="1767"/>
      <c r="D5" s="1767"/>
      <c r="E5" s="1408"/>
      <c r="F5" s="1407" t="s">
        <v>1583</v>
      </c>
      <c r="G5" s="1405" t="s">
        <v>1712</v>
      </c>
      <c r="H5" s="570" t="s">
        <v>1713</v>
      </c>
    </row>
    <row r="6" spans="1:12" s="1230" customFormat="1" ht="29.65" customHeight="1">
      <c r="A6" s="1404" t="s">
        <v>880</v>
      </c>
      <c r="B6" s="2747" t="s">
        <v>2515</v>
      </c>
      <c r="C6" s="2748"/>
      <c r="D6" s="2748"/>
      <c r="E6" s="2749"/>
      <c r="F6" s="1196" t="s">
        <v>814</v>
      </c>
      <c r="G6" s="1382">
        <f>'P&amp;L'!D9</f>
        <v>5478558</v>
      </c>
      <c r="H6" s="1385">
        <f>'P&amp;L'!E9</f>
        <v>5307380</v>
      </c>
    </row>
    <row r="7" spans="1:12" s="1230" customFormat="1" ht="29.65" customHeight="1">
      <c r="A7" s="1404" t="s">
        <v>942</v>
      </c>
      <c r="B7" s="2747" t="s">
        <v>2516</v>
      </c>
      <c r="C7" s="2748"/>
      <c r="D7" s="2748"/>
      <c r="E7" s="2749"/>
      <c r="F7" s="1196" t="s">
        <v>817</v>
      </c>
      <c r="G7" s="1382">
        <f>'P&amp;L'!D10</f>
        <v>6371901</v>
      </c>
      <c r="H7" s="1233">
        <f>'P&amp;L'!E10</f>
        <v>5384434</v>
      </c>
    </row>
    <row r="8" spans="1:12" s="1235" customFormat="1" ht="29.65" customHeight="1">
      <c r="A8" s="1269" t="s">
        <v>877</v>
      </c>
      <c r="B8" s="2750" t="s">
        <v>2517</v>
      </c>
      <c r="C8" s="2751"/>
      <c r="D8" s="2751"/>
      <c r="E8" s="2752"/>
      <c r="F8" s="1198" t="s">
        <v>820</v>
      </c>
      <c r="G8" s="1379">
        <f>'P&amp;L'!D11</f>
        <v>2422675</v>
      </c>
      <c r="H8" s="1234">
        <f>'P&amp;L'!E11</f>
        <v>2493976</v>
      </c>
    </row>
    <row r="9" spans="1:12" s="1235" customFormat="1" ht="29.65" customHeight="1">
      <c r="A9" s="1269" t="s">
        <v>2343</v>
      </c>
      <c r="B9" s="2750" t="s">
        <v>2518</v>
      </c>
      <c r="C9" s="2751"/>
      <c r="D9" s="2751"/>
      <c r="E9" s="2752"/>
      <c r="F9" s="1198" t="s">
        <v>823</v>
      </c>
      <c r="G9" s="1379">
        <f>'P&amp;L'!D12</f>
        <v>2877161</v>
      </c>
      <c r="H9" s="1234">
        <f>'P&amp;L'!E12</f>
        <v>2645663</v>
      </c>
    </row>
    <row r="10" spans="1:12" s="1230" customFormat="1" ht="29.65" customHeight="1">
      <c r="A10" s="1269" t="s">
        <v>2345</v>
      </c>
      <c r="B10" s="2750" t="s">
        <v>2519</v>
      </c>
      <c r="C10" s="2751"/>
      <c r="D10" s="2751"/>
      <c r="E10" s="2752"/>
      <c r="F10" s="1198" t="s">
        <v>826</v>
      </c>
      <c r="G10" s="1379">
        <f>'P&amp;L'!D13</f>
        <v>178722</v>
      </c>
      <c r="H10" s="1234">
        <f>'P&amp;L'!E13</f>
        <v>167741</v>
      </c>
    </row>
    <row r="11" spans="1:12" s="1230" customFormat="1" ht="29.65" customHeight="1">
      <c r="A11" s="1269" t="s">
        <v>2347</v>
      </c>
      <c r="B11" s="2750" t="s">
        <v>2520</v>
      </c>
      <c r="C11" s="2751"/>
      <c r="D11" s="2751"/>
      <c r="E11" s="2752"/>
      <c r="F11" s="1198" t="s">
        <v>828</v>
      </c>
      <c r="G11" s="1379">
        <f>'P&amp;L'!D14</f>
        <v>-734</v>
      </c>
      <c r="H11" s="1234">
        <f>'P&amp;L'!E14</f>
        <v>-408</v>
      </c>
    </row>
    <row r="12" spans="1:12" s="1230" customFormat="1" ht="29.65" customHeight="1">
      <c r="A12" s="1269" t="s">
        <v>976</v>
      </c>
      <c r="B12" s="2750" t="s">
        <v>2521</v>
      </c>
      <c r="C12" s="2751"/>
      <c r="D12" s="2751"/>
      <c r="E12" s="2752"/>
      <c r="F12" s="1198" t="s">
        <v>830</v>
      </c>
      <c r="G12" s="1379">
        <f>'P&amp;L'!D15</f>
        <v>0</v>
      </c>
      <c r="H12" s="1234">
        <f>'P&amp;L'!E15</f>
        <v>0</v>
      </c>
    </row>
    <row r="13" spans="1:12" s="1235" customFormat="1" ht="31.5" customHeight="1">
      <c r="A13" s="1269" t="s">
        <v>2348</v>
      </c>
      <c r="B13" s="2750" t="s">
        <v>2522</v>
      </c>
      <c r="C13" s="2751"/>
      <c r="D13" s="2751"/>
      <c r="E13" s="2752"/>
      <c r="F13" s="1198" t="s">
        <v>832</v>
      </c>
      <c r="G13" s="1379">
        <f>'P&amp;L'!D16</f>
        <v>0</v>
      </c>
      <c r="H13" s="1234">
        <f>'P&amp;L'!E16</f>
        <v>9584</v>
      </c>
      <c r="L13" s="1230"/>
    </row>
    <row r="14" spans="1:12" s="1230" customFormat="1" ht="29.65" customHeight="1">
      <c r="A14" s="1269" t="s">
        <v>2349</v>
      </c>
      <c r="B14" s="2750" t="s">
        <v>2523</v>
      </c>
      <c r="C14" s="2751"/>
      <c r="D14" s="2751"/>
      <c r="E14" s="2752"/>
      <c r="F14" s="1198" t="s">
        <v>835</v>
      </c>
      <c r="G14" s="1379">
        <f>'P&amp;L'!D17</f>
        <v>894077</v>
      </c>
      <c r="H14" s="1234">
        <f>'P&amp;L'!E17</f>
        <v>67878</v>
      </c>
    </row>
    <row r="15" spans="1:12" s="1230" customFormat="1" ht="29.65" customHeight="1">
      <c r="A15" s="1270" t="s">
        <v>942</v>
      </c>
      <c r="B15" s="2747" t="s">
        <v>2524</v>
      </c>
      <c r="C15" s="2748"/>
      <c r="D15" s="2748"/>
      <c r="E15" s="2749"/>
      <c r="F15" s="1196" t="s">
        <v>838</v>
      </c>
      <c r="G15" s="1382">
        <f>'P&amp;L'!D18</f>
        <v>5845865</v>
      </c>
      <c r="H15" s="1233">
        <f>'P&amp;L'!E18</f>
        <v>5183863</v>
      </c>
    </row>
    <row r="16" spans="1:12" s="1235" customFormat="1" ht="29.65" customHeight="1">
      <c r="A16" s="1199" t="s">
        <v>523</v>
      </c>
      <c r="B16" s="2750" t="s">
        <v>2525</v>
      </c>
      <c r="C16" s="2751"/>
      <c r="D16" s="2751"/>
      <c r="E16" s="2752"/>
      <c r="F16" s="1198" t="s">
        <v>840</v>
      </c>
      <c r="G16" s="1379">
        <f>'P&amp;L'!D19</f>
        <v>1838666</v>
      </c>
      <c r="H16" s="1234">
        <f>'P&amp;L'!E19</f>
        <v>1928175</v>
      </c>
    </row>
    <row r="17" spans="1:8" s="1230" customFormat="1" ht="29.65" customHeight="1">
      <c r="A17" s="1199" t="s">
        <v>594</v>
      </c>
      <c r="B17" s="2750" t="s">
        <v>2526</v>
      </c>
      <c r="C17" s="2751"/>
      <c r="D17" s="2751"/>
      <c r="E17" s="2752"/>
      <c r="F17" s="1198" t="s">
        <v>842</v>
      </c>
      <c r="G17" s="1379">
        <f>'P&amp;L'!D20</f>
        <v>1083808</v>
      </c>
      <c r="H17" s="1234">
        <f>'P&amp;L'!E20</f>
        <v>1213571</v>
      </c>
    </row>
    <row r="18" spans="1:8" s="1230" customFormat="1" ht="29.65" customHeight="1">
      <c r="A18" s="1199" t="s">
        <v>663</v>
      </c>
      <c r="B18" s="2750" t="s">
        <v>2527</v>
      </c>
      <c r="C18" s="2751"/>
      <c r="D18" s="2751"/>
      <c r="E18" s="2752"/>
      <c r="F18" s="1198" t="s">
        <v>844</v>
      </c>
      <c r="G18" s="1379">
        <f>'P&amp;L'!D21</f>
        <v>16562</v>
      </c>
      <c r="H18" s="1234">
        <f>'P&amp;L'!E21</f>
        <v>1391</v>
      </c>
    </row>
    <row r="19" spans="1:8" s="1230" customFormat="1" ht="29.65" customHeight="1">
      <c r="A19" s="1199" t="s">
        <v>853</v>
      </c>
      <c r="B19" s="2750" t="s">
        <v>1286</v>
      </c>
      <c r="C19" s="2751"/>
      <c r="D19" s="2751"/>
      <c r="E19" s="2752"/>
      <c r="F19" s="1198" t="s">
        <v>846</v>
      </c>
      <c r="G19" s="1379">
        <f>'P&amp;L'!D22</f>
        <v>323531</v>
      </c>
      <c r="H19" s="1234">
        <f>'P&amp;L'!E22</f>
        <v>441930</v>
      </c>
    </row>
    <row r="20" spans="1:8" s="1230" customFormat="1" ht="29.65" customHeight="1">
      <c r="A20" s="1199" t="s">
        <v>856</v>
      </c>
      <c r="B20" s="2750" t="s">
        <v>2528</v>
      </c>
      <c r="C20" s="2751"/>
      <c r="D20" s="2751"/>
      <c r="E20" s="2752"/>
      <c r="F20" s="1198" t="s">
        <v>849</v>
      </c>
      <c r="G20" s="1379">
        <f>'P&amp;L'!D23</f>
        <v>1238578</v>
      </c>
      <c r="H20" s="1234">
        <f>'P&amp;L'!E23</f>
        <v>1097102</v>
      </c>
    </row>
    <row r="21" spans="1:8" s="1230" customFormat="1" ht="29.65" customHeight="1">
      <c r="A21" s="1199" t="s">
        <v>2354</v>
      </c>
      <c r="B21" s="2750" t="s">
        <v>1283</v>
      </c>
      <c r="C21" s="2751"/>
      <c r="D21" s="2751"/>
      <c r="E21" s="2752"/>
      <c r="F21" s="1198" t="s">
        <v>852</v>
      </c>
      <c r="G21" s="1379">
        <f>'P&amp;L'!D24</f>
        <v>888993</v>
      </c>
      <c r="H21" s="1234">
        <f>'P&amp;L'!E24</f>
        <v>781249</v>
      </c>
    </row>
    <row r="22" spans="1:8" s="1230" customFormat="1" ht="29.65" customHeight="1">
      <c r="A22" s="1199" t="s">
        <v>532</v>
      </c>
      <c r="B22" s="2750" t="s">
        <v>2529</v>
      </c>
      <c r="C22" s="2751"/>
      <c r="D22" s="2751"/>
      <c r="E22" s="2752"/>
      <c r="F22" s="1198" t="s">
        <v>855</v>
      </c>
      <c r="G22" s="1379">
        <f>'P&amp;L'!D25</f>
        <v>0</v>
      </c>
      <c r="H22" s="1234">
        <f>'P&amp;L'!E25</f>
        <v>0</v>
      </c>
    </row>
    <row r="23" spans="1:8" s="1230" customFormat="1" ht="29.65" customHeight="1">
      <c r="A23" s="1199" t="s">
        <v>535</v>
      </c>
      <c r="B23" s="2750" t="s">
        <v>2530</v>
      </c>
      <c r="C23" s="2751"/>
      <c r="D23" s="2751"/>
      <c r="E23" s="2752"/>
      <c r="F23" s="1198" t="s">
        <v>858</v>
      </c>
      <c r="G23" s="1379">
        <f>'P&amp;L'!D26</f>
        <v>297289</v>
      </c>
      <c r="H23" s="1234">
        <f>'P&amp;L'!E26</f>
        <v>266859</v>
      </c>
    </row>
    <row r="24" spans="1:8" s="1230" customFormat="1" ht="29.65" customHeight="1">
      <c r="A24" s="1199" t="s">
        <v>538</v>
      </c>
      <c r="B24" s="2750" t="s">
        <v>1280</v>
      </c>
      <c r="C24" s="2751"/>
      <c r="D24" s="2751"/>
      <c r="E24" s="2752"/>
      <c r="F24" s="1198" t="s">
        <v>861</v>
      </c>
      <c r="G24" s="1379">
        <f>'P&amp;L'!D27</f>
        <v>52296</v>
      </c>
      <c r="H24" s="1234">
        <f>'P&amp;L'!E27</f>
        <v>48994</v>
      </c>
    </row>
    <row r="25" spans="1:8" s="1230" customFormat="1" ht="29.65" customHeight="1">
      <c r="A25" s="1199" t="s">
        <v>862</v>
      </c>
      <c r="B25" s="2750" t="s">
        <v>1279</v>
      </c>
      <c r="C25" s="2751"/>
      <c r="D25" s="2751"/>
      <c r="E25" s="2752"/>
      <c r="F25" s="1198" t="s">
        <v>864</v>
      </c>
      <c r="G25" s="1379">
        <f>'P&amp;L'!D28</f>
        <v>11548</v>
      </c>
      <c r="H25" s="1234">
        <f>'P&amp;L'!E28</f>
        <v>8670</v>
      </c>
    </row>
    <row r="26" spans="1:8" s="1230" customFormat="1" ht="32.25" customHeight="1">
      <c r="A26" s="1199" t="s">
        <v>865</v>
      </c>
      <c r="B26" s="2761" t="s">
        <v>2531</v>
      </c>
      <c r="C26" s="2762"/>
      <c r="D26" s="2762"/>
      <c r="E26" s="2763"/>
      <c r="F26" s="1198" t="s">
        <v>867</v>
      </c>
      <c r="G26" s="1379">
        <f>'P&amp;L'!D29</f>
        <v>429679</v>
      </c>
      <c r="H26" s="1234">
        <f>'P&amp;L'!E29</f>
        <v>406478</v>
      </c>
    </row>
    <row r="27" spans="1:8" s="1230" customFormat="1" ht="29.65" customHeight="1">
      <c r="A27" s="1199" t="s">
        <v>2356</v>
      </c>
      <c r="B27" s="2750" t="s">
        <v>2532</v>
      </c>
      <c r="C27" s="2751"/>
      <c r="D27" s="2751"/>
      <c r="E27" s="2752"/>
      <c r="F27" s="1198" t="s">
        <v>870</v>
      </c>
      <c r="G27" s="1379">
        <f>'P&amp;L'!D30</f>
        <v>429679</v>
      </c>
      <c r="H27" s="1234">
        <f>'P&amp;L'!E30</f>
        <v>406478</v>
      </c>
    </row>
    <row r="28" spans="1:8" s="1230" customFormat="1" ht="32.25" customHeight="1">
      <c r="A28" s="1199" t="s">
        <v>532</v>
      </c>
      <c r="B28" s="2761" t="s">
        <v>2533</v>
      </c>
      <c r="C28" s="2762"/>
      <c r="D28" s="2762"/>
      <c r="E28" s="2763"/>
      <c r="F28" s="1198" t="s">
        <v>873</v>
      </c>
      <c r="G28" s="1379">
        <f>'P&amp;L'!D31</f>
        <v>0</v>
      </c>
      <c r="H28" s="1234">
        <f>'P&amp;L'!E31</f>
        <v>0</v>
      </c>
    </row>
    <row r="29" spans="1:8" s="1230" customFormat="1" ht="29.65" customHeight="1">
      <c r="A29" s="1199" t="s">
        <v>871</v>
      </c>
      <c r="B29" s="2750" t="s">
        <v>2534</v>
      </c>
      <c r="C29" s="2751"/>
      <c r="D29" s="2751"/>
      <c r="E29" s="2752"/>
      <c r="F29" s="1198" t="s">
        <v>876</v>
      </c>
      <c r="G29" s="1379">
        <f>'P&amp;L'!D32</f>
        <v>0</v>
      </c>
      <c r="H29" s="1234">
        <f>'P&amp;L'!E32</f>
        <v>0</v>
      </c>
    </row>
    <row r="30" spans="1:8" s="1230" customFormat="1" ht="29.65" customHeight="1">
      <c r="A30" s="1199" t="s">
        <v>877</v>
      </c>
      <c r="B30" s="2750" t="s">
        <v>2535</v>
      </c>
      <c r="C30" s="2751"/>
      <c r="D30" s="2751"/>
      <c r="E30" s="2752"/>
      <c r="F30" s="1198" t="s">
        <v>879</v>
      </c>
      <c r="G30" s="1379">
        <f>'P&amp;L'!D33</f>
        <v>-535</v>
      </c>
      <c r="H30" s="1234">
        <f>'P&amp;L'!E33</f>
        <v>9730</v>
      </c>
    </row>
    <row r="31" spans="1:8" s="1235" customFormat="1" ht="33.75" customHeight="1">
      <c r="A31" s="1199" t="s">
        <v>886</v>
      </c>
      <c r="B31" s="2761" t="s">
        <v>2536</v>
      </c>
      <c r="C31" s="2762"/>
      <c r="D31" s="2762"/>
      <c r="E31" s="2763"/>
      <c r="F31" s="1198" t="s">
        <v>882</v>
      </c>
      <c r="G31" s="1379">
        <f>'P&amp;L'!D34</f>
        <v>904028</v>
      </c>
      <c r="H31" s="1234">
        <f>'P&amp;L'!E34</f>
        <v>76816</v>
      </c>
    </row>
    <row r="32" spans="1:8" s="1230" customFormat="1" ht="29.65" customHeight="1">
      <c r="A32" s="1386" t="s">
        <v>973</v>
      </c>
      <c r="B32" s="2747" t="s">
        <v>2537</v>
      </c>
      <c r="C32" s="2748"/>
      <c r="D32" s="2748"/>
      <c r="E32" s="2749"/>
      <c r="F32" s="1196" t="s">
        <v>885</v>
      </c>
      <c r="G32" s="1382">
        <f>'P&amp;L'!D35</f>
        <v>526036</v>
      </c>
      <c r="H32" s="1382">
        <f>'P&amp;L'!E35</f>
        <v>200571</v>
      </c>
    </row>
    <row r="33" spans="1:8" ht="24.75" customHeight="1">
      <c r="A33" s="1403" t="s">
        <v>880</v>
      </c>
      <c r="B33" s="2745" t="s">
        <v>2538</v>
      </c>
      <c r="C33" s="2759"/>
      <c r="D33" s="2759"/>
      <c r="E33" s="2760"/>
      <c r="F33" s="1393" t="s">
        <v>888</v>
      </c>
      <c r="G33" s="1382">
        <f>'P&amp;L'!D36</f>
        <v>2215257</v>
      </c>
      <c r="H33" s="1233">
        <f>'P&amp;L'!E36</f>
        <v>1721905</v>
      </c>
    </row>
    <row r="34" spans="1:8" ht="31" customHeight="1">
      <c r="A34" s="1403" t="s">
        <v>942</v>
      </c>
      <c r="B34" s="2764" t="s">
        <v>2539</v>
      </c>
      <c r="C34" s="2765"/>
      <c r="D34" s="2765"/>
      <c r="E34" s="2766"/>
      <c r="F34" s="1393" t="s">
        <v>891</v>
      </c>
      <c r="G34" s="1382">
        <f>'P&amp;L'!D37</f>
        <v>26683</v>
      </c>
      <c r="H34" s="1233">
        <f>'P&amp;L'!E37</f>
        <v>46176</v>
      </c>
    </row>
    <row r="35" spans="1:8" ht="36.75" customHeight="1">
      <c r="A35" s="1199" t="s">
        <v>2362</v>
      </c>
      <c r="B35" s="2750" t="s">
        <v>2540</v>
      </c>
      <c r="C35" s="2751"/>
      <c r="D35" s="2751"/>
      <c r="E35" s="2752"/>
      <c r="F35" s="1198" t="s">
        <v>894</v>
      </c>
      <c r="G35" s="1379">
        <f>'P&amp;L'!D38</f>
        <v>0</v>
      </c>
      <c r="H35" s="1234">
        <f>'P&amp;L'!E38</f>
        <v>0</v>
      </c>
    </row>
    <row r="36" spans="1:8" ht="31" customHeight="1">
      <c r="A36" s="1199" t="s">
        <v>2363</v>
      </c>
      <c r="B36" s="2750" t="s">
        <v>2541</v>
      </c>
      <c r="C36" s="2751"/>
      <c r="D36" s="2751"/>
      <c r="E36" s="2752"/>
      <c r="F36" s="1198" t="s">
        <v>897</v>
      </c>
      <c r="G36" s="1379">
        <f>'P&amp;L'!D39</f>
        <v>0</v>
      </c>
      <c r="H36" s="1234">
        <f>'P&amp;L'!E39</f>
        <v>0</v>
      </c>
    </row>
    <row r="37" spans="1:8" ht="30" customHeight="1">
      <c r="A37" s="1199" t="s">
        <v>2365</v>
      </c>
      <c r="B37" s="2750" t="s">
        <v>2542</v>
      </c>
      <c r="C37" s="2751"/>
      <c r="D37" s="2751"/>
      <c r="E37" s="2752"/>
      <c r="F37" s="1198" t="s">
        <v>900</v>
      </c>
      <c r="G37" s="1379">
        <f>'P&amp;L'!D40</f>
        <v>0</v>
      </c>
      <c r="H37" s="1234">
        <f>'P&amp;L'!E40</f>
        <v>0</v>
      </c>
    </row>
    <row r="38" spans="1:8" ht="33.75" customHeight="1">
      <c r="A38" s="1199" t="s">
        <v>532</v>
      </c>
      <c r="B38" s="2750" t="s">
        <v>2543</v>
      </c>
      <c r="C38" s="2751"/>
      <c r="D38" s="2751"/>
      <c r="E38" s="2752"/>
      <c r="F38" s="1198" t="s">
        <v>903</v>
      </c>
      <c r="G38" s="1379">
        <f>'P&amp;L'!D41</f>
        <v>0</v>
      </c>
      <c r="H38" s="1234">
        <f>'P&amp;L'!E41</f>
        <v>0</v>
      </c>
    </row>
    <row r="39" spans="1:8" ht="22.5" customHeight="1">
      <c r="A39" s="1199" t="s">
        <v>535</v>
      </c>
      <c r="B39" s="2750" t="s">
        <v>2544</v>
      </c>
      <c r="C39" s="2751"/>
      <c r="D39" s="2751"/>
      <c r="E39" s="2752"/>
      <c r="F39" s="1198" t="s">
        <v>906</v>
      </c>
      <c r="G39" s="1379">
        <f>'P&amp;L'!D42</f>
        <v>0</v>
      </c>
      <c r="H39" s="1234">
        <f>'P&amp;L'!E42</f>
        <v>0</v>
      </c>
    </row>
    <row r="40" spans="1:8" ht="31" customHeight="1">
      <c r="A40" s="1199" t="s">
        <v>2366</v>
      </c>
      <c r="B40" s="2750" t="s">
        <v>2545</v>
      </c>
      <c r="C40" s="2751"/>
      <c r="D40" s="2751"/>
      <c r="E40" s="2752"/>
      <c r="F40" s="1198" t="s">
        <v>909</v>
      </c>
      <c r="G40" s="1379">
        <f>'P&amp;L'!D43</f>
        <v>0</v>
      </c>
      <c r="H40" s="1234">
        <f>'P&amp;L'!E43</f>
        <v>0</v>
      </c>
    </row>
    <row r="41" spans="1:8" ht="30" customHeight="1">
      <c r="A41" s="1199" t="s">
        <v>2368</v>
      </c>
      <c r="B41" s="2750" t="s">
        <v>2546</v>
      </c>
      <c r="C41" s="2751"/>
      <c r="D41" s="2751"/>
      <c r="E41" s="2752"/>
      <c r="F41" s="1198" t="s">
        <v>912</v>
      </c>
      <c r="G41" s="1379">
        <f>'P&amp;L'!D44</f>
        <v>0</v>
      </c>
      <c r="H41" s="1234">
        <f>'P&amp;L'!E44</f>
        <v>0</v>
      </c>
    </row>
    <row r="42" spans="1:8" ht="32.25" customHeight="1">
      <c r="A42" s="1199" t="s">
        <v>532</v>
      </c>
      <c r="B42" s="2750" t="s">
        <v>2547</v>
      </c>
      <c r="C42" s="2751"/>
      <c r="D42" s="2751"/>
      <c r="E42" s="2752"/>
      <c r="F42" s="1198" t="s">
        <v>915</v>
      </c>
      <c r="G42" s="1379">
        <f>'P&amp;L'!D45</f>
        <v>0</v>
      </c>
      <c r="H42" s="1234">
        <f>'P&amp;L'!E45</f>
        <v>0</v>
      </c>
    </row>
    <row r="43" spans="1:8" ht="24" customHeight="1">
      <c r="A43" s="1199" t="s">
        <v>535</v>
      </c>
      <c r="B43" s="2750" t="s">
        <v>2548</v>
      </c>
      <c r="C43" s="2751"/>
      <c r="D43" s="2751"/>
      <c r="E43" s="2752"/>
      <c r="F43" s="1198" t="s">
        <v>918</v>
      </c>
      <c r="G43" s="1379">
        <f>'P&amp;L'!D46</f>
        <v>0</v>
      </c>
      <c r="H43" s="1234">
        <f>'P&amp;L'!E46</f>
        <v>0</v>
      </c>
    </row>
    <row r="44" spans="1:8" ht="26.25" customHeight="1">
      <c r="A44" s="1199" t="s">
        <v>2370</v>
      </c>
      <c r="B44" s="2750" t="s">
        <v>2549</v>
      </c>
      <c r="C44" s="2751"/>
      <c r="D44" s="2751"/>
      <c r="E44" s="2752"/>
      <c r="F44" s="1198" t="s">
        <v>921</v>
      </c>
      <c r="G44" s="1379">
        <f>'P&amp;L'!D47</f>
        <v>2</v>
      </c>
      <c r="H44" s="1234">
        <f>'P&amp;L'!E47</f>
        <v>0</v>
      </c>
    </row>
    <row r="45" spans="1:8" ht="24.75" customHeight="1">
      <c r="A45" s="1199" t="s">
        <v>2372</v>
      </c>
      <c r="B45" s="2750" t="s">
        <v>2550</v>
      </c>
      <c r="C45" s="2751"/>
      <c r="D45" s="2751"/>
      <c r="E45" s="2752"/>
      <c r="F45" s="1198" t="s">
        <v>924</v>
      </c>
      <c r="G45" s="1379">
        <f>'P&amp;L'!D48</f>
        <v>0</v>
      </c>
      <c r="H45" s="1234">
        <f>'P&amp;L'!E48</f>
        <v>0</v>
      </c>
    </row>
    <row r="46" spans="1:8" ht="27.25" customHeight="1">
      <c r="A46" s="1199" t="s">
        <v>532</v>
      </c>
      <c r="B46" s="2750" t="s">
        <v>2551</v>
      </c>
      <c r="C46" s="2751"/>
      <c r="D46" s="2751"/>
      <c r="E46" s="2752"/>
      <c r="F46" s="1198" t="s">
        <v>927</v>
      </c>
      <c r="G46" s="1379">
        <f>'P&amp;L'!D49</f>
        <v>2</v>
      </c>
      <c r="H46" s="1234">
        <f>'P&amp;L'!E49</f>
        <v>0</v>
      </c>
    </row>
    <row r="47" spans="1:8" ht="29.25" customHeight="1">
      <c r="A47" s="1199" t="s">
        <v>2374</v>
      </c>
      <c r="B47" s="2750" t="s">
        <v>1256</v>
      </c>
      <c r="C47" s="2751"/>
      <c r="D47" s="2751"/>
      <c r="E47" s="2752"/>
      <c r="F47" s="1198" t="s">
        <v>930</v>
      </c>
      <c r="G47" s="1379">
        <f>'P&amp;L'!D50</f>
        <v>26681</v>
      </c>
      <c r="H47" s="1234">
        <f>'P&amp;L'!E50</f>
        <v>46176</v>
      </c>
    </row>
    <row r="48" spans="1:8" ht="27.75" customHeight="1">
      <c r="A48" s="1199" t="s">
        <v>2375</v>
      </c>
      <c r="B48" s="2750" t="s">
        <v>2552</v>
      </c>
      <c r="C48" s="2751"/>
      <c r="D48" s="2751"/>
      <c r="E48" s="2752"/>
      <c r="F48" s="1198" t="s">
        <v>933</v>
      </c>
      <c r="G48" s="1379">
        <f>'P&amp;L'!D51</f>
        <v>0</v>
      </c>
      <c r="H48" s="1234">
        <f>'P&amp;L'!E51</f>
        <v>0</v>
      </c>
    </row>
    <row r="49" spans="1:8" ht="27.75" customHeight="1">
      <c r="A49" s="1199" t="s">
        <v>2376</v>
      </c>
      <c r="B49" s="2750" t="s">
        <v>1254</v>
      </c>
      <c r="C49" s="2751"/>
      <c r="D49" s="2751"/>
      <c r="E49" s="2752"/>
      <c r="F49" s="1198" t="s">
        <v>936</v>
      </c>
      <c r="G49" s="1379">
        <f>'P&amp;L'!D52</f>
        <v>0</v>
      </c>
      <c r="H49" s="1234">
        <f>'P&amp;L'!E52</f>
        <v>0</v>
      </c>
    </row>
    <row r="50" spans="1:8" ht="27.75" customHeight="1">
      <c r="A50" s="1404" t="s">
        <v>942</v>
      </c>
      <c r="B50" s="2747" t="s">
        <v>2553</v>
      </c>
      <c r="C50" s="2748"/>
      <c r="D50" s="2748"/>
      <c r="E50" s="2749"/>
      <c r="F50" s="1196" t="s">
        <v>939</v>
      </c>
      <c r="G50" s="1382">
        <f>'P&amp;L'!D53</f>
        <v>55608</v>
      </c>
      <c r="H50" s="1233">
        <f>'P&amp;L'!E53</f>
        <v>33910</v>
      </c>
    </row>
    <row r="51" spans="1:8" s="1240" customFormat="1" ht="44.25" customHeight="1">
      <c r="A51" s="1239" t="s">
        <v>904</v>
      </c>
      <c r="B51" s="2767" t="s">
        <v>1268</v>
      </c>
      <c r="C51" s="2768"/>
      <c r="D51" s="2768"/>
      <c r="E51" s="2769"/>
      <c r="F51" s="1198" t="s">
        <v>941</v>
      </c>
      <c r="G51" s="1379">
        <f>'P&amp;L'!D54</f>
        <v>0</v>
      </c>
      <c r="H51" s="1234">
        <f>'P&amp;L'!E54</f>
        <v>0</v>
      </c>
    </row>
    <row r="52" spans="1:8" s="1240" customFormat="1" ht="29.25" customHeight="1">
      <c r="A52" s="1239" t="s">
        <v>910</v>
      </c>
      <c r="B52" s="2770" t="s">
        <v>2554</v>
      </c>
      <c r="C52" s="2771"/>
      <c r="D52" s="2771"/>
      <c r="E52" s="2772"/>
      <c r="F52" s="1198" t="s">
        <v>944</v>
      </c>
      <c r="G52" s="1379">
        <f>'P&amp;L'!D55</f>
        <v>0</v>
      </c>
      <c r="H52" s="1234">
        <f>'P&amp;L'!E55</f>
        <v>0</v>
      </c>
    </row>
    <row r="53" spans="1:8" ht="31" customHeight="1">
      <c r="A53" s="1199" t="s">
        <v>913</v>
      </c>
      <c r="B53" s="2750" t="s">
        <v>2555</v>
      </c>
      <c r="C53" s="2751"/>
      <c r="D53" s="2751"/>
      <c r="E53" s="2752"/>
      <c r="F53" s="1198" t="s">
        <v>947</v>
      </c>
      <c r="G53" s="1379">
        <f>'P&amp;L'!D56</f>
        <v>0</v>
      </c>
      <c r="H53" s="1234">
        <f>'P&amp;L'!E56</f>
        <v>0</v>
      </c>
    </row>
    <row r="54" spans="1:8" ht="28.5" customHeight="1">
      <c r="A54" s="1241" t="s">
        <v>919</v>
      </c>
      <c r="B54" s="2750" t="s">
        <v>2556</v>
      </c>
      <c r="C54" s="2751"/>
      <c r="D54" s="2751"/>
      <c r="E54" s="2752"/>
      <c r="F54" s="1198" t="s">
        <v>950</v>
      </c>
      <c r="G54" s="1379">
        <f>'P&amp;L'!D57</f>
        <v>0</v>
      </c>
      <c r="H54" s="1234">
        <f>'P&amp;L'!E57</f>
        <v>0</v>
      </c>
    </row>
    <row r="55" spans="1:8" ht="28.5" customHeight="1">
      <c r="A55" s="1199" t="s">
        <v>2380</v>
      </c>
      <c r="B55" s="2750" t="s">
        <v>2557</v>
      </c>
      <c r="C55" s="2751"/>
      <c r="D55" s="2751"/>
      <c r="E55" s="2752"/>
      <c r="F55" s="1198" t="s">
        <v>952</v>
      </c>
      <c r="G55" s="1379">
        <f>'P&amp;L'!D58</f>
        <v>0</v>
      </c>
      <c r="H55" s="1234">
        <f>'P&amp;L'!E58</f>
        <v>0</v>
      </c>
    </row>
    <row r="56" spans="1:8" s="1240" customFormat="1" ht="31.5" customHeight="1">
      <c r="A56" s="1239" t="s">
        <v>532</v>
      </c>
      <c r="B56" s="2770" t="s">
        <v>2558</v>
      </c>
      <c r="C56" s="2771"/>
      <c r="D56" s="2771"/>
      <c r="E56" s="2772"/>
      <c r="F56" s="1198" t="s">
        <v>954</v>
      </c>
      <c r="G56" s="1379">
        <f>'P&amp;L'!D59</f>
        <v>0</v>
      </c>
      <c r="H56" s="1234">
        <f>'P&amp;L'!E59</f>
        <v>0</v>
      </c>
    </row>
    <row r="57" spans="1:8" ht="29.25" customHeight="1">
      <c r="A57" s="1199" t="s">
        <v>925</v>
      </c>
      <c r="B57" s="2750" t="s">
        <v>1255</v>
      </c>
      <c r="C57" s="2751"/>
      <c r="D57" s="2751"/>
      <c r="E57" s="2752"/>
      <c r="F57" s="1198" t="s">
        <v>957</v>
      </c>
      <c r="G57" s="1379">
        <f>'P&amp;L'!D60</f>
        <v>47236</v>
      </c>
      <c r="H57" s="1234">
        <f>'P&amp;L'!E60</f>
        <v>28482</v>
      </c>
    </row>
    <row r="58" spans="1:8" ht="28.5" customHeight="1">
      <c r="A58" s="1199" t="s">
        <v>931</v>
      </c>
      <c r="B58" s="2750" t="s">
        <v>2559</v>
      </c>
      <c r="C58" s="2751"/>
      <c r="D58" s="2751"/>
      <c r="E58" s="2752"/>
      <c r="F58" s="1198" t="s">
        <v>960</v>
      </c>
      <c r="G58" s="1379">
        <f>'P&amp;L'!D61</f>
        <v>0</v>
      </c>
      <c r="H58" s="1234">
        <f>'P&amp;L'!E61</f>
        <v>0</v>
      </c>
    </row>
    <row r="59" spans="1:8" ht="31" customHeight="1">
      <c r="A59" s="1265" t="s">
        <v>2382</v>
      </c>
      <c r="B59" s="2750" t="s">
        <v>2560</v>
      </c>
      <c r="C59" s="2751"/>
      <c r="D59" s="2751"/>
      <c r="E59" s="2752"/>
      <c r="F59" s="1198" t="s">
        <v>962</v>
      </c>
      <c r="G59" s="1379">
        <f>'P&amp;L'!D62</f>
        <v>8372</v>
      </c>
      <c r="H59" s="1379">
        <f>'P&amp;L'!E62</f>
        <v>5428</v>
      </c>
    </row>
    <row r="60" spans="1:8" ht="27.75" customHeight="1">
      <c r="A60" s="1403" t="s">
        <v>973</v>
      </c>
      <c r="B60" s="2745" t="s">
        <v>2561</v>
      </c>
      <c r="C60" s="2759"/>
      <c r="D60" s="2759"/>
      <c r="E60" s="2760"/>
      <c r="F60" s="1393" t="s">
        <v>965</v>
      </c>
      <c r="G60" s="1382">
        <f>'P&amp;L'!D63</f>
        <v>-28925</v>
      </c>
      <c r="H60" s="1233">
        <f>'P&amp;L'!E63</f>
        <v>12266</v>
      </c>
    </row>
    <row r="61" spans="1:8" ht="27.75" customHeight="1">
      <c r="A61" s="1242" t="s">
        <v>2384</v>
      </c>
      <c r="B61" s="2747" t="s">
        <v>2562</v>
      </c>
      <c r="C61" s="2748"/>
      <c r="D61" s="2748"/>
      <c r="E61" s="2749"/>
      <c r="F61" s="1196" t="s">
        <v>968</v>
      </c>
      <c r="G61" s="1382">
        <f>'P&amp;L'!D64</f>
        <v>497111</v>
      </c>
      <c r="H61" s="1233">
        <f>'P&amp;L'!E64</f>
        <v>212837</v>
      </c>
    </row>
    <row r="62" spans="1:8" ht="27.75" customHeight="1">
      <c r="A62" s="1199" t="s">
        <v>2386</v>
      </c>
      <c r="B62" s="2750" t="s">
        <v>2563</v>
      </c>
      <c r="C62" s="2751"/>
      <c r="D62" s="2751"/>
      <c r="E62" s="2752"/>
      <c r="F62" s="1198" t="s">
        <v>970</v>
      </c>
      <c r="G62" s="1379">
        <f>'P&amp;L'!D65</f>
        <v>104677</v>
      </c>
      <c r="H62" s="1234">
        <f>'P&amp;L'!E65</f>
        <v>53262</v>
      </c>
    </row>
    <row r="63" spans="1:8" s="1240" customFormat="1" ht="27.75" customHeight="1">
      <c r="A63" s="1402" t="s">
        <v>2388</v>
      </c>
      <c r="B63" s="2750" t="s">
        <v>2564</v>
      </c>
      <c r="C63" s="2751"/>
      <c r="D63" s="2751"/>
      <c r="E63" s="2752"/>
      <c r="F63" s="1390" t="s">
        <v>972</v>
      </c>
      <c r="G63" s="1379">
        <f>'P&amp;L'!D66</f>
        <v>188721</v>
      </c>
      <c r="H63" s="1234">
        <f>'P&amp;L'!E66</f>
        <v>125102</v>
      </c>
    </row>
    <row r="64" spans="1:8" s="1240" customFormat="1" ht="27.75" customHeight="1">
      <c r="A64" s="1199" t="s">
        <v>532</v>
      </c>
      <c r="B64" s="2750" t="s">
        <v>2565</v>
      </c>
      <c r="C64" s="2751"/>
      <c r="D64" s="2751"/>
      <c r="E64" s="2752"/>
      <c r="F64" s="1198" t="s">
        <v>975</v>
      </c>
      <c r="G64" s="1379">
        <f>'P&amp;L'!D67</f>
        <v>-84044</v>
      </c>
      <c r="H64" s="1234">
        <f>'P&amp;L'!E67</f>
        <v>-71840</v>
      </c>
    </row>
    <row r="65" spans="1:8" ht="27.75" customHeight="1">
      <c r="A65" s="1199" t="s">
        <v>945</v>
      </c>
      <c r="B65" s="2750" t="s">
        <v>2566</v>
      </c>
      <c r="C65" s="2751"/>
      <c r="D65" s="2751"/>
      <c r="E65" s="2752"/>
      <c r="F65" s="1198" t="s">
        <v>978</v>
      </c>
      <c r="G65" s="1379">
        <f>'P&amp;L'!D68</f>
        <v>0</v>
      </c>
      <c r="H65" s="1234">
        <f>'P&amp;L'!E68</f>
        <v>0</v>
      </c>
    </row>
    <row r="66" spans="1:8" s="1240" customFormat="1" ht="33" customHeight="1">
      <c r="A66" s="1386" t="s">
        <v>2384</v>
      </c>
      <c r="B66" s="2747" t="s">
        <v>2567</v>
      </c>
      <c r="C66" s="2748"/>
      <c r="D66" s="2748"/>
      <c r="E66" s="2749"/>
      <c r="F66" s="1196" t="s">
        <v>980</v>
      </c>
      <c r="G66" s="1382">
        <f>'P&amp;L'!D69</f>
        <v>392434</v>
      </c>
      <c r="H66" s="1382">
        <f>'P&amp;L'!E69</f>
        <v>159575</v>
      </c>
    </row>
  </sheetData>
  <mergeCells count="63">
    <mergeCell ref="B64:E64"/>
    <mergeCell ref="B65:E65"/>
    <mergeCell ref="B66:E66"/>
    <mergeCell ref="B58:E58"/>
    <mergeCell ref="B59:E59"/>
    <mergeCell ref="B60:E60"/>
    <mergeCell ref="B61:E61"/>
    <mergeCell ref="B62:E62"/>
    <mergeCell ref="B63:E63"/>
    <mergeCell ref="B57:E57"/>
    <mergeCell ref="B46:E46"/>
    <mergeCell ref="B47:E47"/>
    <mergeCell ref="B48:E48"/>
    <mergeCell ref="B49:E49"/>
    <mergeCell ref="B50:E50"/>
    <mergeCell ref="B51:E51"/>
    <mergeCell ref="B52:E52"/>
    <mergeCell ref="B53:E53"/>
    <mergeCell ref="B54:E54"/>
    <mergeCell ref="B55:E55"/>
    <mergeCell ref="B56:E56"/>
    <mergeCell ref="B45:E45"/>
    <mergeCell ref="B34:E34"/>
    <mergeCell ref="B35:E35"/>
    <mergeCell ref="B36:E36"/>
    <mergeCell ref="B37:E37"/>
    <mergeCell ref="B38:E38"/>
    <mergeCell ref="B39:E39"/>
    <mergeCell ref="B40:E40"/>
    <mergeCell ref="B41:E41"/>
    <mergeCell ref="B42:E42"/>
    <mergeCell ref="B43:E43"/>
    <mergeCell ref="B44:E44"/>
    <mergeCell ref="B33:E33"/>
    <mergeCell ref="B22:E22"/>
    <mergeCell ref="B23:E23"/>
    <mergeCell ref="B24:E24"/>
    <mergeCell ref="B25:E25"/>
    <mergeCell ref="B26:E26"/>
    <mergeCell ref="B27:E27"/>
    <mergeCell ref="B28:E28"/>
    <mergeCell ref="B29:E29"/>
    <mergeCell ref="B30:E30"/>
    <mergeCell ref="B31:E31"/>
    <mergeCell ref="B32:E32"/>
    <mergeCell ref="B21:E21"/>
    <mergeCell ref="B10:E10"/>
    <mergeCell ref="B11:E11"/>
    <mergeCell ref="B12:E12"/>
    <mergeCell ref="B13:E13"/>
    <mergeCell ref="B14:E14"/>
    <mergeCell ref="B15:E15"/>
    <mergeCell ref="B16:E16"/>
    <mergeCell ref="B17:E17"/>
    <mergeCell ref="B18:E18"/>
    <mergeCell ref="B19:E19"/>
    <mergeCell ref="B20:E20"/>
    <mergeCell ref="B9:E9"/>
    <mergeCell ref="G4:H4"/>
    <mergeCell ref="B5:D5"/>
    <mergeCell ref="B6:E6"/>
    <mergeCell ref="B7:E7"/>
    <mergeCell ref="B8:E8"/>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5"/>
  <sheetViews>
    <sheetView showGridLines="0" zoomScaleNormal="100" workbookViewId="0">
      <selection activeCell="A20" sqref="A20"/>
    </sheetView>
  </sheetViews>
  <sheetFormatPr defaultRowHeight="14.5"/>
  <cols>
    <col min="1" max="2" width="43.26953125" customWidth="1"/>
    <col min="3" max="3" width="19.1796875" customWidth="1"/>
  </cols>
  <sheetData>
    <row r="1" spans="1:2" ht="15" thickBot="1">
      <c r="A1" s="1" t="s">
        <v>47</v>
      </c>
    </row>
    <row r="2" spans="1:2" ht="21" customHeight="1" thickTop="1" thickBot="1">
      <c r="A2" s="10" t="s">
        <v>40</v>
      </c>
      <c r="B2" s="11" t="s">
        <v>36</v>
      </c>
    </row>
    <row r="3" spans="1:2" ht="23.25" customHeight="1" thickTop="1" thickBot="1">
      <c r="A3" s="12" t="s">
        <v>48</v>
      </c>
      <c r="B3" s="13"/>
    </row>
    <row r="4" spans="1:2" ht="23.25" customHeight="1" thickBot="1">
      <c r="A4" s="16" t="s">
        <v>49</v>
      </c>
      <c r="B4" s="17"/>
    </row>
    <row r="5" spans="1:2" ht="15" thickTop="1"/>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46</vt:i4>
      </vt:variant>
    </vt:vector>
  </HeadingPairs>
  <TitlesOfParts>
    <vt:vector size="130" baseType="lpstr">
      <vt:lpstr>Input data</vt:lpstr>
      <vt:lpstr>VYSVETLIVKY</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BS</vt:lpstr>
      <vt:lpstr>P&amp;L</vt:lpstr>
      <vt:lpstr>SK Cover sheet</vt:lpstr>
      <vt:lpstr>BS-SK Statutory</vt:lpstr>
      <vt:lpstr>IS-SK Statutory </vt:lpstr>
      <vt:lpstr>Notes- SK Template</vt:lpstr>
      <vt:lpstr>BS old</vt:lpstr>
      <vt:lpstr>P&amp;L old</vt:lpstr>
      <vt:lpstr>Notes-SK Cover sheet</vt:lpstr>
      <vt:lpstr>BS-SK Statutory old</vt:lpstr>
      <vt:lpstr>IS-SK Statutoryold </vt:lpstr>
      <vt:lpstr>IS-SK Cover sheet</vt:lpstr>
      <vt:lpstr>Cash Flow SK</vt:lpstr>
      <vt:lpstr>E_Cover sheet</vt:lpstr>
      <vt:lpstr>BS-E Cover sheet</vt:lpstr>
      <vt:lpstr>BS-E Statutory</vt:lpstr>
      <vt:lpstr>BS- E Statutory</vt:lpstr>
      <vt:lpstr>IS-E Cover sheet</vt:lpstr>
      <vt:lpstr>IS-E Statutory</vt:lpstr>
      <vt:lpstr>Notes - E Template</vt:lpstr>
      <vt:lpstr>IS-E Statutory m</vt:lpstr>
      <vt:lpstr>Notes-E Cover sheet</vt:lpstr>
      <vt:lpstr>Cash Flow (ENG)</vt:lpstr>
      <vt:lpstr>G-Cover sheet</vt:lpstr>
      <vt:lpstr>BS-G Cover sheet</vt:lpstr>
      <vt:lpstr>BS - G Statutoryo</vt:lpstr>
      <vt:lpstr>IS-G Cover sheet</vt:lpstr>
      <vt:lpstr>BS-G Statutory</vt:lpstr>
      <vt:lpstr>IS-G Statutory</vt:lpstr>
      <vt:lpstr>'Notes - E Template'!_Toc474124192</vt:lpstr>
      <vt:lpstr>'Notes- SK Template'!_Toc474124192</vt:lpstr>
      <vt:lpstr>BS!Print_Area</vt:lpstr>
      <vt:lpstr>'BS - G Statutoryo'!Print_Area</vt:lpstr>
      <vt:lpstr>'BS- E Statutory'!Print_Area</vt:lpstr>
      <vt:lpstr>'BS old'!Print_Area</vt:lpstr>
      <vt:lpstr>'BS-E Cover sheet'!Print_Area</vt:lpstr>
      <vt:lpstr>'BS-E Statutory'!Print_Area</vt:lpstr>
      <vt:lpstr>'BS-G Cover sheet'!Print_Area</vt:lpstr>
      <vt:lpstr>'BS-G Statutory'!Print_Area</vt:lpstr>
      <vt:lpstr>'BS-SK Statutory'!Print_Area</vt:lpstr>
      <vt:lpstr>'BS-SK Statutory old'!Print_Area</vt:lpstr>
      <vt:lpstr>'Cash Flow (ENG)'!Print_Area</vt:lpstr>
      <vt:lpstr>'Cash Flow SK'!Print_Area</vt:lpstr>
      <vt:lpstr>'E_Cover sheet'!Print_Area</vt:lpstr>
      <vt:lpstr>'G-Cover sheet'!Print_Area</vt:lpstr>
      <vt:lpstr>'IS-E Cover sheet'!Print_Area</vt:lpstr>
      <vt:lpstr>'IS-E Statutory'!Print_Area</vt:lpstr>
      <vt:lpstr>'IS-E Statutory m'!Print_Area</vt:lpstr>
      <vt:lpstr>'IS-G Cover sheet'!Print_Area</vt:lpstr>
      <vt:lpstr>'IS-G Statutory'!Print_Area</vt:lpstr>
      <vt:lpstr>'IS-SK Cover sheet'!Print_Area</vt:lpstr>
      <vt:lpstr>'IS-SK Statutory '!Print_Area</vt:lpstr>
      <vt:lpstr>'IS-SK Statutoryold '!Print_Area</vt:lpstr>
      <vt:lpstr>'Notes - E Template'!Print_Area</vt:lpstr>
      <vt:lpstr>'Notes- SK Template'!Print_Area</vt:lpstr>
      <vt:lpstr>'Notes-E Cover sheet'!Print_Area</vt:lpstr>
      <vt:lpstr>'Notes-SK Cover sheet'!Print_Area</vt:lpstr>
      <vt:lpstr>'P&amp;L'!Print_Area</vt:lpstr>
      <vt:lpstr>'P&amp;L old'!Print_Area</vt:lpstr>
      <vt:lpstr>'SK Cover sheet'!Print_Area</vt:lpstr>
      <vt:lpstr>'BS - G Statutoryo'!Print_Titles</vt:lpstr>
      <vt:lpstr>'BS- E Statutory'!Print_Titles</vt:lpstr>
      <vt:lpstr>'BS-E Statutory'!Print_Titles</vt:lpstr>
      <vt:lpstr>'BS-G Statutory'!Print_Titles</vt:lpstr>
      <vt:lpstr>'BS-SK Statutory'!Print_Titles</vt:lpstr>
      <vt:lpstr>'BS-SK Statutory old'!Print_Titles</vt:lpstr>
      <vt:lpstr>'Cash Flow (ENG)'!Print_Titles</vt:lpstr>
      <vt:lpstr>'Cash Flow SK'!Print_Titles</vt:lpstr>
      <vt:lpstr>'IS-E Statutory'!Print_Titles</vt:lpstr>
      <vt:lpstr>'IS-E Statutory m'!Print_Titles</vt:lpstr>
      <vt:lpstr>'IS-G Statutory'!Print_Titles</vt:lpstr>
      <vt:lpstr>'IS-SK Statutory '!Print_Titles</vt:lpstr>
      <vt:lpstr>'IS-SK Statutoryold '!Print_Titles</vt:lpstr>
      <vt:lpstr>'Notes - E Template'!Print_Titles</vt:lpstr>
      <vt:lpstr>'Notes- SK Template'!Print_Titles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2019-06-06T07:05:56Z</dcterms:modified>
</cp:coreProperties>
</file>