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5" yWindow="-15" windowWidth="25230" windowHeight="12690" tabRatio="948" firstSheet="5" activeTab="6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52511"/>
</workbook>
</file>

<file path=xl/calcChain.xml><?xml version="1.0" encoding="utf-8"?>
<calcChain xmlns="http://schemas.openxmlformats.org/spreadsheetml/2006/main">
  <c r="I36" i="9" l="1"/>
  <c r="I16" i="9"/>
  <c r="I12" i="9"/>
  <c r="F12" i="43" l="1"/>
  <c r="C12" i="43"/>
  <c r="F11" i="43"/>
  <c r="C11" i="43"/>
  <c r="E4" i="43"/>
  <c r="B4" i="43"/>
  <c r="F25" i="32"/>
  <c r="E25" i="32"/>
  <c r="F11" i="32"/>
  <c r="E11" i="32"/>
  <c r="F7" i="32"/>
  <c r="E7" i="32"/>
  <c r="C16" i="29"/>
  <c r="B16" i="29"/>
  <c r="C12" i="29"/>
  <c r="B12" i="29"/>
  <c r="B18" i="25"/>
  <c r="B4" i="25"/>
  <c r="F3" i="21"/>
  <c r="B3" i="21"/>
  <c r="F4" i="21"/>
  <c r="B4" i="21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F8" i="17"/>
  <c r="B8" i="17"/>
  <c r="F7" i="17"/>
  <c r="B7" i="17"/>
  <c r="F6" i="17"/>
  <c r="B6" i="17"/>
  <c r="F5" i="17"/>
  <c r="B5" i="17"/>
  <c r="F4" i="17"/>
  <c r="B4" i="17"/>
  <c r="C19" i="77" l="1"/>
  <c r="B19" i="77"/>
  <c r="C10" i="77"/>
  <c r="B10" i="77"/>
  <c r="D19" i="77" l="1"/>
  <c r="D10" i="77"/>
  <c r="G7" i="36"/>
  <c r="F7" i="36"/>
  <c r="E7" i="36"/>
  <c r="D7" i="36"/>
  <c r="C7" i="36"/>
  <c r="B7" i="36"/>
  <c r="C7" i="30"/>
  <c r="B7" i="30"/>
  <c r="B26" i="25"/>
  <c r="B14" i="25"/>
  <c r="G7" i="24"/>
  <c r="F7" i="24"/>
  <c r="E7" i="24"/>
  <c r="D7" i="24"/>
  <c r="C7" i="24"/>
  <c r="B7" i="24"/>
  <c r="C7" i="19"/>
  <c r="B7" i="19"/>
  <c r="C8" i="19" l="1"/>
  <c r="B8" i="19"/>
  <c r="J33" i="9" l="1"/>
  <c r="J34" i="9"/>
  <c r="J32" i="9"/>
  <c r="J27" i="9"/>
  <c r="J28" i="9"/>
  <c r="J29" i="9"/>
  <c r="J14" i="9"/>
  <c r="J13" i="9"/>
  <c r="J7" i="9"/>
  <c r="J8" i="9"/>
  <c r="J9" i="9"/>
  <c r="J45" i="7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E9" i="55"/>
  <c r="B10" i="55"/>
  <c r="B9" i="55"/>
  <c r="B7" i="55"/>
  <c r="B6" i="55"/>
  <c r="D6" i="56"/>
  <c r="B30" i="9"/>
  <c r="H10" i="9"/>
  <c r="H22" i="7"/>
  <c r="I18" i="7"/>
  <c r="I22" i="7"/>
  <c r="G33" i="5"/>
  <c r="C33" i="5"/>
  <c r="E12" i="5"/>
  <c r="E10" i="5"/>
  <c r="C10" i="5"/>
  <c r="E6" i="5"/>
  <c r="B9" i="17" l="1"/>
  <c r="B12" i="5"/>
  <c r="F12" i="38" l="1"/>
  <c r="E12" i="38"/>
  <c r="F29" i="27"/>
  <c r="B29" i="27"/>
  <c r="J12" i="9"/>
  <c r="I48" i="7"/>
  <c r="H49" i="5"/>
  <c r="H18" i="5"/>
  <c r="H22" i="5"/>
  <c r="F9" i="17" l="1"/>
  <c r="C6" i="40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E11" i="55"/>
  <c r="E10" i="55"/>
  <c r="E7" i="55"/>
  <c r="E6" i="55"/>
  <c r="B11" i="55"/>
  <c r="C4" i="56"/>
  <c r="B4" i="56"/>
  <c r="F9" i="14"/>
  <c r="F8" i="14"/>
  <c r="F7" i="14"/>
  <c r="F6" i="14"/>
  <c r="F5" i="14"/>
  <c r="B9" i="14"/>
  <c r="B8" i="14"/>
  <c r="B7" i="14"/>
  <c r="B6" i="14"/>
  <c r="B5" i="14"/>
  <c r="G7" i="12"/>
  <c r="F18" i="11"/>
  <c r="F15" i="11"/>
  <c r="F11" i="11"/>
  <c r="F7" i="11"/>
  <c r="I30" i="9"/>
  <c r="H30" i="9"/>
  <c r="F30" i="9"/>
  <c r="E30" i="9"/>
  <c r="D30" i="9"/>
  <c r="C30" i="9"/>
  <c r="I26" i="9"/>
  <c r="H26" i="9"/>
  <c r="F26" i="9"/>
  <c r="E26" i="9"/>
  <c r="D26" i="9"/>
  <c r="C26" i="9"/>
  <c r="B26" i="9"/>
  <c r="I10" i="9"/>
  <c r="F10" i="9"/>
  <c r="E10" i="9"/>
  <c r="D10" i="9"/>
  <c r="C10" i="9"/>
  <c r="B10" i="9"/>
  <c r="I6" i="9"/>
  <c r="H6" i="9"/>
  <c r="F6" i="9"/>
  <c r="E6" i="9"/>
  <c r="D6" i="9"/>
  <c r="C6" i="9"/>
  <c r="B6" i="9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F19" i="11" l="1"/>
  <c r="J6" i="9"/>
  <c r="J26" i="9"/>
  <c r="J32" i="7"/>
  <c r="J38" i="7"/>
  <c r="J6" i="7"/>
  <c r="J12" i="7"/>
  <c r="J16" i="7" s="1"/>
  <c r="G49" i="5"/>
  <c r="G45" i="5"/>
  <c r="F43" i="5"/>
  <c r="E43" i="5"/>
  <c r="D43" i="5"/>
  <c r="C43" i="5"/>
  <c r="B43" i="5"/>
  <c r="F39" i="5"/>
  <c r="E39" i="5"/>
  <c r="D39" i="5"/>
  <c r="C39" i="5"/>
  <c r="B39" i="5"/>
  <c r="H37" i="5"/>
  <c r="G37" i="5"/>
  <c r="F37" i="5"/>
  <c r="E37" i="5"/>
  <c r="D37" i="5"/>
  <c r="C37" i="5"/>
  <c r="B37" i="5"/>
  <c r="H33" i="5"/>
  <c r="F33" i="5"/>
  <c r="E33" i="5"/>
  <c r="D33" i="5"/>
  <c r="B33" i="5"/>
  <c r="B6" i="5"/>
  <c r="G22" i="5"/>
  <c r="G18" i="5"/>
  <c r="F16" i="5"/>
  <c r="E16" i="5"/>
  <c r="D16" i="5"/>
  <c r="C16" i="5"/>
  <c r="B16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24" i="7" l="1"/>
  <c r="J10" i="7"/>
  <c r="J25" i="7" s="1"/>
  <c r="D5" i="38"/>
  <c r="J16" i="9" l="1"/>
  <c r="J36" i="9"/>
  <c r="J10" i="9"/>
  <c r="J30" i="9"/>
  <c r="E23" i="27" l="1"/>
  <c r="D23" i="27"/>
  <c r="C23" i="27"/>
  <c r="E29" i="27"/>
  <c r="D29" i="27"/>
  <c r="C29" i="27"/>
  <c r="E11" i="27"/>
  <c r="D11" i="27"/>
  <c r="C11" i="27"/>
  <c r="I47" i="5"/>
  <c r="I46" i="5"/>
  <c r="I45" i="5"/>
  <c r="I41" i="5"/>
  <c r="I40" i="5"/>
  <c r="I39" i="5"/>
  <c r="I36" i="5"/>
  <c r="I35" i="5"/>
  <c r="I34" i="5"/>
  <c r="I33" i="5"/>
  <c r="I49" i="5" l="1"/>
  <c r="I37" i="5"/>
  <c r="I43" i="5"/>
  <c r="I50" i="7" l="1"/>
  <c r="H50" i="7"/>
  <c r="G50" i="7"/>
  <c r="F50" i="7"/>
  <c r="E50" i="7"/>
  <c r="D50" i="7"/>
  <c r="C50" i="7"/>
  <c r="B50" i="7"/>
  <c r="I20" i="5"/>
  <c r="I19" i="5"/>
  <c r="I18" i="5"/>
  <c r="I14" i="5"/>
  <c r="I13" i="5"/>
  <c r="I12" i="5"/>
  <c r="I9" i="5"/>
  <c r="I8" i="5"/>
  <c r="I7" i="5"/>
  <c r="I6" i="5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E5" i="27"/>
  <c r="D5" i="27"/>
  <c r="C5" i="27"/>
  <c r="D13" i="56"/>
  <c r="C13" i="56"/>
  <c r="B13" i="56"/>
  <c r="D12" i="55"/>
  <c r="C12" i="55"/>
  <c r="B12" i="55"/>
  <c r="I22" i="5" l="1"/>
  <c r="J42" i="7"/>
  <c r="I16" i="5"/>
  <c r="I10" i="5"/>
  <c r="C51" i="7"/>
  <c r="G51" i="7"/>
  <c r="I24" i="5"/>
  <c r="B51" i="7"/>
  <c r="F51" i="7"/>
  <c r="J36" i="7"/>
  <c r="J48" i="7"/>
  <c r="E51" i="7"/>
  <c r="I51" i="7"/>
  <c r="D51" i="7"/>
  <c r="H51" i="7"/>
  <c r="J50" i="7"/>
  <c r="I51" i="5"/>
  <c r="E12" i="55"/>
  <c r="I52" i="5" l="1"/>
  <c r="I25" i="5"/>
  <c r="J51" i="7"/>
  <c r="C9" i="40"/>
  <c r="B9" i="40"/>
  <c r="C8" i="35"/>
  <c r="B8" i="35"/>
  <c r="E5" i="21"/>
  <c r="D5" i="21"/>
  <c r="C5" i="21"/>
  <c r="B5" i="21"/>
  <c r="F10" i="14"/>
  <c r="F11" i="14"/>
  <c r="C12" i="14"/>
  <c r="D12" i="14"/>
  <c r="E12" i="14"/>
  <c r="B12" i="14"/>
  <c r="E7" i="13"/>
  <c r="D7" i="13"/>
  <c r="C7" i="13"/>
  <c r="B7" i="13"/>
  <c r="F6" i="13"/>
  <c r="F5" i="13"/>
  <c r="F4" i="13"/>
  <c r="F3" i="13"/>
  <c r="G6" i="12"/>
  <c r="G5" i="12"/>
  <c r="G4" i="12"/>
  <c r="G3" i="12"/>
  <c r="F5" i="21" l="1"/>
  <c r="F12" i="14"/>
  <c r="F7" i="13"/>
</calcChain>
</file>

<file path=xl/sharedStrings.xml><?xml version="1.0" encoding="utf-8"?>
<sst xmlns="http://schemas.openxmlformats.org/spreadsheetml/2006/main" count="2103" uniqueCount="1092">
  <si>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</si>
  <si>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</si>
  <si>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</si>
  <si>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</si>
  <si>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</si>
  <si>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</si>
  <si>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</si>
  <si>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</si>
  <si>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</si>
  <si>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</si>
  <si>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</si>
  <si>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</si>
  <si>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</si>
  <si>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</si>
  <si>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</si>
  <si>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</si>
  <si>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</si>
  <si>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</si>
  <si>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</si>
  <si>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</si>
  <si>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</si>
  <si>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</si>
  <si>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</si>
  <si>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</si>
  <si>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</si>
  <si>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</si>
  <si>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</si>
  <si>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nehmotný majetok, na ktorý je zriadené záložné právo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</si>
  <si>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</si>
  <si>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</si>
  <si>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</si>
  <si>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</si>
  <si>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</si>
  <si>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</si>
  <si>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</si>
  <si>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Dlhodobý hmotný majetok, na ktorý je zriadené záložné právo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</si>
  <si>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</si>
  <si>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</si>
  <si>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</si>
  <si>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</si>
  <si>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</si>
  <si>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>Dlhodobý finančný majetok, na ktorý je zriadené záložné právo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</si>
  <si>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</si>
  <si>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</si>
  <si>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</si>
  <si>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</si>
  <si>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</si>
  <si>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</si>
  <si>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</si>
  <si>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</si>
  <si>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</si>
  <si>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</si>
  <si>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</si>
  <si>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</si>
  <si>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</si>
  <si>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</si>
  <si>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</si>
  <si>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</si>
  <si>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</si>
  <si>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</si>
  <si>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</si>
  <si>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</si>
  <si>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</si>
  <si>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</si>
  <si>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</si>
  <si>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</si>
  <si>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</si>
  <si>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</si>
  <si>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</si>
  <si>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</si>
  <si>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</si>
  <si>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</si>
  <si>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</si>
  <si>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</si>
  <si>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</si>
  <si>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</si>
  <si>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</si>
  <si>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</si>
  <si>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Zásoby, na ktoré je zriadené záložné právo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</si>
  <si>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</si>
  <si>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</si>
  <si>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</si>
  <si>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</si>
  <si>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</si>
  <si>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</si>
  <si>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</si>
  <si>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</si>
  <si>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</si>
  <si>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</si>
  <si>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</si>
  <si>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</si>
  <si>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</si>
  <si>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</si>
  <si>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</si>
  <si>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</si>
  <si>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</si>
  <si>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</si>
  <si>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</si>
  <si>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</si>
  <si>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</si>
  <si>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</si>
  <si>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</si>
  <si>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</si>
  <si>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</si>
  <si>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</si>
  <si>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</si>
  <si>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</si>
  <si>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</si>
  <si>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</si>
  <si>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</si>
  <si>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</si>
  <si>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</si>
  <si>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</si>
  <si>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</si>
  <si>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</si>
  <si>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</si>
  <si>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</si>
  <si>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</si>
  <si>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</si>
  <si>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</si>
  <si>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</si>
  <si>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</si>
  <si>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</si>
  <si>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</si>
  <si>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</si>
  <si>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</si>
  <si>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</si>
  <si>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</si>
  <si>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</si>
  <si>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</si>
  <si>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</si>
  <si>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</si>
  <si>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</si>
  <si>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</si>
  <si>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</si>
  <si>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</si>
  <si>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</si>
  <si>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</si>
  <si>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</si>
  <si>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</si>
  <si>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Emisné kvóty (komodity)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</si>
  <si>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</si>
  <si>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</si>
  <si>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</si>
  <si>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</si>
  <si>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</si>
  <si>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</si>
  <si>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</si>
  <si>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</si>
  <si>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</si>
  <si>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</si>
  <si>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</si>
  <si>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</si>
  <si>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</si>
  <si>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</si>
  <si>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</si>
  <si>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</si>
  <si>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</si>
  <si>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</si>
  <si>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</si>
  <si>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</si>
  <si>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</si>
  <si>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</si>
  <si>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</si>
  <si>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</si>
  <si>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</si>
  <si>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</si>
  <si>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</si>
  <si>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</si>
  <si>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</si>
  <si>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</si>
  <si>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</si>
  <si>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</si>
  <si>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</si>
  <si>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</si>
  <si>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</si>
  <si>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</si>
  <si>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</si>
  <si>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</si>
  <si>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</si>
  <si>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</si>
  <si>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</si>
  <si>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</si>
  <si>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</si>
  <si>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</si>
  <si>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</si>
  <si>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</si>
  <si>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</si>
  <si>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</si>
  <si>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</si>
  <si>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</si>
  <si>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</si>
  <si>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</si>
  <si>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</si>
  <si>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</si>
  <si>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</si>
  <si>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</si>
  <si>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</si>
  <si>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</si>
  <si>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</si>
  <si>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</si>
  <si>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</si>
  <si>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</si>
  <si>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</si>
  <si>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</si>
  <si>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</si>
  <si>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</si>
  <si>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</si>
  <si>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</si>
  <si>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</si>
  <si>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</si>
  <si>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</si>
  <si>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</si>
  <si>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</si>
  <si>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</si>
  <si>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</si>
  <si>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</si>
  <si>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</si>
  <si>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</si>
  <si>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Finančný náklad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</si>
  <si>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</si>
  <si>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</si>
  <si>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</si>
  <si>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</si>
  <si>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</si>
  <si>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</si>
  <si>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</si>
  <si>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</si>
  <si>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</si>
  <si>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</si>
  <si>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</si>
  <si>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</si>
  <si>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</si>
  <si>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</si>
  <si>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</si>
  <si>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</si>
  <si>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</si>
  <si>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</si>
  <si>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</si>
  <si>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</si>
  <si>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</si>
  <si>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</si>
  <si>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</si>
  <si>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</si>
  <si>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</si>
  <si>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</si>
  <si>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</si>
  <si>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</si>
  <si>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</si>
  <si>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</si>
  <si>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</si>
  <si>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</si>
  <si>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</si>
  <si>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</si>
  <si>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</si>
  <si>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</si>
  <si>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</si>
  <si>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</si>
  <si>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</si>
  <si>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</si>
  <si>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</si>
  <si>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</si>
  <si>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</si>
  <si>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</si>
  <si>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</si>
  <si>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</si>
  <si>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</si>
  <si>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</si>
  <si>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</si>
  <si>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</si>
  <si>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</si>
  <si>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</si>
  <si>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</si>
  <si>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</si>
  <si>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</si>
  <si>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</si>
  <si>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</si>
  <si>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</si>
  <si>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</si>
  <si>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</si>
  <si>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</si>
  <si>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</si>
  <si>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</si>
  <si>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</si>
  <si>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</si>
  <si>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</si>
  <si>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</si>
  <si>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</si>
  <si>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</si>
  <si>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</si>
  <si>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</si>
  <si>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</si>
  <si>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</si>
  <si>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</si>
  <si>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</si>
  <si>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</si>
  <si>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</si>
  <si>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</si>
  <si>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</si>
  <si>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</si>
  <si>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</si>
  <si>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</si>
  <si>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</si>
  <si>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</si>
  <si>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</si>
  <si>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</si>
  <si>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</si>
  <si>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</si>
  <si>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</si>
  <si>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</si>
  <si>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</si>
  <si>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</si>
  <si>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</si>
  <si>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Zvýšenie/ zníženie hodnoty (+/-)</t>
  </si>
  <si>
    <t>Vplyv ocenenia na výsledok hospodárenia bežného účtovného obdobia</t>
  </si>
  <si>
    <t>Vplyv ocenenia na vlastné imanie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</si>
  <si>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</si>
  <si>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</si>
  <si>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</si>
  <si>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</si>
  <si>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</si>
  <si>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</si>
  <si>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</si>
  <si>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</si>
  <si>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</si>
  <si>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</si>
  <si>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</si>
  <si>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</si>
  <si>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</si>
  <si>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</si>
  <si>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</si>
  <si>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</si>
  <si>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</si>
  <si>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</si>
  <si>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</si>
  <si>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</si>
  <si>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</si>
  <si>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</si>
  <si>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</si>
  <si>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</si>
  <si>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</si>
  <si>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</si>
  <si>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</si>
  <si>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</si>
  <si>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</si>
  <si>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</si>
  <si>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</si>
  <si>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</si>
  <si>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</si>
  <si>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</si>
  <si>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</si>
  <si>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</si>
  <si>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</si>
  <si>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</si>
  <si>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</si>
  <si>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</si>
  <si>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</si>
  <si>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</si>
  <si>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</si>
  <si>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</si>
  <si>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</si>
  <si>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</si>
  <si>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</si>
  <si>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</si>
  <si>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</si>
  <si>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</si>
  <si>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</si>
  <si>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</si>
  <si>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Účtovná hodnota </t>
  </si>
  <si>
    <t>11. Informácie k časti F. písm. o) prílohy č. 3 o opravných položkách k zásobám</t>
  </si>
  <si>
    <t xml:space="preserve">7. Informácie k časti F. písm. m) prílohy č. 3 o dlhodobom finančnom majetku </t>
  </si>
  <si>
    <t>6. Informácie k časti F. písm. j) prílohy č. 3 o  dlhodobom finančnom majetku</t>
  </si>
  <si>
    <t xml:space="preserve">5. Informácie k časti F. písm. c) prílohy č. 3 o dlhodobom hmotnom majetku </t>
  </si>
  <si>
    <t>4.  Informácie k časti F. písm. a) prílohy č. 3 o dlhodobom hmotnom majetku</t>
  </si>
  <si>
    <t>3. Informácie k časti F. písm. c) prílohy č. 3 o dlhodobom nehmotnom majetku</t>
  </si>
  <si>
    <t>2. Informácie k časti F. písm. a) prílohy č. 3 o dlhodobom nehmotnom majetku</t>
  </si>
  <si>
    <t xml:space="preserve">12. Informácie k časti F. písm. p) prílohy č. 3 o zásobách, na ktoré je zriadené záložné právo </t>
  </si>
  <si>
    <t>13. Informácie k časti F. písm. q) prílohy č. 3 o zákazkovej výrobe a o zákazkovej výstavbe nehnuteľnosti určenej na predaj</t>
  </si>
  <si>
    <t>14. Informácie k časti F. písm. r) prílohy č. 3 o vývoji opravnej položky  k pohľadávkam</t>
  </si>
  <si>
    <t>15. Informácie k časti F. písm. s) prílohy č. 3 o  vekovej štruktúre pohľadávok</t>
  </si>
  <si>
    <t xml:space="preserve">16. Informácie k časti F. písm. t) a u) prílohy č. 3  o pohľadávkach zabezpečených záložným právom alebo inou formou zabezpečenia   </t>
  </si>
  <si>
    <t>17. Informácie k časti F. písm. w)  prílohy č. 3 o krátkodobom finančnom majetku</t>
  </si>
  <si>
    <t>18. Informácie k časti  F. písm. x) prílohy č. 3 o vývoji opravnej položky ku krátkodobému finančnému majetku</t>
  </si>
  <si>
    <t xml:space="preserve">19. Informácie k časti F. písm. y) prílohy č. 3 o krátkodobom finančnom majetku, na ktorý bolo zriadené záložné právo </t>
  </si>
  <si>
    <t>20. Informácie k časti F. písm.  za) prílohy č. 3 o ocenení krátkodobého finančného  majetku, ku dňu ku ktorému sa zostavuje účtovná závierka reálnou hodnotou</t>
  </si>
  <si>
    <t>21. Informácie k časti F. písm. zc) prílohy č. 3 o majetku prenajatom formou finančného prenájmu</t>
  </si>
  <si>
    <t xml:space="preserve">22. Informácie k časti G. písm. a) tretiemu bodu prílohy č. 3 o rozdelení účtovného zisku alebo o vysporiadaní účtovnej straty </t>
  </si>
  <si>
    <t>25. Informácie k časti F. písm. v) a časti G. písm. f) prílohy č. 3 o odloženej daňovej pohľadávke alebo o odloženom daňovom záväzku</t>
  </si>
  <si>
    <t>26. Informácie k časti G. písm. g) prílohy č. 3 o záväzkoch zo sociálneho fondu</t>
  </si>
  <si>
    <t>27. Informácie k časti G. písm. h) prílohy č. 3 o vydaných dlhopisoch</t>
  </si>
  <si>
    <t>28. Informácie k časti G. písm. i)  prílohy č. 3 o bankových úveroch, pôžičkách a krátkodobých finančných výpomociach</t>
  </si>
  <si>
    <t>29. Informácie k časti  G. písm. k) prílohy č. 3 o významných položkách derivátov za bežné účtovné obdobie</t>
  </si>
  <si>
    <t>30. Informácie k časti G. písm. l) prílohy č. 3 o položkách zabezpečených derivátmi</t>
  </si>
  <si>
    <t>31. Informácie k časti G. písm. m) prílohy č. 3 o majetku prenajatom formou finančného prenájmu</t>
  </si>
  <si>
    <t>32. Informácie k časti H. písm. b) prílohy č. 3 o zmene stavu vnútroorganizačných zásob</t>
  </si>
  <si>
    <t>33. Informácie k časti H. písm. g)  prílohy č. 3 o čistom obrate</t>
  </si>
  <si>
    <t>8. Informácie k časti F. písm. i) prílohy č. 3 o štruktúre dlhodobého finančného majetku</t>
  </si>
  <si>
    <t>9. Informácie k časti F. písm. j) a l) prílohy č. 3 o dlhových CP držaných do splatnosti</t>
  </si>
  <si>
    <t>10. Informácie k časti F. písm. j) a l) prílohy č. 3 o poskytnutých dlhodobých pôžičkách</t>
  </si>
  <si>
    <t>Záväzky so zostatkovou dobou splatnosti 
jeden rok až päť rokov</t>
  </si>
  <si>
    <t>Záväzky so zostatkovou dobou splatnosti do jedneho roka vrátane</t>
  </si>
  <si>
    <t>24. Informácie k časti G. písm. c) a d) prílohy č. 3 o záväzkoch</t>
  </si>
  <si>
    <t>Zaúčtovaná  ako náklad</t>
  </si>
  <si>
    <t>34. Informácie k časti I. prílohy č. 3 o nákladoch voči audítorovi, audítorskej spoločnosti</t>
  </si>
  <si>
    <t>35. Informácie k časti J. písm. a) až e) prílohy č. 3 o daniach z príjmov</t>
  </si>
  <si>
    <t>36. Informácie k časti J.  písm. f) a g) prílohy č. 3 o daniach z príjmov</t>
  </si>
  <si>
    <t>23. Informácie k časti G. písm. b) prílohy č. 3 o rezervách</t>
  </si>
  <si>
    <t>Náklady voči audítorovi, audítorskej spoločnosti, z toho:</t>
  </si>
  <si>
    <t>131100</t>
  </si>
  <si>
    <t>Obstaranie tovaru</t>
  </si>
  <si>
    <t>132100</t>
  </si>
  <si>
    <t>Tovar na sklade a v predajniach</t>
  </si>
  <si>
    <t>211100</t>
  </si>
  <si>
    <t>Pokladnica Sklad</t>
  </si>
  <si>
    <t>213100</t>
  </si>
  <si>
    <t>Ceniny</t>
  </si>
  <si>
    <t>221100</t>
  </si>
  <si>
    <t>TTB 2948021649/1100</t>
  </si>
  <si>
    <t>261000</t>
  </si>
  <si>
    <t>Peniaze na ceste</t>
  </si>
  <si>
    <t>261100</t>
  </si>
  <si>
    <t>311100</t>
  </si>
  <si>
    <t>Odberatelia tuzemskí</t>
  </si>
  <si>
    <t>314000</t>
  </si>
  <si>
    <t>Poskytnuté preddavky</t>
  </si>
  <si>
    <t>314100</t>
  </si>
  <si>
    <t>Poskytnuté preddavky tuzemsko</t>
  </si>
  <si>
    <t>314888</t>
  </si>
  <si>
    <t xml:space="preserve">Kaucia nájomné </t>
  </si>
  <si>
    <t>314999</t>
  </si>
  <si>
    <t>Mylné platby</t>
  </si>
  <si>
    <t>315100</t>
  </si>
  <si>
    <t>Odovod Stravných lístkov</t>
  </si>
  <si>
    <t>321100</t>
  </si>
  <si>
    <t>Dodávatelia tuzemsko</t>
  </si>
  <si>
    <t>321200</t>
  </si>
  <si>
    <t>Dodávatelia zahraniční</t>
  </si>
  <si>
    <t>326000</t>
  </si>
  <si>
    <t>Nevyfakturované dodávky</t>
  </si>
  <si>
    <t>335000</t>
  </si>
  <si>
    <t>Pohľadávky voči zamestnancom</t>
  </si>
  <si>
    <t>341000</t>
  </si>
  <si>
    <t>Daň z príjmov</t>
  </si>
  <si>
    <t>343810</t>
  </si>
  <si>
    <t>DPH nižšia Vstup tuzemsko</t>
  </si>
  <si>
    <t>343819</t>
  </si>
  <si>
    <t>DPH základná Vstup tuzemsko</t>
  </si>
  <si>
    <t>343822</t>
  </si>
  <si>
    <t>DPH základná Vstup EÚ</t>
  </si>
  <si>
    <t>343900</t>
  </si>
  <si>
    <t>Zúčtovanie s DÚ</t>
  </si>
  <si>
    <t>343919</t>
  </si>
  <si>
    <t>DPH základná Výstup tuzemsko</t>
  </si>
  <si>
    <t>343922</t>
  </si>
  <si>
    <t>DPH základná Výstup EÚ</t>
  </si>
  <si>
    <t>365100</t>
  </si>
  <si>
    <t>Vklad konateľa-Bíro Tomáš</t>
  </si>
  <si>
    <t>379000</t>
  </si>
  <si>
    <t>Iné záväzky</t>
  </si>
  <si>
    <t>379001</t>
  </si>
  <si>
    <t>Nákup kartou</t>
  </si>
  <si>
    <t>379100</t>
  </si>
  <si>
    <t>Pôžička Grocery Trade</t>
  </si>
  <si>
    <t>379101</t>
  </si>
  <si>
    <t>Pôžička Praclík</t>
  </si>
  <si>
    <t>379111</t>
  </si>
  <si>
    <t>Pôžička RMC</t>
  </si>
  <si>
    <t>379112</t>
  </si>
  <si>
    <t>Pôžička Vrábel</t>
  </si>
  <si>
    <t>379113</t>
  </si>
  <si>
    <t>Pôžička Tallo</t>
  </si>
  <si>
    <t>379114</t>
  </si>
  <si>
    <t>Pôžička Lib broker</t>
  </si>
  <si>
    <t>385000</t>
  </si>
  <si>
    <t>Príjmy budúcich období</t>
  </si>
  <si>
    <t>391000</t>
  </si>
  <si>
    <t>Opravná položka k pohľadávkam</t>
  </si>
  <si>
    <t>429000</t>
  </si>
  <si>
    <t>Neuhradená strata minulých rokov</t>
  </si>
  <si>
    <t>431000</t>
  </si>
  <si>
    <t>Výsledok hospodárenia v schvaľovaní</t>
  </si>
  <si>
    <t>501001</t>
  </si>
  <si>
    <t>Drobný nákup</t>
  </si>
  <si>
    <t>501200</t>
  </si>
  <si>
    <t>Kancelárske poterby</t>
  </si>
  <si>
    <t>504100</t>
  </si>
  <si>
    <t>Predaný tovar</t>
  </si>
  <si>
    <t>504200</t>
  </si>
  <si>
    <t>Spätný bonus</t>
  </si>
  <si>
    <t>518001</t>
  </si>
  <si>
    <t>Ostatné služby</t>
  </si>
  <si>
    <t>518002</t>
  </si>
  <si>
    <t>Odmena gastro</t>
  </si>
  <si>
    <t>518100</t>
  </si>
  <si>
    <t>Nájomné</t>
  </si>
  <si>
    <t>518101</t>
  </si>
  <si>
    <t>Prevádzkové náklady</t>
  </si>
  <si>
    <t>518222</t>
  </si>
  <si>
    <t>Preprava</t>
  </si>
  <si>
    <t>518300</t>
  </si>
  <si>
    <t>T Mobile</t>
  </si>
  <si>
    <t>518410</t>
  </si>
  <si>
    <t>Vedenie účtovníctva</t>
  </si>
  <si>
    <t>518420</t>
  </si>
  <si>
    <t>Administratívne služby</t>
  </si>
  <si>
    <t>544000</t>
  </si>
  <si>
    <t>Zmluvné pokuty, penále a úroky z omeškania</t>
  </si>
  <si>
    <t>545000</t>
  </si>
  <si>
    <t>Ostatné pokuty, penále a úroky z omeškania</t>
  </si>
  <si>
    <t>547000</t>
  </si>
  <si>
    <t>Tvorba a zúčtovanie oprav. položiek k pohľadávkam</t>
  </si>
  <si>
    <t>548999</t>
  </si>
  <si>
    <t>nedaňové náklady</t>
  </si>
  <si>
    <t>549000</t>
  </si>
  <si>
    <t>Manká a škody</t>
  </si>
  <si>
    <t>562000</t>
  </si>
  <si>
    <t>Úroky</t>
  </si>
  <si>
    <t>568000</t>
  </si>
  <si>
    <t>Ostatné finančné náklady</t>
  </si>
  <si>
    <t>568100</t>
  </si>
  <si>
    <t>bankové poplatky</t>
  </si>
  <si>
    <t>569000</t>
  </si>
  <si>
    <t>Manká a škody na finančnom majetku</t>
  </si>
  <si>
    <t>591000</t>
  </si>
  <si>
    <t>Splatná daň z príjmov z bežnej činnosti</t>
  </si>
  <si>
    <t>602000</t>
  </si>
  <si>
    <t>Tržby z predaja služieb</t>
  </si>
  <si>
    <t>602111</t>
  </si>
  <si>
    <t>Preskladnenie tovaru</t>
  </si>
  <si>
    <t>604000</t>
  </si>
  <si>
    <t>Tržby za tovar</t>
  </si>
  <si>
    <t>604100</t>
  </si>
  <si>
    <t>604200</t>
  </si>
  <si>
    <t>Tržby za tovar-pokladňa</t>
  </si>
  <si>
    <t>648000</t>
  </si>
  <si>
    <t>Ostatné výnosy z hospodárskej činnosti</t>
  </si>
  <si>
    <t>668000</t>
  </si>
  <si>
    <t>Ostatné finančné výnosy</t>
  </si>
  <si>
    <t>131</t>
  </si>
  <si>
    <t>132</t>
  </si>
  <si>
    <t>211</t>
  </si>
  <si>
    <t>Pokladnica</t>
  </si>
  <si>
    <t>213</t>
  </si>
  <si>
    <t>221</t>
  </si>
  <si>
    <t>Bankové účty</t>
  </si>
  <si>
    <t>261</t>
  </si>
  <si>
    <t>311</t>
  </si>
  <si>
    <t>Odberatelia</t>
  </si>
  <si>
    <t>314</t>
  </si>
  <si>
    <t>315</t>
  </si>
  <si>
    <t>Ostatné pohľadávky</t>
  </si>
  <si>
    <t>321</t>
  </si>
  <si>
    <t>Dodávatelia</t>
  </si>
  <si>
    <t>326</t>
  </si>
  <si>
    <t>335</t>
  </si>
  <si>
    <t>341</t>
  </si>
  <si>
    <t>343</t>
  </si>
  <si>
    <t>Daň z pridanej hodnoty</t>
  </si>
  <si>
    <t>365</t>
  </si>
  <si>
    <t>Ostatné záväzky voči spoločníkom a členom</t>
  </si>
  <si>
    <t>379</t>
  </si>
  <si>
    <t>385</t>
  </si>
  <si>
    <t>391</t>
  </si>
  <si>
    <t>429</t>
  </si>
  <si>
    <t>431</t>
  </si>
  <si>
    <t>501</t>
  </si>
  <si>
    <t>Spotreba materiálu</t>
  </si>
  <si>
    <t>504</t>
  </si>
  <si>
    <t>518</t>
  </si>
  <si>
    <t>544</t>
  </si>
  <si>
    <t>545</t>
  </si>
  <si>
    <t>547</t>
  </si>
  <si>
    <t>548</t>
  </si>
  <si>
    <t>Ostatné náklady na hospodársku činnosť</t>
  </si>
  <si>
    <t>549</t>
  </si>
  <si>
    <t>562</t>
  </si>
  <si>
    <t>568</t>
  </si>
  <si>
    <t>569</t>
  </si>
  <si>
    <t>591</t>
  </si>
  <si>
    <t>602</t>
  </si>
  <si>
    <t>604</t>
  </si>
  <si>
    <t>648</t>
  </si>
  <si>
    <t>668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</si>
  <si>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</si>
  <si>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</si>
  <si>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</si>
  <si>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</si>
  <si>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</si>
  <si>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</si>
  <si>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</si>
  <si>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</si>
  <si>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</si>
  <si>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</si>
  <si>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</si>
  <si>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</si>
  <si>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</si>
  <si>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</si>
  <si>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</si>
  <si>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</si>
  <si>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</si>
  <si>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</si>
  <si>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</si>
  <si>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</si>
  <si>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</si>
  <si>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</si>
  <si>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</si>
  <si>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</si>
  <si>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</si>
  <si>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</si>
  <si>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</si>
  <si>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</si>
  <si>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</si>
  <si>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</si>
  <si>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</si>
  <si>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</si>
  <si>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</si>
  <si>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</si>
  <si>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</si>
  <si>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</si>
  <si>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</si>
  <si>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</si>
  <si>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</si>
  <si>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</si>
  <si>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</si>
  <si>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</si>
  <si>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</si>
  <si>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</si>
  <si>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</si>
  <si>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</si>
  <si>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</si>
  <si>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</si>
  <si>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</si>
  <si>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</si>
  <si>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</si>
  <si>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</si>
  <si>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</si>
  <si>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</si>
  <si>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</si>
  <si>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</si>
  <si>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</si>
  <si>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</si>
  <si>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</si>
  <si>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</si>
  <si>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</si>
  <si>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</si>
  <si>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</si>
  <si>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</si>
  <si>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</si>
  <si>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</si>
  <si>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</si>
  <si>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</si>
  <si>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</si>
  <si>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</si>
  <si>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</si>
  <si>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</si>
  <si>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</si>
  <si>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</si>
  <si>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</si>
  <si>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</si>
  <si>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</si>
  <si>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</si>
  <si>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</si>
  <si>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</si>
  <si>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</si>
  <si>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</si>
  <si>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</si>
  <si>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</si>
  <si>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</si>
  <si>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</si>
  <si>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</si>
  <si>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</si>
  <si>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</si>
  <si>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</si>
  <si>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</si>
  <si>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</si>
  <si>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</si>
  <si>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</si>
  <si>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</si>
  <si>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</si>
  <si>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</si>
  <si>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</si>
  <si>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</si>
  <si>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</si>
  <si>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</si>
  <si>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</si>
  <si>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</si>
  <si>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</si>
  <si>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</si>
  <si>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</si>
  <si>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</si>
  <si>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</si>
  <si>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</si>
  <si>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</si>
  <si>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</si>
  <si>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</si>
  <si>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</si>
  <si>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</si>
  <si>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</si>
  <si>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</si>
  <si>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</si>
  <si>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</si>
  <si>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</si>
  <si>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</si>
  <si>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</si>
  <si>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</si>
  <si>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</si>
  <si>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</si>
  <si>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</si>
  <si>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</si>
  <si>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</si>
  <si>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</si>
  <si>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</si>
  <si>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</si>
  <si>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</si>
  <si>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</si>
  <si>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</si>
  <si>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</si>
  <si>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</si>
  <si>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</si>
  <si>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</si>
  <si>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</si>
  <si>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</si>
  <si>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</si>
  <si>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</si>
  <si>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</si>
  <si>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</si>
  <si>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</si>
  <si>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</si>
  <si>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</si>
  <si>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</si>
  <si>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</si>
  <si>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</si>
  <si>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</si>
  <si>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</si>
  <si>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</si>
  <si>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</si>
  <si>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</si>
  <si>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</si>
  <si>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</si>
  <si>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</si>
  <si>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</si>
  <si>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</si>
  <si>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</si>
  <si>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</si>
  <si>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</si>
  <si>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</si>
  <si>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</si>
  <si>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</si>
  <si>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</si>
  <si>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</si>
  <si>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</si>
  <si>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</si>
  <si>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</si>
  <si>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</si>
  <si>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</si>
  <si>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</si>
  <si>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</si>
  <si>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</si>
  <si>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</si>
  <si>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</si>
  <si>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</si>
  <si>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</si>
  <si>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</si>
  <si>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</si>
  <si>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</si>
  <si>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</si>
  <si>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</si>
  <si>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</si>
  <si>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</si>
  <si>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</si>
  <si>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</si>
  <si>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</si>
  <si>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</si>
  <si>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</si>
  <si>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</si>
  <si>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</si>
  <si>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</si>
  <si>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013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</si>
  <si>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</si>
  <si>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</si>
  <si>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</si>
  <si>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</si>
  <si>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</si>
  <si>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</si>
  <si>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</si>
  <si>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</si>
  <si>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</si>
  <si>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</si>
  <si>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</si>
  <si>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</si>
  <si>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</si>
  <si>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</si>
  <si>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</si>
  <si>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</si>
  <si>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021</t>
  </si>
  <si>
    <t>A.lll.1.</t>
  </si>
  <si>
    <t>Podielové cenné papiere a podiely v prepojených účtovných jednotkách (061A,062A,063A) - /096A/</t>
  </si>
  <si>
    <t>022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</si>
  <si>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</si>
  <si>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</si>
  <si>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</si>
  <si>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</si>
  <si>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</si>
  <si>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</si>
  <si>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</si>
  <si>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</si>
  <si>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</si>
  <si>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</si>
  <si>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</si>
  <si>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</si>
  <si>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</si>
  <si>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029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</si>
  <si>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</si>
  <si>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</si>
  <si>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</si>
  <si>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</si>
  <si>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</si>
  <si>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</si>
  <si>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</si>
  <si>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</si>
  <si>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</si>
  <si>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</si>
  <si>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</si>
  <si>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</si>
  <si>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</si>
  <si>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</si>
  <si>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</si>
  <si>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</si>
  <si>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</si>
  <si>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</si>
  <si>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</si>
  <si>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</si>
  <si>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</si>
  <si>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</si>
  <si>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</si>
  <si>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</si>
  <si>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</si>
  <si>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</si>
  <si>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</si>
  <si>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</si>
  <si>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</si>
  <si>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042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</si>
  <si>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</si>
  <si>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</si>
  <si>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</si>
  <si>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</si>
  <si>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</si>
  <si>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</si>
  <si>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</si>
  <si>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</si>
  <si>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</si>
  <si>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</si>
  <si>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</si>
  <si>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</si>
  <si>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</si>
  <si>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</si>
  <si>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</si>
  <si>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</si>
  <si>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</si>
  <si>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</si>
  <si>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</si>
  <si>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</si>
  <si>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</si>
  <si>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</si>
  <si>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</si>
  <si>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</si>
  <si>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</si>
  <si>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</si>
  <si>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</si>
  <si>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</si>
  <si>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</si>
  <si>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</si>
  <si>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</si>
  <si>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</si>
  <si>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</si>
  <si>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</si>
  <si>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</si>
  <si>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</si>
  <si>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</si>
  <si>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</si>
  <si>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</si>
  <si>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</si>
  <si>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</si>
  <si>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</si>
  <si>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</si>
  <si>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</si>
  <si>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</si>
  <si>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</si>
  <si>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</si>
  <si>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</si>
  <si>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</si>
  <si>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</si>
  <si>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</si>
  <si>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</si>
  <si>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</si>
  <si>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</si>
  <si>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</si>
  <si>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</si>
  <si>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</si>
  <si>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</si>
  <si>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</si>
  <si>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</si>
  <si>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</si>
  <si>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</si>
  <si>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</si>
  <si>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</si>
  <si>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073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</si>
  <si>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</si>
  <si>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</si>
  <si>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</si>
  <si>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</si>
  <si>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</si>
  <si>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</si>
  <si>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</si>
  <si>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</si>
  <si>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</si>
  <si>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</si>
  <si>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</si>
  <si>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</si>
  <si>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</si>
  <si>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</si>
  <si>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</si>
  <si>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</si>
  <si>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</si>
  <si>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A.l.1.</t>
  </si>
  <si>
    <t>Základné imanie ( 411 alebo +/-491 )</t>
  </si>
  <si>
    <t>082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</si>
  <si>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</si>
  <si>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</si>
  <si>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</si>
  <si>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</si>
  <si>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</si>
  <si>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</si>
  <si>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</si>
  <si>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</si>
  <si>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</si>
  <si>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</si>
  <si>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</si>
  <si>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</si>
  <si>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</si>
  <si>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</si>
  <si>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</si>
  <si>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</si>
  <si>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089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</si>
  <si>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</si>
  <si>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</si>
  <si>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</si>
  <si>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</si>
  <si>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</si>
  <si>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</si>
  <si>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</si>
  <si>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</si>
  <si>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</si>
  <si>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</si>
  <si>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</si>
  <si>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</si>
  <si>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</si>
  <si>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</si>
  <si>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</si>
  <si>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</si>
  <si>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</si>
  <si>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</si>
  <si>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</si>
  <si>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</si>
  <si>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</si>
  <si>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</si>
  <si>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</si>
  <si>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</si>
  <si>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</si>
  <si>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</si>
  <si>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</si>
  <si>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</si>
  <si>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</si>
  <si>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</si>
  <si>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</si>
  <si>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</si>
  <si>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</si>
  <si>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</si>
  <si>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</si>
  <si>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</si>
  <si>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</si>
  <si>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</si>
  <si>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</si>
  <si>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</si>
  <si>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</si>
  <si>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</si>
  <si>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</si>
  <si>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</si>
  <si>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</si>
  <si>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</si>
  <si>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</si>
  <si>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</si>
  <si>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</si>
  <si>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</si>
  <si>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</si>
  <si>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112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</si>
  <si>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</si>
  <si>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</si>
  <si>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</si>
  <si>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</si>
  <si>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</si>
  <si>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</si>
  <si>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</si>
  <si>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</si>
  <si>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</si>
  <si>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</si>
  <si>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</si>
  <si>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</si>
  <si>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</si>
  <si>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</si>
  <si>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</si>
  <si>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</si>
  <si>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</si>
  <si>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</si>
  <si>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</si>
  <si>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</si>
  <si>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</si>
  <si>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</si>
  <si>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</si>
  <si>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</si>
  <si>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</si>
  <si>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</si>
  <si>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</si>
  <si>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</si>
  <si>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</si>
  <si>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</si>
  <si>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</si>
  <si>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</si>
  <si>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</si>
  <si>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</si>
  <si>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</si>
  <si>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</si>
  <si>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</si>
  <si>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</si>
  <si>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</si>
  <si>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</si>
  <si>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</si>
  <si>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</si>
  <si>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</si>
  <si>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</si>
  <si>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</si>
  <si>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</si>
  <si>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</si>
  <si>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</si>
  <si>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</si>
  <si>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</si>
  <si>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</si>
  <si>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</si>
  <si>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</si>
  <si>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</si>
  <si>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</si>
  <si>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</si>
  <si>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</si>
  <si>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</si>
  <si>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</si>
  <si>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</si>
  <si>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</si>
  <si>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</si>
  <si>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</si>
  <si>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</si>
  <si>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</si>
  <si>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</si>
  <si>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</si>
  <si>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</si>
  <si>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</si>
  <si>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</si>
  <si>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</si>
  <si>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23.04.2019</t>
  </si>
  <si>
    <t>Obdobie od</t>
  </si>
  <si>
    <t>01.01.2018</t>
  </si>
  <si>
    <t>Obdobie do</t>
  </si>
  <si>
    <t>31.12.2018</t>
  </si>
  <si>
    <t>Bezprostredne predchádzajúce obdobie od</t>
  </si>
  <si>
    <t>01.01.2017</t>
  </si>
  <si>
    <t>Bezprostredne predchádzajúce obdobie do</t>
  </si>
  <si>
    <t>31.12.2017</t>
  </si>
  <si>
    <t>IČO</t>
  </si>
  <si>
    <t>DIČ</t>
  </si>
  <si>
    <t>Kód SK NACE</t>
  </si>
  <si>
    <t>Názov1</t>
  </si>
  <si>
    <t>MERCADO MARKET s. r. o.</t>
  </si>
  <si>
    <t>Názov2</t>
  </si>
  <si>
    <t>Ulica</t>
  </si>
  <si>
    <t>Fadruszova 726/7</t>
  </si>
  <si>
    <t>Číslo</t>
  </si>
  <si>
    <t>PSČ</t>
  </si>
  <si>
    <t>841 01</t>
  </si>
  <si>
    <t>Názov obce</t>
  </si>
  <si>
    <t>Bratislava - Karlova Ves</t>
  </si>
  <si>
    <t>Číslo telefónu</t>
  </si>
  <si>
    <t>Číslo faxu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</si>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</sst>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30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37" xfId="0" applyBorder="1" applyAlignment="1">
      <alignment horizontal="center"/>
    </xf>
    <xf numFmtId="0" fontId="0" fillId="0" borderId="37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4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8" xfId="0" applyNumberFormat="1" applyFont="1" applyBorder="1" applyAlignment="1">
      <alignment horizontal="right" vertical="center" wrapText="1"/>
    </xf>
    <xf numFmtId="0" fontId="11" fillId="0" borderId="0" xfId="0" applyFont="1"/>
    <xf numFmtId="3" fontId="5" fillId="0" borderId="38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37" xfId="0" applyNumberFormat="1" applyFont="1" applyFill="1" applyBorder="1" applyAlignment="1">
      <alignment horizontal="left" vertical="top" wrapText="1"/>
    </xf>
    <xf numFmtId="0" fontId="15" fillId="3" borderId="37" xfId="0" applyFont="1" applyFill="1" applyBorder="1" applyAlignment="1">
      <alignment horizontal="left" vertical="top" wrapText="1"/>
    </xf>
    <xf numFmtId="164" fontId="15" fillId="3" borderId="37" xfId="0" applyNumberFormat="1" applyFont="1" applyFill="1" applyBorder="1" applyAlignment="1">
      <alignment horizontal="right" vertical="top" wrapText="1"/>
    </xf>
    <xf numFmtId="0" fontId="6" fillId="3" borderId="37" xfId="0" applyFont="1" applyFill="1" applyBorder="1"/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35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46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43" xfId="0" applyNumberFormat="1" applyFont="1" applyFill="1" applyBorder="1" applyAlignment="1">
      <alignment horizontal="right" vertical="center" wrapText="1"/>
    </xf>
    <xf numFmtId="3" fontId="13" fillId="2" borderId="44" xfId="0" applyNumberFormat="1" applyFont="1" applyFill="1" applyBorder="1" applyAlignment="1">
      <alignment horizontal="right" vertical="center" wrapText="1"/>
    </xf>
    <xf numFmtId="3" fontId="13" fillId="2" borderId="30" xfId="0" applyNumberFormat="1" applyFont="1" applyFill="1" applyBorder="1" applyAlignment="1">
      <alignment horizontal="right" vertical="center" wrapText="1"/>
    </xf>
    <xf numFmtId="3" fontId="13" fillId="2" borderId="31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8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8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2" borderId="27" xfId="0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right" vertical="center" wrapText="1"/>
    </xf>
    <xf numFmtId="3" fontId="6" fillId="2" borderId="35" xfId="0" applyNumberFormat="1" applyFont="1" applyFill="1" applyBorder="1" applyAlignment="1">
      <alignment horizontal="right" vertical="center" wrapText="1"/>
    </xf>
    <xf numFmtId="3" fontId="6" fillId="2" borderId="17" xfId="0" applyNumberFormat="1" applyFont="1" applyFill="1" applyBorder="1" applyAlignment="1">
      <alignment horizontal="right" vertical="center" wrapText="1"/>
    </xf>
    <xf numFmtId="3" fontId="6" fillId="2" borderId="24" xfId="0" applyNumberFormat="1" applyFont="1" applyFill="1" applyBorder="1" applyAlignment="1">
      <alignment horizontal="right" vertical="center" wrapText="1"/>
    </xf>
    <xf numFmtId="3" fontId="6" fillId="2" borderId="47" xfId="0" applyNumberFormat="1" applyFont="1" applyFill="1" applyBorder="1" applyAlignment="1">
      <alignment horizontal="right" vertical="center" wrapText="1"/>
    </xf>
    <xf numFmtId="3" fontId="14" fillId="2" borderId="29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4" fillId="2" borderId="35" xfId="0" applyNumberFormat="1" applyFont="1" applyFill="1" applyBorder="1" applyAlignment="1">
      <alignment horizontal="right" vertical="center" wrapText="1"/>
    </xf>
    <xf numFmtId="0" fontId="6" fillId="0" borderId="35" xfId="0" applyFont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47" xfId="0" applyFont="1" applyFill="1" applyBorder="1" applyAlignment="1">
      <alignment vertical="center" wrapText="1"/>
    </xf>
    <xf numFmtId="0" fontId="14" fillId="2" borderId="47" xfId="0" applyFont="1" applyFill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2" fillId="0" borderId="0" xfId="0" applyFont="1"/>
    <xf numFmtId="0" fontId="5" fillId="2" borderId="9" xfId="0" applyFont="1" applyFill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0" fontId="6" fillId="0" borderId="35" xfId="0" applyFont="1" applyFill="1" applyBorder="1" applyAlignment="1">
      <alignment vertical="center" wrapText="1"/>
    </xf>
    <xf numFmtId="0" fontId="0" fillId="0" borderId="35" xfId="0" applyBorder="1"/>
    <xf numFmtId="0" fontId="1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6" fillId="0" borderId="0" xfId="0" applyFont="1" applyBorder="1" applyAlignment="1">
      <alignment wrapText="1"/>
    </xf>
  </cellXfs>
  <cellStyles count="3">
    <cellStyle name="Normálna 2" xfId="2"/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showGridLines="0" topLeftCell="A31" workbookViewId="0">
      <selection activeCell="F15" sqref="F15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259</v>
      </c>
    </row>
    <row r="2" spans="1:2" x14ac:dyDescent="0.25">
      <c r="A2" t="s">
        <v>260</v>
      </c>
    </row>
    <row r="3" spans="1:2" x14ac:dyDescent="0.25">
      <c r="A3" t="s">
        <v>261</v>
      </c>
    </row>
    <row r="4" spans="1:2" x14ac:dyDescent="0.25">
      <c r="A4" t="s">
        <v>262</v>
      </c>
    </row>
    <row r="5" spans="1:2" x14ac:dyDescent="0.25">
      <c r="A5" t="s">
        <v>263</v>
      </c>
    </row>
    <row r="6" spans="1:2" x14ac:dyDescent="0.25">
      <c r="A6" t="s">
        <v>264</v>
      </c>
    </row>
    <row r="7" spans="1:2" x14ac:dyDescent="0.25">
      <c r="A7" t="s">
        <v>265</v>
      </c>
    </row>
    <row r="8" spans="1:2" x14ac:dyDescent="0.25">
      <c r="A8" t="s">
        <v>266</v>
      </c>
    </row>
    <row r="9" spans="1:2" x14ac:dyDescent="0.25">
      <c r="A9" t="s">
        <v>267</v>
      </c>
    </row>
    <row r="10" spans="1:2" x14ac:dyDescent="0.25">
      <c r="A10" t="s">
        <v>268</v>
      </c>
    </row>
    <row r="11" spans="1:2" x14ac:dyDescent="0.25">
      <c r="A11" s="8" t="s">
        <v>258</v>
      </c>
      <c r="B11" s="8" t="s">
        <v>269</v>
      </c>
    </row>
    <row r="12" spans="1:2" x14ac:dyDescent="0.25">
      <c r="A12" s="6">
        <v>1</v>
      </c>
      <c r="B12" s="7" t="s">
        <v>270</v>
      </c>
    </row>
    <row r="13" spans="1:2" x14ac:dyDescent="0.25">
      <c r="A13" s="6">
        <v>2</v>
      </c>
      <c r="B13" s="7" t="s">
        <v>271</v>
      </c>
    </row>
    <row r="14" spans="1:2" x14ac:dyDescent="0.25">
      <c r="A14" s="6">
        <v>3</v>
      </c>
      <c r="B14" s="7" t="s">
        <v>272</v>
      </c>
    </row>
    <row r="15" spans="1:2" x14ac:dyDescent="0.25">
      <c r="A15" s="6">
        <v>4</v>
      </c>
      <c r="B15" s="7" t="s">
        <v>273</v>
      </c>
    </row>
    <row r="16" spans="1:2" x14ac:dyDescent="0.25">
      <c r="A16" s="6">
        <v>5</v>
      </c>
      <c r="B16" s="7" t="s">
        <v>274</v>
      </c>
    </row>
    <row r="17" spans="1:2" x14ac:dyDescent="0.25">
      <c r="A17" s="6">
        <v>6</v>
      </c>
      <c r="B17" s="7" t="s">
        <v>275</v>
      </c>
    </row>
    <row r="18" spans="1:2" x14ac:dyDescent="0.25">
      <c r="A18" s="6">
        <v>7</v>
      </c>
      <c r="B18" s="7" t="s">
        <v>276</v>
      </c>
    </row>
    <row r="19" spans="1:2" x14ac:dyDescent="0.25">
      <c r="A19" s="6">
        <v>8</v>
      </c>
      <c r="B19" s="7" t="s">
        <v>277</v>
      </c>
    </row>
    <row r="20" spans="1:2" x14ac:dyDescent="0.25">
      <c r="A20" s="6">
        <v>9</v>
      </c>
      <c r="B20" s="7" t="s">
        <v>278</v>
      </c>
    </row>
    <row r="21" spans="1:2" x14ac:dyDescent="0.25">
      <c r="A21" s="6">
        <v>10</v>
      </c>
      <c r="B21" s="7" t="s">
        <v>279</v>
      </c>
    </row>
    <row r="22" spans="1:2" x14ac:dyDescent="0.25">
      <c r="A22" s="6">
        <v>11</v>
      </c>
      <c r="B22" s="7" t="s">
        <v>280</v>
      </c>
    </row>
    <row r="24" spans="1:2" x14ac:dyDescent="0.25">
      <c r="A24" t="s">
        <v>281</v>
      </c>
    </row>
    <row r="25" spans="1:2" x14ac:dyDescent="0.25">
      <c r="A25" t="s">
        <v>282</v>
      </c>
    </row>
    <row r="26" spans="1:2" x14ac:dyDescent="0.25">
      <c r="A26" t="s">
        <v>283</v>
      </c>
    </row>
    <row r="27" spans="1:2" x14ac:dyDescent="0.25">
      <c r="A27" t="s">
        <v>284</v>
      </c>
    </row>
    <row r="28" spans="1:2" x14ac:dyDescent="0.25">
      <c r="A28" t="s">
        <v>285</v>
      </c>
    </row>
    <row r="29" spans="1:2" x14ac:dyDescent="0.25">
      <c r="A29" t="s">
        <v>286</v>
      </c>
    </row>
    <row r="30" spans="1:2" x14ac:dyDescent="0.25">
      <c r="A30" t="s">
        <v>287</v>
      </c>
    </row>
    <row r="31" spans="1:2" x14ac:dyDescent="0.25">
      <c r="A31" t="s">
        <v>288</v>
      </c>
    </row>
    <row r="32" spans="1:2" x14ac:dyDescent="0.25">
      <c r="A32" t="s">
        <v>289</v>
      </c>
    </row>
    <row r="33" spans="1:1" x14ac:dyDescent="0.25">
      <c r="A33" t="s">
        <v>290</v>
      </c>
    </row>
    <row r="34" spans="1:1" x14ac:dyDescent="0.25">
      <c r="A34" t="s">
        <v>291</v>
      </c>
    </row>
    <row r="35" spans="1:1" x14ac:dyDescent="0.25">
      <c r="A35" t="s">
        <v>292</v>
      </c>
    </row>
    <row r="36" spans="1:1" x14ac:dyDescent="0.25">
      <c r="A36" t="s">
        <v>293</v>
      </c>
    </row>
    <row r="37" spans="1:1" x14ac:dyDescent="0.25">
      <c r="A37" t="s">
        <v>294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1" t="s">
        <v>397</v>
      </c>
    </row>
    <row r="2" spans="1:10" ht="74.25" customHeight="1" thickTop="1" thickBot="1" x14ac:dyDescent="0.3">
      <c r="A2" s="44" t="s">
        <v>306</v>
      </c>
      <c r="B2" s="44" t="s">
        <v>52</v>
      </c>
      <c r="C2" s="26" t="s">
        <v>304</v>
      </c>
      <c r="D2" s="44" t="s">
        <v>53</v>
      </c>
      <c r="E2" s="44" t="s">
        <v>54</v>
      </c>
      <c r="F2" s="26" t="s">
        <v>305</v>
      </c>
      <c r="G2" s="44" t="s">
        <v>60</v>
      </c>
    </row>
    <row r="3" spans="1:10" ht="27" customHeight="1" thickTop="1" thickBot="1" x14ac:dyDescent="0.3">
      <c r="A3" s="13" t="s">
        <v>55</v>
      </c>
      <c r="B3" s="125"/>
      <c r="C3" s="32"/>
      <c r="D3" s="32"/>
      <c r="E3" s="32"/>
      <c r="F3" s="32"/>
      <c r="G3" s="12">
        <f>SUM(C3:F3)</f>
        <v>0</v>
      </c>
    </row>
    <row r="4" spans="1:10" ht="34.5" thickBot="1" x14ac:dyDescent="0.3">
      <c r="A4" s="13" t="s">
        <v>56</v>
      </c>
      <c r="B4" s="126"/>
      <c r="C4" s="21"/>
      <c r="D4" s="21"/>
      <c r="E4" s="21"/>
      <c r="F4" s="21"/>
      <c r="G4" s="14">
        <f>SUM(C4:F4)</f>
        <v>0</v>
      </c>
    </row>
    <row r="5" spans="1:10" ht="34.5" thickBot="1" x14ac:dyDescent="0.3">
      <c r="A5" s="13" t="s">
        <v>57</v>
      </c>
      <c r="B5" s="126"/>
      <c r="C5" s="21"/>
      <c r="D5" s="21"/>
      <c r="E5" s="21"/>
      <c r="F5" s="21"/>
      <c r="G5" s="14">
        <f>SUM(C5:F5)</f>
        <v>0</v>
      </c>
    </row>
    <row r="6" spans="1:10" ht="27" customHeight="1" thickBot="1" x14ac:dyDescent="0.3">
      <c r="A6" s="13" t="s">
        <v>58</v>
      </c>
      <c r="B6" s="126"/>
      <c r="C6" s="21"/>
      <c r="D6" s="21"/>
      <c r="E6" s="21"/>
      <c r="F6" s="21"/>
      <c r="G6" s="14">
        <f>SUM(C6:F6)</f>
        <v>0</v>
      </c>
    </row>
    <row r="7" spans="1:10" ht="27" customHeight="1" thickBot="1" x14ac:dyDescent="0.3">
      <c r="A7" s="22" t="s">
        <v>59</v>
      </c>
      <c r="B7" s="127" t="s">
        <v>10</v>
      </c>
      <c r="C7" s="43"/>
      <c r="D7" s="43"/>
      <c r="E7" s="43"/>
      <c r="F7" s="43"/>
      <c r="G7" s="194">
        <f>SUMIF(HK!A:A,"065*",HK!K:K)-SUMIF(HK!A:A,"065*",HK!L:L)</f>
        <v>0</v>
      </c>
      <c r="J7" s="193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8"/>
  <sheetViews>
    <sheetView showGridLines="0" zoomScaleNormal="100" workbookViewId="0">
      <selection activeCell="B7" sqref="B7"/>
    </sheetView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1" t="s">
        <v>398</v>
      </c>
    </row>
    <row r="2" spans="1:6" ht="58.5" customHeight="1" thickTop="1" thickBot="1" x14ac:dyDescent="0.3">
      <c r="A2" s="44" t="s">
        <v>61</v>
      </c>
      <c r="B2" s="26" t="s">
        <v>304</v>
      </c>
      <c r="C2" s="44" t="s">
        <v>53</v>
      </c>
      <c r="D2" s="44" t="s">
        <v>54</v>
      </c>
      <c r="E2" s="44" t="s">
        <v>307</v>
      </c>
      <c r="F2" s="26" t="s">
        <v>21</v>
      </c>
    </row>
    <row r="3" spans="1:6" ht="27" customHeight="1" thickTop="1" thickBot="1" x14ac:dyDescent="0.3">
      <c r="A3" s="13" t="s">
        <v>55</v>
      </c>
      <c r="B3" s="21"/>
      <c r="C3" s="21"/>
      <c r="D3" s="21"/>
      <c r="E3" s="21"/>
      <c r="F3" s="14">
        <f>SUM(B3:E3)</f>
        <v>0</v>
      </c>
    </row>
    <row r="4" spans="1:6" ht="27" customHeight="1" thickBot="1" x14ac:dyDescent="0.3">
      <c r="A4" s="13" t="s">
        <v>62</v>
      </c>
      <c r="B4" s="21"/>
      <c r="C4" s="21"/>
      <c r="D4" s="21"/>
      <c r="E4" s="21"/>
      <c r="F4" s="14">
        <f>SUM(B4:E4)</f>
        <v>0</v>
      </c>
    </row>
    <row r="5" spans="1:6" ht="27" customHeight="1" thickBot="1" x14ac:dyDescent="0.3">
      <c r="A5" s="13" t="s">
        <v>63</v>
      </c>
      <c r="B5" s="21"/>
      <c r="C5" s="21"/>
      <c r="D5" s="21"/>
      <c r="E5" s="21"/>
      <c r="F5" s="14">
        <f>SUM(B5:E5)</f>
        <v>0</v>
      </c>
    </row>
    <row r="6" spans="1:6" ht="27" customHeight="1" thickBot="1" x14ac:dyDescent="0.3">
      <c r="A6" s="13" t="s">
        <v>58</v>
      </c>
      <c r="B6" s="21"/>
      <c r="C6" s="21"/>
      <c r="D6" s="21"/>
      <c r="E6" s="21"/>
      <c r="F6" s="14">
        <f>SUM(B6:E6)</f>
        <v>0</v>
      </c>
    </row>
    <row r="7" spans="1:6" ht="27" customHeight="1" thickBot="1" x14ac:dyDescent="0.3">
      <c r="A7" s="22" t="s">
        <v>64</v>
      </c>
      <c r="B7" s="43">
        <f>SUM(B3:B6)</f>
        <v>0</v>
      </c>
      <c r="C7" s="43">
        <f>SUM(C3:C6)</f>
        <v>0</v>
      </c>
      <c r="D7" s="43">
        <f>SUM(D3:D6)</f>
        <v>0</v>
      </c>
      <c r="E7" s="43">
        <f>SUM(E3:E6)</f>
        <v>0</v>
      </c>
      <c r="F7" s="45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3"/>
  <sheetViews>
    <sheetView showGridLines="0" zoomScaleNormal="100" workbookViewId="0">
      <selection activeCell="F10" sqref="F10"/>
    </sheetView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1" t="s">
        <v>369</v>
      </c>
    </row>
    <row r="2" spans="1:8" ht="17.25" thickBot="1" x14ac:dyDescent="0.35">
      <c r="A2" s="2" t="s">
        <v>7</v>
      </c>
    </row>
    <row r="3" spans="1:8" ht="16.5" thickTop="1" thickBot="1" x14ac:dyDescent="0.3">
      <c r="A3" s="275" t="s">
        <v>65</v>
      </c>
      <c r="B3" s="280" t="s">
        <v>2</v>
      </c>
      <c r="C3" s="281"/>
      <c r="D3" s="281"/>
      <c r="E3" s="281"/>
      <c r="F3" s="282"/>
    </row>
    <row r="4" spans="1:8" ht="60" customHeight="1" thickTop="1" thickBot="1" x14ac:dyDescent="0.3">
      <c r="A4" s="290"/>
      <c r="B4" s="24" t="s">
        <v>66</v>
      </c>
      <c r="C4" s="20" t="s">
        <v>309</v>
      </c>
      <c r="D4" s="24" t="s">
        <v>312</v>
      </c>
      <c r="E4" s="20" t="s">
        <v>310</v>
      </c>
      <c r="F4" s="24" t="s">
        <v>68</v>
      </c>
    </row>
    <row r="5" spans="1:8" ht="23.25" customHeight="1" thickTop="1" thickBot="1" x14ac:dyDescent="0.3">
      <c r="A5" s="13" t="s">
        <v>69</v>
      </c>
      <c r="B5" s="168">
        <f>SUMIF(HK!A:A,"191*",HK!D:D)-SUMIF(HK!A:A,"191*",HK!C:C)</f>
        <v>0</v>
      </c>
      <c r="C5" s="195"/>
      <c r="D5" s="195"/>
      <c r="E5" s="195"/>
      <c r="F5" s="168">
        <f>SUMIF(HK!A:A,"191*",HK!L:L)-SUMIF(HK!A:A,"191*",HK!K:K)</f>
        <v>0</v>
      </c>
      <c r="H5" s="193"/>
    </row>
    <row r="6" spans="1:8" ht="34.5" thickBot="1" x14ac:dyDescent="0.3">
      <c r="A6" s="13" t="s">
        <v>77</v>
      </c>
      <c r="B6" s="168">
        <f>SUMIF(HK!A:A,"192*",HK!D:D)-SUMIF(HK!A:A,"192*",HK!C:C)+SUMIF(HK!A:A,"193*",HK!D:D)-SUMIF(HK!A:A,"193*",HK!C:C)</f>
        <v>0</v>
      </c>
      <c r="C6" s="195"/>
      <c r="D6" s="195"/>
      <c r="E6" s="195"/>
      <c r="F6" s="168">
        <f>SUMIF(HK!A:A,"192*",HK!L:L)-SUMIF(HK!A:A,"192*",HK!K:K)+SUMIF(HK!A:A,"193*",HK!L:L)-SUMIF(HK!A:A,"193*",HK!K:K)</f>
        <v>0</v>
      </c>
      <c r="H6" s="193"/>
    </row>
    <row r="7" spans="1:8" ht="23.25" customHeight="1" thickBot="1" x14ac:dyDescent="0.3">
      <c r="A7" s="13" t="s">
        <v>70</v>
      </c>
      <c r="B7" s="168">
        <f>SUMIF(HK!A:A,"194*",HK!D:D)-SUMIF(HK!A:A,"194*",HK!C:C)</f>
        <v>0</v>
      </c>
      <c r="C7" s="132"/>
      <c r="D7" s="132"/>
      <c r="E7" s="132"/>
      <c r="F7" s="168">
        <f>SUMIF(HK!A:A,"194*",HK!L:L)-SUMIF(HK!A:A,"194*",HK!K:K)</f>
        <v>0</v>
      </c>
      <c r="H7" s="193"/>
    </row>
    <row r="8" spans="1:8" ht="23.25" customHeight="1" thickBot="1" x14ac:dyDescent="0.3">
      <c r="A8" s="13" t="s">
        <v>71</v>
      </c>
      <c r="B8" s="168">
        <f>SUMIF(HK!A:A,"195*",HK!D:D)-SUMIF(HK!A:A,"195*",HK!C:C)</f>
        <v>0</v>
      </c>
      <c r="C8" s="132"/>
      <c r="D8" s="132"/>
      <c r="E8" s="132"/>
      <c r="F8" s="168">
        <f>SUMIF(HK!A:A,"195*",HK!L:L)-SUMIF(HK!A:A,"195*",HK!K:K)</f>
        <v>0</v>
      </c>
      <c r="H8" s="193"/>
    </row>
    <row r="9" spans="1:8" ht="23.25" customHeight="1" thickBot="1" x14ac:dyDescent="0.3">
      <c r="A9" s="13" t="s">
        <v>72</v>
      </c>
      <c r="B9" s="168">
        <f>SUMIF(HK!A:A,"196*",HK!D:D)-SUMIF(HK!A:A,"196*",HK!C:C)</f>
        <v>0</v>
      </c>
      <c r="C9" s="132"/>
      <c r="D9" s="132"/>
      <c r="E9" s="132"/>
      <c r="F9" s="168">
        <f>SUMIF(HK!A:A,"196*",HK!L:L)-SUMIF(HK!A:A,"196*",HK!K:K)</f>
        <v>0</v>
      </c>
      <c r="H9" s="193"/>
    </row>
    <row r="10" spans="1:8" ht="23.25" customHeight="1" thickBot="1" x14ac:dyDescent="0.3">
      <c r="A10" s="13" t="s">
        <v>73</v>
      </c>
      <c r="B10" s="111"/>
      <c r="C10" s="111"/>
      <c r="D10" s="111"/>
      <c r="E10" s="111"/>
      <c r="F10" s="14">
        <f t="shared" ref="F10:F11" si="0">SUM(B10:E10)</f>
        <v>0</v>
      </c>
    </row>
    <row r="11" spans="1:8" ht="23.25" customHeight="1" thickBot="1" x14ac:dyDescent="0.3">
      <c r="A11" s="13" t="s">
        <v>311</v>
      </c>
      <c r="B11" s="111"/>
      <c r="C11" s="111"/>
      <c r="D11" s="111"/>
      <c r="E11" s="111"/>
      <c r="F11" s="14">
        <f t="shared" si="0"/>
        <v>0</v>
      </c>
    </row>
    <row r="12" spans="1:8" ht="23.25" customHeight="1" thickBot="1" x14ac:dyDescent="0.3">
      <c r="A12" s="22" t="s">
        <v>74</v>
      </c>
      <c r="B12" s="43">
        <f>SUM(B5:B11)</f>
        <v>0</v>
      </c>
      <c r="C12" s="43">
        <f t="shared" ref="C12:F12" si="1">SUM(C5:C11)</f>
        <v>0</v>
      </c>
      <c r="D12" s="43">
        <f t="shared" si="1"/>
        <v>0</v>
      </c>
      <c r="E12" s="43">
        <f t="shared" si="1"/>
        <v>0</v>
      </c>
      <c r="F12" s="45">
        <f t="shared" si="1"/>
        <v>0</v>
      </c>
    </row>
    <row r="13" spans="1:8" ht="17.25" thickTop="1" x14ac:dyDescent="0.3">
      <c r="A13" s="2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7"/>
  <sheetViews>
    <sheetView showGridLines="0" zoomScaleNormal="100" workbookViewId="0">
      <selection activeCell="B30" sqref="B30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369</v>
      </c>
    </row>
    <row r="2" spans="1:2" ht="16.5" x14ac:dyDescent="0.3">
      <c r="A2" s="2"/>
    </row>
    <row r="3" spans="1:2" ht="17.25" thickBot="1" x14ac:dyDescent="0.35">
      <c r="A3" s="2" t="s">
        <v>9</v>
      </c>
    </row>
    <row r="4" spans="1:2" ht="24" customHeight="1" thickTop="1" thickBot="1" x14ac:dyDescent="0.3">
      <c r="A4" s="9" t="s">
        <v>73</v>
      </c>
      <c r="B4" s="10" t="s">
        <v>45</v>
      </c>
    </row>
    <row r="5" spans="1:2" ht="24" thickTop="1" thickBot="1" x14ac:dyDescent="0.3">
      <c r="A5" s="11" t="s">
        <v>75</v>
      </c>
      <c r="B5" s="12"/>
    </row>
    <row r="6" spans="1:2" ht="24.75" customHeight="1" thickBot="1" x14ac:dyDescent="0.3">
      <c r="A6" s="15" t="s">
        <v>76</v>
      </c>
      <c r="B6" s="16"/>
    </row>
    <row r="7" spans="1:2" ht="15.75" thickTop="1" x14ac:dyDescent="0.25">
      <c r="A7" s="47"/>
      <c r="B7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B27" sqref="B27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376</v>
      </c>
    </row>
    <row r="2" spans="1:2" ht="16.5" thickTop="1" thickBot="1" x14ac:dyDescent="0.3">
      <c r="A2" s="9" t="s">
        <v>65</v>
      </c>
      <c r="B2" s="10" t="s">
        <v>26</v>
      </c>
    </row>
    <row r="3" spans="1:2" ht="24" customHeight="1" thickTop="1" thickBot="1" x14ac:dyDescent="0.3">
      <c r="A3" s="11" t="s">
        <v>78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4"/>
  <sheetViews>
    <sheetView showGridLines="0" zoomScaleNormal="100" workbookViewId="0">
      <selection activeCell="B13" sqref="B13"/>
    </sheetView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1" t="s">
        <v>377</v>
      </c>
    </row>
    <row r="2" spans="1:7" ht="17.25" thickBot="1" x14ac:dyDescent="0.35">
      <c r="A2" s="2" t="s">
        <v>7</v>
      </c>
    </row>
    <row r="3" spans="1:7" ht="45" customHeight="1" thickTop="1" thickBot="1" x14ac:dyDescent="0.3">
      <c r="A3" s="44" t="s">
        <v>1</v>
      </c>
      <c r="B3" s="49" t="s">
        <v>322</v>
      </c>
      <c r="C3" s="49" t="s">
        <v>80</v>
      </c>
      <c r="D3" s="49" t="s">
        <v>324</v>
      </c>
    </row>
    <row r="4" spans="1:7" ht="20.25" customHeight="1" thickTop="1" thickBot="1" x14ac:dyDescent="0.3">
      <c r="A4" s="13" t="s">
        <v>82</v>
      </c>
      <c r="B4" s="168">
        <f>SUMIF(HK!A:A,"606*",HK!L:L)-SUMIF(HK!A:A,"606*",HK!K:K)</f>
        <v>0</v>
      </c>
      <c r="C4" s="168">
        <f>SUMIF(HKM!A:A,"606*",HKM!L:L)-SUMIF(HKM!A:A,"606*",HKM!K:K)</f>
        <v>0</v>
      </c>
      <c r="D4" s="14"/>
      <c r="G4" s="193"/>
    </row>
    <row r="5" spans="1:7" ht="20.25" customHeight="1" thickBot="1" x14ac:dyDescent="0.3">
      <c r="A5" s="13" t="s">
        <v>83</v>
      </c>
      <c r="B5" s="14"/>
      <c r="C5" s="14"/>
      <c r="D5" s="14"/>
    </row>
    <row r="6" spans="1:7" ht="20.25" customHeight="1" thickBot="1" x14ac:dyDescent="0.3">
      <c r="A6" s="15" t="s">
        <v>84</v>
      </c>
      <c r="B6" s="16"/>
      <c r="C6" s="16"/>
      <c r="D6" s="16">
        <f>D4+D5</f>
        <v>0</v>
      </c>
    </row>
    <row r="7" spans="1:7" ht="15.75" thickTop="1" x14ac:dyDescent="0.25">
      <c r="A7" s="34"/>
      <c r="B7" s="19"/>
      <c r="C7" s="19"/>
      <c r="D7" s="19"/>
    </row>
    <row r="8" spans="1:7" x14ac:dyDescent="0.25">
      <c r="A8" s="34"/>
      <c r="B8" s="19"/>
      <c r="C8" s="19"/>
      <c r="D8" s="19"/>
    </row>
    <row r="9" spans="1:7" ht="15.75" thickBot="1" x14ac:dyDescent="0.3">
      <c r="A9" s="34" t="s">
        <v>90</v>
      </c>
      <c r="B9" s="19"/>
      <c r="C9" s="19"/>
      <c r="D9" s="19"/>
    </row>
    <row r="10" spans="1:7" ht="45" customHeight="1" thickTop="1" thickBot="1" x14ac:dyDescent="0.3">
      <c r="A10" s="44" t="s">
        <v>1</v>
      </c>
      <c r="B10" s="49" t="s">
        <v>322</v>
      </c>
      <c r="C10" s="49" t="s">
        <v>80</v>
      </c>
      <c r="D10" s="49" t="s">
        <v>323</v>
      </c>
    </row>
    <row r="11" spans="1:7" ht="35.25" thickTop="1" thickBot="1" x14ac:dyDescent="0.3">
      <c r="A11" s="13" t="s">
        <v>91</v>
      </c>
      <c r="B11" s="14"/>
      <c r="C11" s="14"/>
      <c r="D11" s="14"/>
    </row>
    <row r="12" spans="1:7" ht="34.5" thickBot="1" x14ac:dyDescent="0.3">
      <c r="A12" s="13" t="s">
        <v>92</v>
      </c>
      <c r="B12" s="14"/>
      <c r="C12" s="14"/>
      <c r="D12" s="14"/>
    </row>
    <row r="13" spans="1:7" ht="15.75" thickBot="1" x14ac:dyDescent="0.3">
      <c r="A13" s="15" t="s">
        <v>84</v>
      </c>
      <c r="B13" s="16">
        <f>B11+B12</f>
        <v>0</v>
      </c>
      <c r="C13" s="16">
        <f t="shared" ref="C13:D13" si="0">C11+C12</f>
        <v>0</v>
      </c>
      <c r="D13" s="16">
        <f t="shared" si="0"/>
        <v>0</v>
      </c>
    </row>
    <row r="14" spans="1:7" ht="17.25" thickTop="1" x14ac:dyDescent="0.3">
      <c r="A1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7"/>
  <sheetViews>
    <sheetView showGridLines="0" zoomScaleNormal="100" workbookViewId="0">
      <selection activeCell="C22" sqref="C22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377</v>
      </c>
    </row>
    <row r="2" spans="1:3" ht="16.5" x14ac:dyDescent="0.3">
      <c r="A2" s="2"/>
    </row>
    <row r="3" spans="1:3" ht="15.75" thickBot="1" x14ac:dyDescent="0.3">
      <c r="A3" s="19" t="s">
        <v>9</v>
      </c>
      <c r="B3" s="19"/>
      <c r="C3" s="19"/>
    </row>
    <row r="4" spans="1:3" ht="45" customHeight="1" thickTop="1" thickBot="1" x14ac:dyDescent="0.3">
      <c r="A4" s="44" t="s">
        <v>85</v>
      </c>
      <c r="B4" s="49" t="s">
        <v>79</v>
      </c>
      <c r="C4" s="49" t="s">
        <v>81</v>
      </c>
    </row>
    <row r="5" spans="1:3" ht="24" thickTop="1" thickBot="1" x14ac:dyDescent="0.3">
      <c r="A5" s="13" t="s">
        <v>86</v>
      </c>
      <c r="B5" s="14"/>
      <c r="C5" s="14"/>
    </row>
    <row r="6" spans="1:3" ht="34.5" thickBot="1" x14ac:dyDescent="0.3">
      <c r="A6" s="13" t="s">
        <v>87</v>
      </c>
      <c r="B6" s="14"/>
      <c r="C6" s="14"/>
    </row>
    <row r="7" spans="1:3" ht="20.25" customHeight="1" thickBot="1" x14ac:dyDescent="0.3">
      <c r="A7" s="13" t="s">
        <v>88</v>
      </c>
      <c r="B7" s="14"/>
      <c r="C7" s="14"/>
    </row>
    <row r="8" spans="1:3" ht="20.25" customHeight="1" thickBot="1" x14ac:dyDescent="0.3">
      <c r="A8" s="15" t="s">
        <v>89</v>
      </c>
      <c r="B8" s="16"/>
      <c r="C8" s="16"/>
    </row>
    <row r="9" spans="1:3" ht="15.75" thickTop="1" x14ac:dyDescent="0.25">
      <c r="A9" s="19"/>
      <c r="B9" s="19"/>
      <c r="C9" s="19"/>
    </row>
    <row r="10" spans="1:3" x14ac:dyDescent="0.25">
      <c r="A10" s="35"/>
      <c r="B10" s="19"/>
      <c r="C10" s="19"/>
    </row>
    <row r="11" spans="1:3" ht="15.75" thickBot="1" x14ac:dyDescent="0.3">
      <c r="A11" s="35" t="s">
        <v>93</v>
      </c>
      <c r="B11" s="19"/>
      <c r="C11" s="19"/>
    </row>
    <row r="12" spans="1:3" ht="45" customHeight="1" thickTop="1" thickBot="1" x14ac:dyDescent="0.3">
      <c r="A12" s="44" t="s">
        <v>94</v>
      </c>
      <c r="B12" s="49" t="s">
        <v>79</v>
      </c>
      <c r="C12" s="49" t="s">
        <v>323</v>
      </c>
    </row>
    <row r="13" spans="1:3" ht="35.25" thickTop="1" thickBot="1" x14ac:dyDescent="0.3">
      <c r="A13" s="13" t="s">
        <v>95</v>
      </c>
      <c r="B13" s="14"/>
      <c r="C13" s="14"/>
    </row>
    <row r="14" spans="1:3" ht="34.5" thickBot="1" x14ac:dyDescent="0.3">
      <c r="A14" s="13" t="s">
        <v>87</v>
      </c>
      <c r="B14" s="14"/>
      <c r="C14" s="14"/>
    </row>
    <row r="15" spans="1:3" ht="20.25" customHeight="1" thickBot="1" x14ac:dyDescent="0.3">
      <c r="A15" s="13" t="s">
        <v>96</v>
      </c>
      <c r="B15" s="14"/>
      <c r="C15" s="14"/>
    </row>
    <row r="16" spans="1:3" ht="20.25" customHeight="1" thickBot="1" x14ac:dyDescent="0.3">
      <c r="A16" s="15" t="s">
        <v>89</v>
      </c>
      <c r="B16" s="16"/>
      <c r="C16" s="16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0"/>
  <sheetViews>
    <sheetView showGridLines="0" zoomScaleNormal="100" workbookViewId="0">
      <selection activeCell="F9" sqref="F9"/>
    </sheetView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1" t="s">
        <v>378</v>
      </c>
    </row>
    <row r="2" spans="1:11" ht="16.5" thickTop="1" thickBot="1" x14ac:dyDescent="0.3">
      <c r="A2" s="275" t="s">
        <v>97</v>
      </c>
      <c r="B2" s="280" t="s">
        <v>2</v>
      </c>
      <c r="C2" s="281"/>
      <c r="D2" s="281"/>
      <c r="E2" s="281"/>
      <c r="F2" s="282"/>
    </row>
    <row r="3" spans="1:11" ht="62.25" customHeight="1" thickTop="1" thickBot="1" x14ac:dyDescent="0.3">
      <c r="A3" s="290"/>
      <c r="B3" s="128" t="s">
        <v>98</v>
      </c>
      <c r="C3" s="27" t="s">
        <v>308</v>
      </c>
      <c r="D3" s="128" t="s">
        <v>312</v>
      </c>
      <c r="E3" s="27" t="s">
        <v>310</v>
      </c>
      <c r="F3" s="128" t="s">
        <v>68</v>
      </c>
    </row>
    <row r="4" spans="1:11" s="3" customFormat="1" ht="33" customHeight="1" thickTop="1" thickBot="1" x14ac:dyDescent="0.3">
      <c r="A4" s="114" t="s">
        <v>100</v>
      </c>
      <c r="B4" s="196">
        <f>SUMIF(SUAM!C:C,"042",SUAM!E:E)+SUMIF(SUAM!C:C,"054",SUAM!E:E)</f>
        <v>76.98</v>
      </c>
      <c r="C4" s="133"/>
      <c r="D4" s="133"/>
      <c r="E4" s="133"/>
      <c r="F4" s="197">
        <f>SUMIF(SUA!C:C,"042",SUA!E:E)+SUMIF(SUA!C:C,"054",SUA!E:E)</f>
        <v>76.98</v>
      </c>
      <c r="G4" s="198"/>
      <c r="H4" s="198"/>
      <c r="I4" s="199"/>
      <c r="K4" s="112"/>
    </row>
    <row r="5" spans="1:11" s="3" customFormat="1" ht="33" customHeight="1" thickBot="1" x14ac:dyDescent="0.3">
      <c r="A5" s="114" t="s">
        <v>101</v>
      </c>
      <c r="B5" s="200">
        <f>SUMIF(SUAM!C:C,"047",SUAM!E:E)+SUMIF(SUAM!C:C,"059",SUAM!E:E)</f>
        <v>0</v>
      </c>
      <c r="C5" s="132"/>
      <c r="D5" s="132"/>
      <c r="E5" s="132"/>
      <c r="F5" s="168">
        <f>SUMIF(SUA!C:C,"047",SUA!E:E)+SUMIF(SUA!C:C,"059",SUA!E:E)</f>
        <v>0</v>
      </c>
      <c r="G5" s="198"/>
      <c r="H5" s="198"/>
      <c r="I5" s="199"/>
      <c r="K5" s="112"/>
    </row>
    <row r="6" spans="1:11" s="3" customFormat="1" ht="33" customHeight="1" thickBot="1" x14ac:dyDescent="0.3">
      <c r="A6" s="114" t="s">
        <v>110</v>
      </c>
      <c r="B6" s="200">
        <f>SUMIF(SUAM!C:C,"048",SUAM!E:E)+SUMIF(SUAM!C:C,"060",SUAM!E:E)</f>
        <v>0</v>
      </c>
      <c r="C6" s="132"/>
      <c r="D6" s="132"/>
      <c r="E6" s="132"/>
      <c r="F6" s="168">
        <f>SUMIF(SUA!C:C,"048",SUA!E:E)+SUMIF(SUA!C:C,"060",SUA!E:E)</f>
        <v>0</v>
      </c>
      <c r="G6" s="198"/>
      <c r="H6" s="198"/>
      <c r="I6" s="199"/>
      <c r="K6" s="112"/>
    </row>
    <row r="7" spans="1:11" s="3" customFormat="1" ht="33" customHeight="1" thickBot="1" x14ac:dyDescent="0.3">
      <c r="A7" s="114" t="s">
        <v>102</v>
      </c>
      <c r="B7" s="200">
        <f>SUMIF(SUAM!C:C,"049",SUAM!E:E)+SUMIF(SUAM!C:C,"061",SUAM!E:E)</f>
        <v>0</v>
      </c>
      <c r="C7" s="132"/>
      <c r="D7" s="132"/>
      <c r="E7" s="132"/>
      <c r="F7" s="168">
        <f>SUMIF(SUA!C:C,"049",SUA!E:E)+SUMIF(SUA!C:C,"061",SUA!E:E)</f>
        <v>0</v>
      </c>
      <c r="G7" s="198"/>
      <c r="H7" s="198"/>
      <c r="I7" s="199"/>
      <c r="K7" s="112"/>
    </row>
    <row r="8" spans="1:11" s="3" customFormat="1" ht="33" customHeight="1" thickBot="1" x14ac:dyDescent="0.3">
      <c r="A8" s="114" t="s">
        <v>103</v>
      </c>
      <c r="B8" s="200">
        <f>SUMIF(SUAM!C:C,"051",SUAM!E:E)+SUMIF(SUAM!C:C,"062",SUAM!E:E)+SUMIF(SUAM!C:C,"063",SUAM!E:E)</f>
        <v>0</v>
      </c>
      <c r="C8" s="132"/>
      <c r="D8" s="132"/>
      <c r="E8" s="132"/>
      <c r="F8" s="168">
        <f>SUMIF(SUA!C:C,"051",SUA!E:E)+SUMIF(SUA!C:C,"062",SUA!E:E)+SUMIF(SUA!C:C,"063",SUA!E:E)</f>
        <v>0</v>
      </c>
      <c r="G8" s="198"/>
      <c r="H8" s="198"/>
      <c r="I8" s="199"/>
      <c r="K8" s="112"/>
    </row>
    <row r="9" spans="1:11" s="3" customFormat="1" ht="33" customHeight="1" thickBot="1" x14ac:dyDescent="0.3">
      <c r="A9" s="115" t="s">
        <v>104</v>
      </c>
      <c r="B9" s="129">
        <f>SUM(D4:D8)</f>
        <v>0</v>
      </c>
      <c r="C9" s="130"/>
      <c r="D9" s="130"/>
      <c r="E9" s="130"/>
      <c r="F9" s="130">
        <f>SUM(F4:F8)</f>
        <v>76.98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D19" sqref="D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379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252" t="s">
        <v>105</v>
      </c>
      <c r="B3" s="253" t="s">
        <v>106</v>
      </c>
      <c r="C3" s="253" t="s">
        <v>107</v>
      </c>
      <c r="D3" s="253" t="s">
        <v>104</v>
      </c>
    </row>
    <row r="4" spans="1:6" ht="22.5" customHeight="1" thickTop="1" thickBot="1" x14ac:dyDescent="0.3">
      <c r="A4" s="48" t="s">
        <v>108</v>
      </c>
      <c r="B4" s="38"/>
      <c r="C4" s="38"/>
      <c r="D4" s="39"/>
    </row>
    <row r="5" spans="1:6" ht="22.5" customHeight="1" thickTop="1" thickBot="1" x14ac:dyDescent="0.3">
      <c r="A5" s="13" t="s">
        <v>109</v>
      </c>
      <c r="B5" s="21"/>
      <c r="C5" s="21"/>
      <c r="D5" s="202">
        <f>SUMIF(SUA!C:C,"042",SUA!F:F)</f>
        <v>0</v>
      </c>
      <c r="E5" s="203"/>
      <c r="F5" s="199"/>
    </row>
    <row r="6" spans="1:6" ht="22.5" customHeight="1" thickBot="1" x14ac:dyDescent="0.3">
      <c r="A6" s="13" t="s">
        <v>101</v>
      </c>
      <c r="B6" s="21"/>
      <c r="C6" s="21"/>
      <c r="D6" s="202">
        <f>SUMIF(SUA!C:C,"047",SUA!F:F)</f>
        <v>0</v>
      </c>
      <c r="E6" s="203"/>
      <c r="F6" s="199"/>
    </row>
    <row r="7" spans="1:6" ht="22.5" customHeight="1" thickBot="1" x14ac:dyDescent="0.3">
      <c r="A7" s="13" t="s">
        <v>110</v>
      </c>
      <c r="B7" s="21"/>
      <c r="C7" s="21"/>
      <c r="D7" s="202">
        <f>SUMIF(SUA!C:C,"048",SUA!F:F)</f>
        <v>0</v>
      </c>
      <c r="E7" s="203"/>
      <c r="F7" s="199"/>
    </row>
    <row r="8" spans="1:6" ht="22.5" customHeight="1" thickBot="1" x14ac:dyDescent="0.3">
      <c r="A8" s="13" t="s">
        <v>102</v>
      </c>
      <c r="B8" s="21"/>
      <c r="C8" s="21"/>
      <c r="D8" s="202">
        <f>SUMIF(SUA!C:C,"049",SUA!F:F)</f>
        <v>0</v>
      </c>
      <c r="E8" s="203"/>
      <c r="F8" s="199"/>
    </row>
    <row r="9" spans="1:6" ht="22.5" customHeight="1" thickBot="1" x14ac:dyDescent="0.3">
      <c r="A9" s="13" t="s">
        <v>103</v>
      </c>
      <c r="B9" s="21"/>
      <c r="C9" s="21"/>
      <c r="D9" s="202">
        <f>SUMIF(SUA!C:C,"051",SUA!F:F)</f>
        <v>0</v>
      </c>
      <c r="E9" s="203"/>
      <c r="F9" s="199"/>
    </row>
    <row r="10" spans="1:6" ht="22.5" customHeight="1" thickBot="1" x14ac:dyDescent="0.3">
      <c r="A10" s="22" t="s">
        <v>111</v>
      </c>
      <c r="B10" s="43">
        <f>SUM(B5:B9)</f>
        <v>0</v>
      </c>
      <c r="C10" s="43">
        <f>SUM(C5:C9)</f>
        <v>0</v>
      </c>
      <c r="D10" s="194">
        <f>SUM(D5:D9)</f>
        <v>0</v>
      </c>
      <c r="E10" s="203"/>
      <c r="F10" s="203"/>
    </row>
    <row r="11" spans="1:6" ht="22.5" customHeight="1" thickTop="1" thickBot="1" x14ac:dyDescent="0.3">
      <c r="A11" s="48" t="s">
        <v>112</v>
      </c>
      <c r="B11" s="38"/>
      <c r="C11" s="38"/>
      <c r="D11" s="192"/>
      <c r="E11" s="203"/>
      <c r="F11" s="203"/>
    </row>
    <row r="12" spans="1:6" ht="22.5" customHeight="1" thickTop="1" thickBot="1" x14ac:dyDescent="0.3">
      <c r="A12" s="13" t="s">
        <v>113</v>
      </c>
      <c r="B12" s="21"/>
      <c r="C12" s="21"/>
      <c r="D12" s="202">
        <f>SUMIF(SUA!C:C,"054",SUA!F:F)</f>
        <v>36739.870000000003</v>
      </c>
      <c r="E12" s="203"/>
      <c r="F12" s="199"/>
    </row>
    <row r="13" spans="1:6" ht="22.5" customHeight="1" thickBot="1" x14ac:dyDescent="0.3">
      <c r="A13" s="13" t="s">
        <v>101</v>
      </c>
      <c r="B13" s="21"/>
      <c r="C13" s="21"/>
      <c r="D13" s="202">
        <f>SUMIF(SUA!C:C,"059",SUA!F:F)</f>
        <v>0</v>
      </c>
      <c r="E13" s="203"/>
      <c r="F13" s="199"/>
    </row>
    <row r="14" spans="1:6" ht="22.5" customHeight="1" thickBot="1" x14ac:dyDescent="0.3">
      <c r="A14" s="13" t="s">
        <v>110</v>
      </c>
      <c r="B14" s="21"/>
      <c r="C14" s="21"/>
      <c r="D14" s="202">
        <f>SUMIF(SUA!C:C,"060",SUA!F:F)</f>
        <v>0</v>
      </c>
      <c r="E14" s="203"/>
      <c r="F14" s="199"/>
    </row>
    <row r="15" spans="1:6" ht="22.5" customHeight="1" thickBot="1" x14ac:dyDescent="0.3">
      <c r="A15" s="13" t="s">
        <v>102</v>
      </c>
      <c r="B15" s="21"/>
      <c r="C15" s="21"/>
      <c r="D15" s="202">
        <f>SUMIF(SUA!C:C,"061",SUA!F:F)</f>
        <v>0</v>
      </c>
      <c r="E15" s="203"/>
      <c r="F15" s="199"/>
    </row>
    <row r="16" spans="1:6" ht="22.5" customHeight="1" thickBot="1" x14ac:dyDescent="0.3">
      <c r="A16" s="13" t="s">
        <v>114</v>
      </c>
      <c r="B16" s="21"/>
      <c r="C16" s="21"/>
      <c r="D16" s="202">
        <f>SUMIF(SUA!C:C,"062",SUA!F:F)</f>
        <v>0</v>
      </c>
      <c r="E16" s="203"/>
      <c r="F16" s="199"/>
    </row>
    <row r="17" spans="1:6" ht="22.5" customHeight="1" thickBot="1" x14ac:dyDescent="0.3">
      <c r="A17" s="13" t="s">
        <v>115</v>
      </c>
      <c r="B17" s="21"/>
      <c r="C17" s="21"/>
      <c r="D17" s="202">
        <f>SUMIF(SUA!C:C,"063",SUA!F:F)</f>
        <v>0</v>
      </c>
      <c r="E17" s="203"/>
      <c r="F17" s="199"/>
    </row>
    <row r="18" spans="1:6" ht="22.5" customHeight="1" thickBot="1" x14ac:dyDescent="0.3">
      <c r="A18" s="13" t="s">
        <v>103</v>
      </c>
      <c r="B18" s="21"/>
      <c r="C18" s="21"/>
      <c r="D18" s="202">
        <f>SUMIF(SUA!C:C,"065",SUA!F:F)</f>
        <v>0</v>
      </c>
      <c r="E18" s="203"/>
      <c r="F18" s="199"/>
    </row>
    <row r="19" spans="1:6" ht="22.5" customHeight="1" thickBot="1" x14ac:dyDescent="0.3">
      <c r="A19" s="22" t="s">
        <v>116</v>
      </c>
      <c r="B19" s="43">
        <f>SUM(B12:B18)</f>
        <v>0</v>
      </c>
      <c r="C19" s="43">
        <f>SUM(C12:C18)</f>
        <v>0</v>
      </c>
      <c r="D19" s="45">
        <f>SUM(D12:D18)</f>
        <v>36739.870000000003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5"/>
  <sheetViews>
    <sheetView showGridLines="0" zoomScaleNormal="100" workbookViewId="0">
      <selection activeCell="D32" sqref="D32"/>
    </sheetView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94" t="s">
        <v>380</v>
      </c>
      <c r="B1" s="294"/>
      <c r="C1" s="294"/>
    </row>
    <row r="2" spans="1:3" ht="16.5" thickTop="1" thickBot="1" x14ac:dyDescent="0.3">
      <c r="A2" s="275" t="s">
        <v>117</v>
      </c>
      <c r="B2" s="295" t="s">
        <v>2</v>
      </c>
      <c r="C2" s="296"/>
    </row>
    <row r="3" spans="1:3" ht="16.5" thickTop="1" thickBot="1" x14ac:dyDescent="0.3">
      <c r="A3" s="290"/>
      <c r="B3" s="253" t="s">
        <v>118</v>
      </c>
      <c r="C3" s="44" t="s">
        <v>119</v>
      </c>
    </row>
    <row r="4" spans="1:3" ht="24" thickTop="1" thickBot="1" x14ac:dyDescent="0.3">
      <c r="A4" s="11" t="s">
        <v>120</v>
      </c>
      <c r="B4" s="32"/>
      <c r="C4" s="12"/>
    </row>
    <row r="5" spans="1:3" ht="23.25" thickBot="1" x14ac:dyDescent="0.3">
      <c r="A5" s="13" t="s">
        <v>121</v>
      </c>
      <c r="B5" s="46" t="s">
        <v>10</v>
      </c>
      <c r="C5" s="1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9" t="s">
        <v>1</v>
      </c>
      <c r="B2" s="10" t="s">
        <v>2</v>
      </c>
      <c r="C2" s="10" t="s">
        <v>3</v>
      </c>
    </row>
    <row r="3" spans="1:3" ht="22.5" customHeight="1" thickTop="1" thickBot="1" x14ac:dyDescent="0.3">
      <c r="A3" s="11" t="s">
        <v>4</v>
      </c>
      <c r="B3" s="12"/>
      <c r="C3" s="12"/>
    </row>
    <row r="4" spans="1:3" ht="22.5" customHeight="1" thickBot="1" x14ac:dyDescent="0.3">
      <c r="A4" s="13" t="s">
        <v>5</v>
      </c>
      <c r="B4" s="14"/>
      <c r="C4" s="14"/>
    </row>
    <row r="5" spans="1:3" ht="22.5" customHeight="1" thickBot="1" x14ac:dyDescent="0.3">
      <c r="A5" s="15" t="s">
        <v>6</v>
      </c>
      <c r="B5" s="16"/>
      <c r="C5" s="16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381</v>
      </c>
    </row>
    <row r="2" spans="1:3" ht="17.25" thickBot="1" x14ac:dyDescent="0.35">
      <c r="A2" s="4" t="s">
        <v>122</v>
      </c>
    </row>
    <row r="3" spans="1:3" ht="24" thickTop="1" thickBot="1" x14ac:dyDescent="0.3">
      <c r="A3" s="245" t="s">
        <v>105</v>
      </c>
      <c r="B3" s="249" t="s">
        <v>2</v>
      </c>
      <c r="C3" s="249" t="s">
        <v>3</v>
      </c>
    </row>
    <row r="4" spans="1:3" ht="16.5" thickTop="1" thickBot="1" x14ac:dyDescent="0.3">
      <c r="A4" s="113" t="s">
        <v>123</v>
      </c>
      <c r="B4" s="204">
        <f>SUMIF(SUA!C:C,"072",SUA!F:F)</f>
        <v>46103.5</v>
      </c>
      <c r="C4" s="205">
        <f>SUMIF(SUA!C:C,"072",SUA!G:G)</f>
        <v>14443.01</v>
      </c>
    </row>
    <row r="5" spans="1:3" ht="15.75" thickBot="1" x14ac:dyDescent="0.3">
      <c r="A5" s="114" t="s">
        <v>124</v>
      </c>
      <c r="B5" s="206">
        <f>SUMIF(SUA!C:C,"073",SUA!F:F)-(SUMIF(HK!A:A,"261*",HK!K:K)+SUMIF(HK!A:A,"261*",HK!L:L))</f>
        <v>5482.4</v>
      </c>
      <c r="C5" s="207">
        <f>SUMIF(SUA!C:C,"073",SUA!G:G)-(SUMIF(HK!A:A,"261*",HK!C:C)+SUMIF(HK!A:A,"261*",HK!D:D))</f>
        <v>4141.16</v>
      </c>
    </row>
    <row r="6" spans="1:3" ht="15.75" thickBot="1" x14ac:dyDescent="0.3">
      <c r="A6" s="114" t="s">
        <v>125</v>
      </c>
      <c r="B6" s="206">
        <f>SUMIF(SUA!C:C,"030",SUA!F:F)</f>
        <v>0</v>
      </c>
      <c r="C6" s="207">
        <f>SUMIF(SUA!C:C,"030",SUA!G:G)</f>
        <v>0</v>
      </c>
    </row>
    <row r="7" spans="1:3" ht="15.75" thickBot="1" x14ac:dyDescent="0.3">
      <c r="A7" s="114" t="s">
        <v>126</v>
      </c>
      <c r="B7" s="206">
        <f>SUMIF(HK!A:A,"261*",HK!K:K)-SUMIF(HK!A:A,"261*",HK!L:L)</f>
        <v>0</v>
      </c>
      <c r="C7" s="207">
        <f>SUMIF(HK!A:A,"261*",HK!C:C)-SUMIF(HK!A:A,"261*",HK!D:D)</f>
        <v>0</v>
      </c>
    </row>
    <row r="8" spans="1:3" ht="15.75" thickBot="1" x14ac:dyDescent="0.3">
      <c r="A8" s="115" t="s">
        <v>8</v>
      </c>
      <c r="B8" s="116">
        <f>SUM(B4:B7)</f>
        <v>51585.9</v>
      </c>
      <c r="C8" s="45">
        <f>SUM(C4:C7)</f>
        <v>18584.169999999998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3"/>
  <sheetViews>
    <sheetView showGridLines="0" zoomScaleNormal="100" workbookViewId="0">
      <selection activeCell="E4" sqref="E4:E5"/>
    </sheetView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1" t="s">
        <v>381</v>
      </c>
    </row>
    <row r="2" spans="1:7" ht="17.25" thickBot="1" x14ac:dyDescent="0.35">
      <c r="A2" s="4" t="s">
        <v>9</v>
      </c>
    </row>
    <row r="3" spans="1:7" ht="16.5" thickTop="1" thickBot="1" x14ac:dyDescent="0.3">
      <c r="A3" s="275" t="s">
        <v>127</v>
      </c>
      <c r="B3" s="280" t="s">
        <v>2</v>
      </c>
      <c r="C3" s="281"/>
      <c r="D3" s="281"/>
      <c r="E3" s="282"/>
    </row>
    <row r="4" spans="1:7" ht="18" customHeight="1" thickTop="1" x14ac:dyDescent="0.25">
      <c r="A4" s="276"/>
      <c r="B4" s="276" t="s">
        <v>23</v>
      </c>
      <c r="C4" s="276" t="s">
        <v>18</v>
      </c>
      <c r="D4" s="276" t="s">
        <v>19</v>
      </c>
      <c r="E4" s="276" t="s">
        <v>21</v>
      </c>
    </row>
    <row r="5" spans="1:7" ht="17.25" customHeight="1" thickBot="1" x14ac:dyDescent="0.3">
      <c r="A5" s="290"/>
      <c r="B5" s="290"/>
      <c r="C5" s="290"/>
      <c r="D5" s="290"/>
      <c r="E5" s="290"/>
    </row>
    <row r="6" spans="1:7" ht="21.75" customHeight="1" thickTop="1" thickBot="1" x14ac:dyDescent="0.3">
      <c r="A6" s="13" t="s">
        <v>128</v>
      </c>
      <c r="B6" s="168">
        <f>SUMIF(HK!A:A,"251*",HK!C:C)-SUMIF(HK!A:A,"251*",HK!D:D)</f>
        <v>0</v>
      </c>
      <c r="C6" s="132"/>
      <c r="D6" s="132"/>
      <c r="E6" s="202">
        <f>SUMIF(HK!A:A,"251*",HK!K:K)-SUMIF(HK!A:A,"251*",HK!L:L)</f>
        <v>0</v>
      </c>
      <c r="F6" s="203"/>
      <c r="G6" s="199"/>
    </row>
    <row r="7" spans="1:7" ht="21.75" customHeight="1" thickBot="1" x14ac:dyDescent="0.3">
      <c r="A7" s="13" t="s">
        <v>129</v>
      </c>
      <c r="B7" s="168">
        <f>SUMIF(HK!A:A,"253*",HK!C:C)-SUMIF(HK!A:A,"253*",HK!D:D)</f>
        <v>0</v>
      </c>
      <c r="C7" s="132"/>
      <c r="D7" s="132"/>
      <c r="E7" s="202">
        <f>SUMIF(HK!A:A,"253*",HK!K:K)-SUMIF(HK!A:A,"253*",HK!L:L)</f>
        <v>0</v>
      </c>
      <c r="F7" s="203"/>
      <c r="G7" s="199"/>
    </row>
    <row r="8" spans="1:7" ht="21.75" customHeight="1" thickBot="1" x14ac:dyDescent="0.3">
      <c r="A8" s="13" t="s">
        <v>130</v>
      </c>
      <c r="B8" s="168"/>
      <c r="C8" s="132"/>
      <c r="D8" s="132"/>
      <c r="E8" s="202"/>
      <c r="F8" s="203"/>
      <c r="G8" s="203"/>
    </row>
    <row r="9" spans="1:7" ht="21.75" customHeight="1" thickBot="1" x14ac:dyDescent="0.3">
      <c r="A9" s="13" t="s">
        <v>131</v>
      </c>
      <c r="B9" s="168">
        <f>SUMIF(HK!A:A,"256*",HK!C:C)-SUMIF(HK!A:A,"256*",HK!D:D)</f>
        <v>0</v>
      </c>
      <c r="C9" s="132"/>
      <c r="D9" s="132"/>
      <c r="E9" s="202">
        <f>SUMIF(HK!A:A,"256*",HK!K:K)-SUMIF(HK!A:A,"256*",HK!L:L)</f>
        <v>0</v>
      </c>
      <c r="F9" s="203"/>
      <c r="G9" s="199"/>
    </row>
    <row r="10" spans="1:7" ht="21.75" customHeight="1" thickBot="1" x14ac:dyDescent="0.3">
      <c r="A10" s="13" t="s">
        <v>132</v>
      </c>
      <c r="B10" s="168">
        <f>SUMIF(HK!A:A,"257*",HK!C:C)-SUMIF(HK!A:A,"257*",HK!D:D)</f>
        <v>0</v>
      </c>
      <c r="C10" s="132"/>
      <c r="D10" s="132"/>
      <c r="E10" s="202">
        <f>SUMIF(HK!A:A,"257*",HK!K:K)-SUMIF(HK!A:A,"257*",HK!L:L)</f>
        <v>0</v>
      </c>
      <c r="F10" s="203"/>
      <c r="G10" s="199"/>
    </row>
    <row r="11" spans="1:7" ht="21.75" customHeight="1" thickBot="1" x14ac:dyDescent="0.3">
      <c r="A11" s="13" t="s">
        <v>133</v>
      </c>
      <c r="B11" s="168">
        <f>SUMIF(HK!A:A,"259*",HK!C:C)-SUMIF(HK!A:A,"259*",HK!D:D)</f>
        <v>0</v>
      </c>
      <c r="C11" s="132"/>
      <c r="D11" s="132"/>
      <c r="E11" s="202">
        <f>SUMIF(HK!A:A,"259*",HK!K:K)-SUMIF(HK!A:A,"259*",HK!L:L)</f>
        <v>0</v>
      </c>
      <c r="F11" s="203"/>
      <c r="G11" s="199"/>
    </row>
    <row r="12" spans="1:7" ht="21.75" customHeight="1" thickBot="1" x14ac:dyDescent="0.3">
      <c r="A12" s="22" t="s">
        <v>134</v>
      </c>
      <c r="B12" s="43">
        <f>SUM(B6:B11)</f>
        <v>0</v>
      </c>
      <c r="C12" s="43">
        <f t="shared" ref="C12:E12" si="0">SUM(C6:C11)</f>
        <v>0</v>
      </c>
      <c r="D12" s="43">
        <f t="shared" si="0"/>
        <v>0</v>
      </c>
      <c r="E12" s="45">
        <f t="shared" si="0"/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"/>
  <sheetViews>
    <sheetView showGridLines="0" zoomScaleNormal="100" workbookViewId="0">
      <selection activeCell="F4" sqref="F4"/>
    </sheetView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94" t="s">
        <v>382</v>
      </c>
      <c r="B1" s="294"/>
      <c r="C1" s="294"/>
      <c r="D1" s="294"/>
      <c r="E1" s="294"/>
      <c r="F1" s="294"/>
      <c r="G1" s="3"/>
    </row>
    <row r="2" spans="1:10" ht="55.5" customHeight="1" thickTop="1" thickBot="1" x14ac:dyDescent="0.3">
      <c r="A2" s="44" t="s">
        <v>135</v>
      </c>
      <c r="B2" s="44" t="s">
        <v>136</v>
      </c>
      <c r="C2" s="44" t="s">
        <v>137</v>
      </c>
      <c r="D2" s="44" t="s">
        <v>67</v>
      </c>
      <c r="E2" s="44" t="s">
        <v>310</v>
      </c>
      <c r="F2" s="44" t="s">
        <v>138</v>
      </c>
    </row>
    <row r="3" spans="1:10" ht="23.25" customHeight="1" thickTop="1" thickBot="1" x14ac:dyDescent="0.3">
      <c r="A3" s="50" t="s">
        <v>132</v>
      </c>
      <c r="B3" s="168">
        <f>SUMIF(SUAM!C:C,"069",SUAM!E:E)</f>
        <v>0</v>
      </c>
      <c r="C3" s="208"/>
      <c r="D3" s="208"/>
      <c r="E3" s="208"/>
      <c r="F3" s="209">
        <f>SUMIF(SUA!C:C,"069",SUA!E:E)</f>
        <v>0</v>
      </c>
      <c r="G3" s="203"/>
      <c r="H3" s="199"/>
      <c r="J3" s="112"/>
    </row>
    <row r="4" spans="1:10" ht="23.25" customHeight="1" thickBot="1" x14ac:dyDescent="0.3">
      <c r="A4" s="13" t="s">
        <v>133</v>
      </c>
      <c r="B4" s="168">
        <f>SUMIF(SUAM!C:C,"070",SUAM!E:E)</f>
        <v>0</v>
      </c>
      <c r="C4" s="208"/>
      <c r="D4" s="208"/>
      <c r="E4" s="208"/>
      <c r="F4" s="209">
        <f>SUMIF(SUA!C:C,"070",SUA!E:E)</f>
        <v>0</v>
      </c>
      <c r="G4" s="203"/>
      <c r="H4" s="199"/>
      <c r="J4" s="112"/>
    </row>
    <row r="5" spans="1:10" ht="23.25" customHeight="1" thickBot="1" x14ac:dyDescent="0.3">
      <c r="A5" s="22" t="s">
        <v>134</v>
      </c>
      <c r="B5" s="59">
        <f>SUM(B3:B4)</f>
        <v>0</v>
      </c>
      <c r="C5" s="59">
        <f>SUM(C3:C4)</f>
        <v>0</v>
      </c>
      <c r="D5" s="59">
        <f>SUM(D3:D4)</f>
        <v>0</v>
      </c>
      <c r="E5" s="59">
        <f>SUM(E3:E4)</f>
        <v>0</v>
      </c>
      <c r="F5" s="60">
        <f t="shared" ref="F5" si="0">SUM(B5:E5)</f>
        <v>0</v>
      </c>
    </row>
    <row r="6" spans="1:10" ht="15.75" thickTop="1" x14ac:dyDescent="0.25"/>
    <row r="10" spans="1:10" x14ac:dyDescent="0.25">
      <c r="B10" s="19"/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"/>
  <sheetViews>
    <sheetView showGridLines="0" zoomScaleNormal="100" workbookViewId="0">
      <selection activeCell="B12" sqref="B12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94" t="s">
        <v>383</v>
      </c>
      <c r="B1" s="294"/>
      <c r="C1" s="3"/>
    </row>
    <row r="2" spans="1:3" ht="16.5" thickTop="1" thickBot="1" x14ac:dyDescent="0.3">
      <c r="A2" s="53" t="s">
        <v>105</v>
      </c>
      <c r="B2" s="54" t="s">
        <v>26</v>
      </c>
    </row>
    <row r="3" spans="1:3" ht="24" thickTop="1" thickBot="1" x14ac:dyDescent="0.3">
      <c r="A3" s="11" t="s">
        <v>139</v>
      </c>
      <c r="B3" s="55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8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s="3" customFormat="1" ht="36.75" customHeight="1" thickBot="1" x14ac:dyDescent="0.35">
      <c r="A1" s="294" t="s">
        <v>384</v>
      </c>
      <c r="B1" s="294"/>
      <c r="C1" s="294"/>
      <c r="D1" s="294"/>
    </row>
    <row r="2" spans="1:4" ht="44.25" customHeight="1" thickTop="1" thickBot="1" x14ac:dyDescent="0.3">
      <c r="A2" s="62" t="s">
        <v>135</v>
      </c>
      <c r="B2" s="26" t="s">
        <v>313</v>
      </c>
      <c r="C2" s="26" t="s">
        <v>314</v>
      </c>
      <c r="D2" s="26" t="s">
        <v>315</v>
      </c>
    </row>
    <row r="3" spans="1:4" ht="16.5" thickTop="1" thickBot="1" x14ac:dyDescent="0.3">
      <c r="A3" s="50" t="s">
        <v>128</v>
      </c>
      <c r="B3" s="57"/>
      <c r="C3" s="57"/>
      <c r="D3" s="58"/>
    </row>
    <row r="4" spans="1:4" ht="15.75" thickBot="1" x14ac:dyDescent="0.3">
      <c r="A4" s="50" t="s">
        <v>129</v>
      </c>
      <c r="B4" s="57"/>
      <c r="C4" s="57"/>
      <c r="D4" s="58"/>
    </row>
    <row r="5" spans="1:4" ht="15.75" thickBot="1" x14ac:dyDescent="0.3">
      <c r="A5" s="50" t="s">
        <v>140</v>
      </c>
      <c r="B5" s="57"/>
      <c r="C5" s="57"/>
      <c r="D5" s="58"/>
    </row>
    <row r="6" spans="1:4" ht="15.75" thickBot="1" x14ac:dyDescent="0.3">
      <c r="A6" s="50" t="s">
        <v>132</v>
      </c>
      <c r="B6" s="57"/>
      <c r="C6" s="57"/>
      <c r="D6" s="58"/>
    </row>
    <row r="7" spans="1:4" ht="26.25" customHeight="1" thickBot="1" x14ac:dyDescent="0.3">
      <c r="A7" s="64" t="s">
        <v>134</v>
      </c>
      <c r="B7" s="63"/>
      <c r="C7" s="63"/>
      <c r="D7" s="56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1" t="s">
        <v>385</v>
      </c>
    </row>
    <row r="2" spans="1:7" ht="36.75" customHeight="1" thickTop="1" thickBot="1" x14ac:dyDescent="0.3">
      <c r="A2" s="297" t="s">
        <v>1</v>
      </c>
      <c r="B2" s="300" t="s">
        <v>2</v>
      </c>
      <c r="C2" s="301"/>
      <c r="D2" s="302"/>
      <c r="E2" s="280" t="s">
        <v>325</v>
      </c>
      <c r="F2" s="281"/>
      <c r="G2" s="282"/>
    </row>
    <row r="3" spans="1:7" ht="16.5" thickTop="1" thickBot="1" x14ac:dyDescent="0.3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46.5" thickTop="1" thickBot="1" x14ac:dyDescent="0.3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customHeight="1" thickTop="1" thickBot="1" x14ac:dyDescent="0.3">
      <c r="A5" s="251" t="s">
        <v>145</v>
      </c>
      <c r="B5" s="57"/>
      <c r="C5" s="57"/>
      <c r="D5" s="57"/>
      <c r="E5" s="57"/>
      <c r="F5" s="57"/>
      <c r="G5" s="58"/>
    </row>
    <row r="6" spans="1:7" ht="15.75" thickBot="1" x14ac:dyDescent="0.3">
      <c r="A6" s="251" t="s">
        <v>146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303" t="s">
        <v>386</v>
      </c>
      <c r="B1" s="303"/>
    </row>
    <row r="2" spans="1:2" ht="15.75" thickBot="1" x14ac:dyDescent="0.3">
      <c r="A2" s="19" t="s">
        <v>7</v>
      </c>
      <c r="B2" s="19"/>
    </row>
    <row r="3" spans="1:2" ht="16.5" thickTop="1" thickBot="1" x14ac:dyDescent="0.3">
      <c r="A3" s="62" t="s">
        <v>105</v>
      </c>
      <c r="B3" s="250" t="s">
        <v>3</v>
      </c>
    </row>
    <row r="4" spans="1:2" ht="16.5" thickTop="1" thickBot="1" x14ac:dyDescent="0.3">
      <c r="A4" s="51" t="s">
        <v>147</v>
      </c>
      <c r="B4" s="216">
        <f>IF(SUMIF(SUP!C:C,"100",SUP!E:E)&gt; 0,SUMIF(SUP!C:C,"100",SUP!E:E), 0)</f>
        <v>0</v>
      </c>
    </row>
    <row r="5" spans="1:2" ht="16.5" thickTop="1" thickBot="1" x14ac:dyDescent="0.3">
      <c r="A5" s="51" t="s">
        <v>148</v>
      </c>
      <c r="B5" s="213" t="s">
        <v>2</v>
      </c>
    </row>
    <row r="6" spans="1:2" ht="16.5" thickTop="1" thickBot="1" x14ac:dyDescent="0.3">
      <c r="A6" s="251" t="s">
        <v>149</v>
      </c>
      <c r="B6" s="214"/>
    </row>
    <row r="7" spans="1:2" ht="15.75" thickBot="1" x14ac:dyDescent="0.3">
      <c r="A7" s="251" t="s">
        <v>150</v>
      </c>
      <c r="B7" s="214"/>
    </row>
    <row r="8" spans="1:2" ht="15.75" thickBot="1" x14ac:dyDescent="0.3">
      <c r="A8" s="251" t="s">
        <v>151</v>
      </c>
      <c r="B8" s="214"/>
    </row>
    <row r="9" spans="1:2" ht="15.75" thickBot="1" x14ac:dyDescent="0.3">
      <c r="A9" s="251" t="s">
        <v>152</v>
      </c>
      <c r="B9" s="214"/>
    </row>
    <row r="10" spans="1:2" ht="15.75" thickBot="1" x14ac:dyDescent="0.3">
      <c r="A10" s="251" t="s">
        <v>153</v>
      </c>
      <c r="B10" s="214"/>
    </row>
    <row r="11" spans="1:2" ht="15.75" thickBot="1" x14ac:dyDescent="0.3">
      <c r="A11" s="251" t="s">
        <v>154</v>
      </c>
      <c r="B11" s="214"/>
    </row>
    <row r="12" spans="1:2" ht="15.75" thickBot="1" x14ac:dyDescent="0.3">
      <c r="A12" s="251" t="s">
        <v>155</v>
      </c>
      <c r="B12" s="214"/>
    </row>
    <row r="13" spans="1:2" ht="15.75" thickBot="1" x14ac:dyDescent="0.3">
      <c r="A13" s="251" t="s">
        <v>156</v>
      </c>
      <c r="B13" s="214"/>
    </row>
    <row r="14" spans="1:2" ht="15.75" thickBot="1" x14ac:dyDescent="0.3">
      <c r="A14" s="51" t="s">
        <v>8</v>
      </c>
      <c r="B14" s="215">
        <f>SUM(B6:B13)</f>
        <v>0</v>
      </c>
    </row>
    <row r="15" spans="1:2" ht="15.75" thickTop="1" x14ac:dyDescent="0.25">
      <c r="A15" s="19"/>
      <c r="B15" s="181"/>
    </row>
    <row r="16" spans="1:2" ht="15.75" thickBot="1" x14ac:dyDescent="0.3">
      <c r="A16" s="19" t="s">
        <v>9</v>
      </c>
      <c r="B16" s="181"/>
    </row>
    <row r="17" spans="1:2" ht="16.5" thickTop="1" thickBot="1" x14ac:dyDescent="0.3">
      <c r="A17" s="62" t="s">
        <v>105</v>
      </c>
      <c r="B17" s="248" t="s">
        <v>3</v>
      </c>
    </row>
    <row r="18" spans="1:2" ht="16.5" thickTop="1" thickBot="1" x14ac:dyDescent="0.3">
      <c r="A18" s="51" t="s">
        <v>157</v>
      </c>
      <c r="B18" s="216">
        <f>IF(SUMIF(SUP!C:C,"100",SUP!E:E)&gt; 0,0,SUMIF(SUP!C:C,"100",SUP!E:E))</f>
        <v>-23624.52</v>
      </c>
    </row>
    <row r="19" spans="1:2" ht="16.5" thickTop="1" thickBot="1" x14ac:dyDescent="0.3">
      <c r="A19" s="51" t="s">
        <v>158</v>
      </c>
      <c r="B19" s="213" t="s">
        <v>2</v>
      </c>
    </row>
    <row r="20" spans="1:2" ht="16.5" thickTop="1" thickBot="1" x14ac:dyDescent="0.3">
      <c r="A20" s="251" t="s">
        <v>159</v>
      </c>
      <c r="B20" s="214"/>
    </row>
    <row r="21" spans="1:2" ht="15.75" thickBot="1" x14ac:dyDescent="0.3">
      <c r="A21" s="251" t="s">
        <v>160</v>
      </c>
      <c r="B21" s="58"/>
    </row>
    <row r="22" spans="1:2" ht="15.75" thickBot="1" x14ac:dyDescent="0.3">
      <c r="A22" s="251" t="s">
        <v>161</v>
      </c>
      <c r="B22" s="58"/>
    </row>
    <row r="23" spans="1:2" ht="15.75" thickBot="1" x14ac:dyDescent="0.3">
      <c r="A23" s="251" t="s">
        <v>162</v>
      </c>
      <c r="B23" s="58"/>
    </row>
    <row r="24" spans="1:2" ht="15.75" thickBot="1" x14ac:dyDescent="0.3">
      <c r="A24" s="251" t="s">
        <v>163</v>
      </c>
      <c r="B24" s="58"/>
    </row>
    <row r="25" spans="1:2" ht="15.75" thickBot="1" x14ac:dyDescent="0.3">
      <c r="A25" s="251" t="s">
        <v>156</v>
      </c>
      <c r="B25" s="58"/>
    </row>
    <row r="26" spans="1:2" ht="15.75" thickBot="1" x14ac:dyDescent="0.3">
      <c r="A26" s="51" t="s">
        <v>164</v>
      </c>
      <c r="B26" s="56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274" t="s">
        <v>406</v>
      </c>
      <c r="B1" s="19"/>
      <c r="C1" s="19"/>
      <c r="D1" s="19"/>
      <c r="E1" s="19"/>
      <c r="F1" s="19"/>
    </row>
    <row r="2" spans="1:9" ht="15.75" thickBot="1" x14ac:dyDescent="0.3">
      <c r="A2" s="19" t="s">
        <v>7</v>
      </c>
      <c r="B2" s="19"/>
      <c r="C2" s="19"/>
      <c r="D2" s="19"/>
      <c r="E2" s="19"/>
      <c r="F2" s="19"/>
    </row>
    <row r="3" spans="1:9" ht="16.5" thickTop="1" thickBot="1" x14ac:dyDescent="0.3">
      <c r="A3" s="297" t="s">
        <v>105</v>
      </c>
      <c r="B3" s="300" t="s">
        <v>2</v>
      </c>
      <c r="C3" s="301"/>
      <c r="D3" s="301"/>
      <c r="E3" s="301"/>
      <c r="F3" s="302"/>
    </row>
    <row r="4" spans="1:9" s="3" customFormat="1" ht="33" customHeight="1" thickTop="1" thickBot="1" x14ac:dyDescent="0.3">
      <c r="A4" s="299"/>
      <c r="B4" s="20" t="s">
        <v>23</v>
      </c>
      <c r="C4" s="20" t="s">
        <v>99</v>
      </c>
      <c r="D4" s="70" t="s">
        <v>165</v>
      </c>
      <c r="E4" s="105" t="s">
        <v>166</v>
      </c>
      <c r="F4" s="20" t="s">
        <v>21</v>
      </c>
    </row>
    <row r="5" spans="1:9" ht="21" customHeight="1" thickTop="1" thickBot="1" x14ac:dyDescent="0.3">
      <c r="A5" s="64" t="s">
        <v>167</v>
      </c>
      <c r="B5" s="212">
        <f>SUMIF(HK!A:A,"459*",HK!D:D)-SUMIF(HK!A:A,"459*",HK!C:C)</f>
        <v>0</v>
      </c>
      <c r="C5" s="218">
        <f>SUM(C6:C10)</f>
        <v>0</v>
      </c>
      <c r="D5" s="218">
        <f t="shared" ref="D5:E5" si="0">SUM(D6:D10)</f>
        <v>0</v>
      </c>
      <c r="E5" s="218">
        <f t="shared" si="0"/>
        <v>0</v>
      </c>
      <c r="F5" s="225">
        <f>SUMIF(HK!A:A,"459*",HK!L:L)-SUMIF(HK!A:A,"459*",HK!K:K)</f>
        <v>0</v>
      </c>
      <c r="G5" s="203"/>
      <c r="H5" s="199"/>
      <c r="I5" s="203"/>
    </row>
    <row r="6" spans="1:9" ht="21" customHeight="1" thickTop="1" thickBot="1" x14ac:dyDescent="0.3">
      <c r="A6" s="76"/>
      <c r="B6" s="210"/>
      <c r="C6" s="208"/>
      <c r="D6" s="219"/>
      <c r="E6" s="219"/>
      <c r="F6" s="220">
        <f t="shared" ref="F6:F17" si="1">SUM(B6:E6)</f>
        <v>0</v>
      </c>
      <c r="G6" s="203"/>
      <c r="H6" s="203"/>
      <c r="I6" s="203"/>
    </row>
    <row r="7" spans="1:9" ht="21" customHeight="1" thickBot="1" x14ac:dyDescent="0.3">
      <c r="A7" s="76"/>
      <c r="B7" s="210"/>
      <c r="C7" s="208"/>
      <c r="D7" s="221"/>
      <c r="E7" s="221"/>
      <c r="F7" s="220">
        <f t="shared" si="1"/>
        <v>0</v>
      </c>
      <c r="G7" s="203"/>
      <c r="H7" s="203"/>
      <c r="I7" s="203"/>
    </row>
    <row r="8" spans="1:9" ht="21" customHeight="1" thickBot="1" x14ac:dyDescent="0.3">
      <c r="A8" s="76"/>
      <c r="B8" s="210"/>
      <c r="C8" s="208"/>
      <c r="D8" s="221"/>
      <c r="E8" s="221"/>
      <c r="F8" s="220">
        <f t="shared" si="1"/>
        <v>0</v>
      </c>
      <c r="G8" s="203"/>
      <c r="H8" s="203"/>
      <c r="I8" s="203"/>
    </row>
    <row r="9" spans="1:9" ht="21" customHeight="1" thickBot="1" x14ac:dyDescent="0.3">
      <c r="A9" s="76"/>
      <c r="B9" s="210"/>
      <c r="C9" s="208"/>
      <c r="D9" s="221"/>
      <c r="E9" s="221"/>
      <c r="F9" s="220">
        <f t="shared" si="1"/>
        <v>0</v>
      </c>
      <c r="G9" s="203"/>
      <c r="H9" s="203"/>
      <c r="I9" s="203"/>
    </row>
    <row r="10" spans="1:9" ht="21" customHeight="1" thickBot="1" x14ac:dyDescent="0.3">
      <c r="A10" s="100"/>
      <c r="B10" s="211"/>
      <c r="C10" s="222"/>
      <c r="D10" s="223"/>
      <c r="E10" s="223"/>
      <c r="F10" s="224">
        <f t="shared" si="1"/>
        <v>0</v>
      </c>
      <c r="G10" s="203"/>
      <c r="H10" s="203"/>
      <c r="I10" s="203"/>
    </row>
    <row r="11" spans="1:9" ht="21" customHeight="1" thickTop="1" thickBot="1" x14ac:dyDescent="0.3">
      <c r="A11" s="64" t="s">
        <v>168</v>
      </c>
      <c r="B11" s="226">
        <f>SUMIF(HK!A:A,"323*",HK!D:D)-SUMIF(HK!A:A,"323*",HK!C:C)</f>
        <v>0</v>
      </c>
      <c r="C11" s="222">
        <f>SUM(C12:C16)</f>
        <v>0</v>
      </c>
      <c r="D11" s="222">
        <f t="shared" ref="D11:E11" si="2">SUM(D12:D16)</f>
        <v>0</v>
      </c>
      <c r="E11" s="222">
        <f t="shared" si="2"/>
        <v>0</v>
      </c>
      <c r="F11" s="227">
        <f>SUMIF(HK!A:A,"323*",HK!L:L)-SUMIF(HK!A:A,"323*",HK!K:K)</f>
        <v>0</v>
      </c>
      <c r="G11" s="203"/>
      <c r="H11" s="199"/>
      <c r="I11" s="203"/>
    </row>
    <row r="12" spans="1:9" ht="21" customHeight="1" thickTop="1" thickBot="1" x14ac:dyDescent="0.3">
      <c r="A12" s="76"/>
      <c r="B12" s="210"/>
      <c r="C12" s="208"/>
      <c r="D12" s="219"/>
      <c r="E12" s="219"/>
      <c r="F12" s="220">
        <f t="shared" si="1"/>
        <v>0</v>
      </c>
      <c r="G12" s="203"/>
      <c r="H12" s="203"/>
      <c r="I12" s="203"/>
    </row>
    <row r="13" spans="1:9" ht="21" customHeight="1" thickBot="1" x14ac:dyDescent="0.3">
      <c r="A13" s="76"/>
      <c r="B13" s="109"/>
      <c r="C13" s="57"/>
      <c r="D13" s="87"/>
      <c r="E13" s="87"/>
      <c r="F13" s="97">
        <f t="shared" si="1"/>
        <v>0</v>
      </c>
    </row>
    <row r="14" spans="1:9" ht="21" customHeight="1" thickBot="1" x14ac:dyDescent="0.3">
      <c r="A14" s="76"/>
      <c r="B14" s="109"/>
      <c r="C14" s="57"/>
      <c r="D14" s="87"/>
      <c r="E14" s="87"/>
      <c r="F14" s="97">
        <f t="shared" si="1"/>
        <v>0</v>
      </c>
    </row>
    <row r="15" spans="1:9" ht="21" customHeight="1" thickBot="1" x14ac:dyDescent="0.3">
      <c r="A15" s="76"/>
      <c r="B15" s="109"/>
      <c r="C15" s="57"/>
      <c r="D15" s="87"/>
      <c r="E15" s="87"/>
      <c r="F15" s="97">
        <f t="shared" si="1"/>
        <v>0</v>
      </c>
    </row>
    <row r="16" spans="1:9" ht="21" customHeight="1" thickBot="1" x14ac:dyDescent="0.3">
      <c r="A16" s="76"/>
      <c r="B16" s="109"/>
      <c r="C16" s="57"/>
      <c r="D16" s="87"/>
      <c r="E16" s="87"/>
      <c r="F16" s="97">
        <f t="shared" si="1"/>
        <v>0</v>
      </c>
    </row>
    <row r="17" spans="1:9" ht="21" customHeight="1" thickBot="1" x14ac:dyDescent="0.3">
      <c r="A17" s="100"/>
      <c r="B17" s="118"/>
      <c r="C17" s="59"/>
      <c r="D17" s="98"/>
      <c r="E17" s="98"/>
      <c r="F17" s="99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9" t="s">
        <v>9</v>
      </c>
      <c r="B20" s="19"/>
      <c r="C20" s="19"/>
      <c r="D20" s="19"/>
      <c r="E20" s="19"/>
      <c r="F20" s="19"/>
    </row>
    <row r="21" spans="1:9" ht="16.5" thickTop="1" thickBot="1" x14ac:dyDescent="0.3">
      <c r="A21" s="297" t="s">
        <v>105</v>
      </c>
      <c r="B21" s="300" t="s">
        <v>3</v>
      </c>
      <c r="C21" s="301"/>
      <c r="D21" s="301"/>
      <c r="E21" s="301"/>
      <c r="F21" s="302"/>
    </row>
    <row r="22" spans="1:9" s="3" customFormat="1" ht="24" thickTop="1" thickBot="1" x14ac:dyDescent="0.3">
      <c r="A22" s="299"/>
      <c r="B22" s="20" t="s">
        <v>23</v>
      </c>
      <c r="C22" s="20" t="s">
        <v>99</v>
      </c>
      <c r="D22" s="70" t="s">
        <v>165</v>
      </c>
      <c r="E22" s="105" t="s">
        <v>166</v>
      </c>
      <c r="F22" s="20" t="s">
        <v>21</v>
      </c>
    </row>
    <row r="23" spans="1:9" ht="21" customHeight="1" thickTop="1" thickBot="1" x14ac:dyDescent="0.3">
      <c r="A23" s="100" t="s">
        <v>167</v>
      </c>
      <c r="B23" s="212">
        <f>SUMIF(HKM!A:A,"459*",HKM!D:D)-SUMIF(HKM!A:A,"459*",HKM!C:C)</f>
        <v>0</v>
      </c>
      <c r="C23" s="218">
        <f>SUM(C24:C28)</f>
        <v>0</v>
      </c>
      <c r="D23" s="218">
        <f t="shared" ref="D23:E23" si="3">SUM(D24:D28)</f>
        <v>0</v>
      </c>
      <c r="E23" s="218">
        <f t="shared" si="3"/>
        <v>0</v>
      </c>
      <c r="F23" s="225">
        <f>SUMIF(HKM!A:A,"459*",HKM!L:L)-SUMIF(HKM!A:A,"459*",HKM!K:K)</f>
        <v>0</v>
      </c>
      <c r="G23" s="203"/>
      <c r="H23" s="199"/>
      <c r="I23" s="203"/>
    </row>
    <row r="24" spans="1:9" ht="21" customHeight="1" thickTop="1" thickBot="1" x14ac:dyDescent="0.3">
      <c r="A24" s="76"/>
      <c r="B24" s="210"/>
      <c r="C24" s="208"/>
      <c r="D24" s="219"/>
      <c r="E24" s="219"/>
      <c r="F24" s="220">
        <f t="shared" ref="F24:F35" si="4">SUM(B24:E24)</f>
        <v>0</v>
      </c>
      <c r="G24" s="203"/>
      <c r="H24" s="203"/>
      <c r="I24" s="203"/>
    </row>
    <row r="25" spans="1:9" ht="21" customHeight="1" thickBot="1" x14ac:dyDescent="0.3">
      <c r="A25" s="76"/>
      <c r="B25" s="210"/>
      <c r="C25" s="208"/>
      <c r="D25" s="221"/>
      <c r="E25" s="221"/>
      <c r="F25" s="220">
        <f t="shared" si="4"/>
        <v>0</v>
      </c>
      <c r="G25" s="203"/>
      <c r="H25" s="203"/>
      <c r="I25" s="203"/>
    </row>
    <row r="26" spans="1:9" ht="21" customHeight="1" thickBot="1" x14ac:dyDescent="0.3">
      <c r="A26" s="76"/>
      <c r="B26" s="210"/>
      <c r="C26" s="208"/>
      <c r="D26" s="221"/>
      <c r="E26" s="221"/>
      <c r="F26" s="220">
        <f t="shared" si="4"/>
        <v>0</v>
      </c>
      <c r="G26" s="203"/>
      <c r="H26" s="203"/>
      <c r="I26" s="203"/>
    </row>
    <row r="27" spans="1:9" ht="21" customHeight="1" thickBot="1" x14ac:dyDescent="0.3">
      <c r="A27" s="76"/>
      <c r="B27" s="210"/>
      <c r="C27" s="208"/>
      <c r="D27" s="221"/>
      <c r="E27" s="221"/>
      <c r="F27" s="220">
        <f t="shared" si="4"/>
        <v>0</v>
      </c>
      <c r="G27" s="203"/>
      <c r="H27" s="203"/>
      <c r="I27" s="203"/>
    </row>
    <row r="28" spans="1:9" ht="21" customHeight="1" thickBot="1" x14ac:dyDescent="0.3">
      <c r="A28" s="100"/>
      <c r="B28" s="211"/>
      <c r="C28" s="222"/>
      <c r="D28" s="223"/>
      <c r="E28" s="223"/>
      <c r="F28" s="224">
        <f t="shared" si="4"/>
        <v>0</v>
      </c>
      <c r="G28" s="203"/>
      <c r="H28" s="203"/>
      <c r="I28" s="203"/>
    </row>
    <row r="29" spans="1:9" ht="21" customHeight="1" thickTop="1" thickBot="1" x14ac:dyDescent="0.3">
      <c r="A29" s="100" t="s">
        <v>168</v>
      </c>
      <c r="B29" s="226">
        <f>SUMIF(HKM!A:A,"323*",HKM!D:D)-SUMIF(HKM!A:A,"323*",HKM!C:C)</f>
        <v>0</v>
      </c>
      <c r="C29" s="222">
        <f>SUM(C30:C34)</f>
        <v>0</v>
      </c>
      <c r="D29" s="222">
        <f t="shared" ref="D29:E29" si="5">SUM(D30:D34)</f>
        <v>0</v>
      </c>
      <c r="E29" s="222">
        <f t="shared" si="5"/>
        <v>0</v>
      </c>
      <c r="F29" s="227">
        <f>SUMIF(HKM!A:A,"323*",HKM!L:L)-SUMIF(HKM!A:A,"323*",HKM!K:K)</f>
        <v>0</v>
      </c>
      <c r="G29" s="203"/>
      <c r="H29" s="199"/>
      <c r="I29" s="203"/>
    </row>
    <row r="30" spans="1:9" ht="21" customHeight="1" thickTop="1" thickBot="1" x14ac:dyDescent="0.3">
      <c r="A30" s="76"/>
      <c r="B30" s="210"/>
      <c r="C30" s="208"/>
      <c r="D30" s="219"/>
      <c r="E30" s="219"/>
      <c r="F30" s="220">
        <f t="shared" si="4"/>
        <v>0</v>
      </c>
      <c r="G30" s="203"/>
      <c r="H30" s="203"/>
      <c r="I30" s="203"/>
    </row>
    <row r="31" spans="1:9" ht="21" customHeight="1" thickBot="1" x14ac:dyDescent="0.3">
      <c r="A31" s="76"/>
      <c r="B31" s="109"/>
      <c r="C31" s="57"/>
      <c r="D31" s="87"/>
      <c r="E31" s="87"/>
      <c r="F31" s="97">
        <f t="shared" si="4"/>
        <v>0</v>
      </c>
    </row>
    <row r="32" spans="1:9" ht="21" customHeight="1" thickBot="1" x14ac:dyDescent="0.3">
      <c r="A32" s="76"/>
      <c r="B32" s="109"/>
      <c r="C32" s="57"/>
      <c r="D32" s="87"/>
      <c r="E32" s="87"/>
      <c r="F32" s="97">
        <f t="shared" si="4"/>
        <v>0</v>
      </c>
    </row>
    <row r="33" spans="1:6" ht="21" customHeight="1" thickBot="1" x14ac:dyDescent="0.3">
      <c r="A33" s="76"/>
      <c r="B33" s="109"/>
      <c r="C33" s="57"/>
      <c r="D33" s="87"/>
      <c r="E33" s="87"/>
      <c r="F33" s="97">
        <f t="shared" si="4"/>
        <v>0</v>
      </c>
    </row>
    <row r="34" spans="1:6" ht="21" customHeight="1" thickBot="1" x14ac:dyDescent="0.3">
      <c r="A34" s="76"/>
      <c r="B34" s="109"/>
      <c r="C34" s="57"/>
      <c r="D34" s="87"/>
      <c r="E34" s="87"/>
      <c r="F34" s="97">
        <f t="shared" si="4"/>
        <v>0</v>
      </c>
    </row>
    <row r="35" spans="1:6" ht="21" customHeight="1" thickBot="1" x14ac:dyDescent="0.3">
      <c r="A35" s="100"/>
      <c r="B35" s="118"/>
      <c r="C35" s="59"/>
      <c r="D35" s="98"/>
      <c r="E35" s="98"/>
      <c r="F35" s="99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8" sqref="C2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401</v>
      </c>
    </row>
    <row r="2" spans="1:3" ht="26.25" customHeight="1" thickTop="1" thickBot="1" x14ac:dyDescent="0.3">
      <c r="A2" s="62" t="s">
        <v>105</v>
      </c>
      <c r="B2" s="26" t="s">
        <v>2</v>
      </c>
      <c r="C2" s="26" t="s">
        <v>3</v>
      </c>
    </row>
    <row r="3" spans="1:3" ht="26.25" customHeight="1" thickTop="1" thickBot="1" x14ac:dyDescent="0.3">
      <c r="A3" s="22" t="s">
        <v>172</v>
      </c>
      <c r="B3" s="121"/>
      <c r="C3" s="101"/>
    </row>
    <row r="4" spans="1:3" ht="26.25" customHeight="1" thickTop="1" thickBot="1" x14ac:dyDescent="0.3">
      <c r="A4" s="13" t="s">
        <v>171</v>
      </c>
      <c r="B4" s="119"/>
      <c r="C4" s="120"/>
    </row>
    <row r="5" spans="1:3" ht="31.5" customHeight="1" thickBot="1" x14ac:dyDescent="0.3">
      <c r="A5" s="13" t="s">
        <v>399</v>
      </c>
      <c r="B5" s="121"/>
      <c r="C5" s="101"/>
    </row>
    <row r="6" spans="1:3" ht="20.25" customHeight="1" thickBot="1" x14ac:dyDescent="0.3">
      <c r="A6" s="31" t="s">
        <v>170</v>
      </c>
      <c r="B6" s="121"/>
      <c r="C6" s="101"/>
    </row>
    <row r="7" spans="1:3" ht="26.25" customHeight="1" thickBot="1" x14ac:dyDescent="0.3">
      <c r="A7" s="13" t="s">
        <v>400</v>
      </c>
      <c r="B7" s="109"/>
      <c r="C7" s="58"/>
    </row>
    <row r="8" spans="1:3" ht="27.75" customHeight="1" thickBot="1" x14ac:dyDescent="0.3">
      <c r="A8" s="13" t="s">
        <v>169</v>
      </c>
      <c r="B8" s="109"/>
      <c r="C8" s="58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0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3" customFormat="1" ht="40.5" customHeight="1" thickBot="1" x14ac:dyDescent="0.35">
      <c r="A1" s="294" t="s">
        <v>387</v>
      </c>
      <c r="B1" s="294"/>
      <c r="C1" s="294"/>
    </row>
    <row r="2" spans="1:5" ht="24" thickTop="1" thickBot="1" x14ac:dyDescent="0.3">
      <c r="A2" s="62" t="s">
        <v>105</v>
      </c>
      <c r="B2" s="26" t="s">
        <v>2</v>
      </c>
      <c r="C2" s="26" t="s">
        <v>3</v>
      </c>
    </row>
    <row r="3" spans="1:5" ht="35.25" thickTop="1" thickBot="1" x14ac:dyDescent="0.3">
      <c r="A3" s="31" t="s">
        <v>173</v>
      </c>
      <c r="B3" s="57"/>
      <c r="C3" s="58"/>
    </row>
    <row r="4" spans="1:5" ht="23.25" customHeight="1" thickBot="1" x14ac:dyDescent="0.3">
      <c r="A4" s="13" t="s">
        <v>174</v>
      </c>
      <c r="B4" s="57"/>
      <c r="C4" s="58"/>
    </row>
    <row r="5" spans="1:5" ht="23.25" customHeight="1" thickBot="1" x14ac:dyDescent="0.3">
      <c r="A5" s="13" t="s">
        <v>175</v>
      </c>
      <c r="B5" s="57"/>
      <c r="C5" s="58"/>
    </row>
    <row r="6" spans="1:5" ht="45.75" thickBot="1" x14ac:dyDescent="0.3">
      <c r="A6" s="31" t="s">
        <v>176</v>
      </c>
      <c r="B6" s="57"/>
      <c r="C6" s="58"/>
    </row>
    <row r="7" spans="1:5" ht="23.25" customHeight="1" thickBot="1" x14ac:dyDescent="0.3">
      <c r="A7" s="13" t="s">
        <v>174</v>
      </c>
      <c r="B7" s="57"/>
      <c r="C7" s="58"/>
    </row>
    <row r="8" spans="1:5" ht="23.25" customHeight="1" thickBot="1" x14ac:dyDescent="0.3">
      <c r="A8" s="13" t="s">
        <v>175</v>
      </c>
      <c r="B8" s="57"/>
      <c r="C8" s="58"/>
    </row>
    <row r="9" spans="1:5" ht="23.25" customHeight="1" thickBot="1" x14ac:dyDescent="0.3">
      <c r="A9" s="31" t="s">
        <v>177</v>
      </c>
      <c r="B9" s="57"/>
      <c r="C9" s="58"/>
    </row>
    <row r="10" spans="1:5" ht="23.25" customHeight="1" thickBot="1" x14ac:dyDescent="0.3">
      <c r="A10" s="31" t="s">
        <v>178</v>
      </c>
      <c r="B10" s="57"/>
      <c r="C10" s="58"/>
    </row>
    <row r="11" spans="1:5" ht="23.25" customHeight="1" thickBot="1" x14ac:dyDescent="0.3">
      <c r="A11" s="31" t="s">
        <v>179</v>
      </c>
      <c r="B11" s="81">
        <v>0.22</v>
      </c>
      <c r="C11" s="85">
        <v>0.23</v>
      </c>
    </row>
    <row r="12" spans="1:5" ht="23.25" customHeight="1" thickBot="1" x14ac:dyDescent="0.3">
      <c r="A12" s="31" t="s">
        <v>180</v>
      </c>
      <c r="B12" s="229">
        <f>SUMIF(SUA!C:C,"052",SUA!F:F)</f>
        <v>0</v>
      </c>
      <c r="C12" s="209">
        <f>SUMIF(SUA!C:C,"052",SUA!G:G)</f>
        <v>0</v>
      </c>
      <c r="D12" s="203"/>
      <c r="E12" s="232"/>
    </row>
    <row r="13" spans="1:5" ht="23.25" customHeight="1" thickBot="1" x14ac:dyDescent="0.3">
      <c r="A13" s="31" t="s">
        <v>181</v>
      </c>
      <c r="B13" s="208"/>
      <c r="C13" s="214"/>
      <c r="D13" s="203"/>
      <c r="E13" s="203"/>
    </row>
    <row r="14" spans="1:5" ht="23.25" customHeight="1" thickBot="1" x14ac:dyDescent="0.3">
      <c r="A14" s="13" t="s">
        <v>402</v>
      </c>
      <c r="B14" s="208"/>
      <c r="C14" s="214"/>
      <c r="D14" s="203"/>
      <c r="E14" s="203"/>
    </row>
    <row r="15" spans="1:5" ht="23.25" customHeight="1" thickBot="1" x14ac:dyDescent="0.3">
      <c r="A15" s="13" t="s">
        <v>182</v>
      </c>
      <c r="B15" s="208"/>
      <c r="C15" s="214"/>
      <c r="D15" s="203"/>
      <c r="E15" s="203"/>
    </row>
    <row r="16" spans="1:5" ht="23.25" customHeight="1" thickBot="1" x14ac:dyDescent="0.3">
      <c r="A16" s="72" t="s">
        <v>183</v>
      </c>
      <c r="B16" s="229">
        <f>SUMIF(SUA!C:C,"117",SUA!F:F)</f>
        <v>0</v>
      </c>
      <c r="C16" s="209">
        <f>SUMIF(SUA!C:C,"117",SUA!G:G)</f>
        <v>0</v>
      </c>
      <c r="D16" s="203"/>
      <c r="E16" s="232"/>
    </row>
    <row r="17" spans="1:3" ht="23.25" customHeight="1" thickBot="1" x14ac:dyDescent="0.3">
      <c r="A17" s="73" t="s">
        <v>184</v>
      </c>
      <c r="B17" s="57"/>
      <c r="C17" s="58"/>
    </row>
    <row r="18" spans="1:3" ht="23.25" customHeight="1" thickBot="1" x14ac:dyDescent="0.3">
      <c r="A18" s="13" t="s">
        <v>185</v>
      </c>
      <c r="B18" s="57"/>
      <c r="C18" s="58"/>
    </row>
    <row r="19" spans="1:3" ht="23.25" customHeight="1" thickBot="1" x14ac:dyDescent="0.3">
      <c r="A19" s="88" t="s">
        <v>182</v>
      </c>
      <c r="B19" s="102"/>
      <c r="C19" s="271"/>
    </row>
    <row r="20" spans="1:3" ht="18.75" customHeight="1" thickBot="1" x14ac:dyDescent="0.3">
      <c r="A20" s="272" t="s">
        <v>227</v>
      </c>
      <c r="B20" s="273"/>
      <c r="C20" s="273"/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M53"/>
  <sheetViews>
    <sheetView showGridLines="0" zoomScaleNormal="100" workbookViewId="0">
      <selection activeCell="E16" sqref="E16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1" t="s">
        <v>375</v>
      </c>
    </row>
    <row r="2" spans="1:12" ht="17.25" thickBot="1" x14ac:dyDescent="0.35">
      <c r="A2" s="2" t="s">
        <v>7</v>
      </c>
    </row>
    <row r="3" spans="1:12" ht="15" customHeight="1" thickTop="1" thickBot="1" x14ac:dyDescent="0.3">
      <c r="A3" s="275" t="s">
        <v>11</v>
      </c>
      <c r="B3" s="280" t="s">
        <v>2</v>
      </c>
      <c r="C3" s="281"/>
      <c r="D3" s="281"/>
      <c r="E3" s="281"/>
      <c r="F3" s="281"/>
      <c r="G3" s="281"/>
      <c r="H3" s="281"/>
      <c r="I3" s="282"/>
    </row>
    <row r="4" spans="1:12" ht="35.25" customHeight="1" thickTop="1" thickBot="1" x14ac:dyDescent="0.3">
      <c r="A4" s="276"/>
      <c r="B4" s="27" t="s">
        <v>295</v>
      </c>
      <c r="C4" s="108" t="s">
        <v>12</v>
      </c>
      <c r="D4" s="108" t="s">
        <v>296</v>
      </c>
      <c r="E4" s="107" t="s">
        <v>13</v>
      </c>
      <c r="F4" s="27" t="s">
        <v>14</v>
      </c>
      <c r="G4" s="108" t="s">
        <v>297</v>
      </c>
      <c r="H4" s="108" t="s">
        <v>15</v>
      </c>
      <c r="I4" s="108" t="s">
        <v>8</v>
      </c>
    </row>
    <row r="5" spans="1:12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30"/>
    </row>
    <row r="6" spans="1:12" ht="16.5" thickTop="1" thickBot="1" x14ac:dyDescent="0.3">
      <c r="A6" s="31" t="s">
        <v>17</v>
      </c>
      <c r="B6" s="168">
        <f>SUMIF(HK!A:A,"012*",HK!C:C)-SUMIF(HK!A:A,"012*",HK!D:D)</f>
        <v>0</v>
      </c>
      <c r="C6" s="168">
        <f>SUMIF(HK!A:A,"013*",HK!C:C)-SUMIF(HK!A:A,"013*",HK!D:D)</f>
        <v>0</v>
      </c>
      <c r="D6" s="168">
        <f>SUMIF(HK!A:A,"014*",HK!C:C)-SUMIF(HK!A:A,"014*",HK!D:D)</f>
        <v>0</v>
      </c>
      <c r="E6" s="168">
        <f>SUMIF(HK!A:A,"015*",HK!C:C)-SUMIF(HK!A:A,"015*",HK!D:D)</f>
        <v>0</v>
      </c>
      <c r="F6" s="168">
        <f>SUMIF(HK!A:A,"019*",HK!C:C)-SUMIF(HK!A:A,"019*",HK!D:D)</f>
        <v>0</v>
      </c>
      <c r="G6" s="168">
        <f>SUMIF(HK!A:A,"041*",HK!C:C)-SUMIF(HK!A:A,"041*",HK!D:D)</f>
        <v>0</v>
      </c>
      <c r="H6" s="168">
        <f>SUMIF(HK!A:A,"051*",HK!C:C)-SUMIF(HK!A:A,"051*",HK!D:D)</f>
        <v>0</v>
      </c>
      <c r="I6" s="153">
        <f>SUM(B6:H6)</f>
        <v>0</v>
      </c>
      <c r="J6" s="138"/>
      <c r="K6" s="154"/>
      <c r="L6" s="138"/>
    </row>
    <row r="7" spans="1:12" ht="25.5" customHeight="1" thickBot="1" x14ac:dyDescent="0.3">
      <c r="A7" s="13" t="s">
        <v>18</v>
      </c>
      <c r="B7" s="132"/>
      <c r="C7" s="168"/>
      <c r="D7" s="168"/>
      <c r="E7" s="168"/>
      <c r="F7" s="168"/>
      <c r="G7" s="168"/>
      <c r="H7" s="168"/>
      <c r="I7" s="153">
        <f>SUM(B7:H7)</f>
        <v>0</v>
      </c>
      <c r="J7" s="138"/>
      <c r="K7" s="138"/>
      <c r="L7" s="138"/>
    </row>
    <row r="8" spans="1:12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53">
        <f t="shared" ref="I8:I9" si="0">SUM(B8:H8)</f>
        <v>0</v>
      </c>
      <c r="J8" s="138"/>
      <c r="K8" s="138"/>
      <c r="L8" s="138"/>
    </row>
    <row r="9" spans="1:12" ht="23.25" customHeight="1" thickBot="1" x14ac:dyDescent="0.3">
      <c r="A9" s="13" t="s">
        <v>20</v>
      </c>
      <c r="B9" s="132"/>
      <c r="C9" s="168"/>
      <c r="D9" s="168"/>
      <c r="E9" s="168"/>
      <c r="F9" s="168"/>
      <c r="G9" s="168"/>
      <c r="H9" s="168"/>
      <c r="I9" s="153">
        <f t="shared" si="0"/>
        <v>0</v>
      </c>
      <c r="J9" s="138"/>
      <c r="K9" s="138"/>
      <c r="L9" s="138"/>
    </row>
    <row r="10" spans="1:12" ht="15.75" thickBot="1" x14ac:dyDescent="0.3">
      <c r="A10" s="22" t="s">
        <v>21</v>
      </c>
      <c r="B10" s="168">
        <f>SUMIF(HK!A:A,"012*",HK!K:K)-SUMIF(HK!A:A,"012*",HK!L:L)</f>
        <v>0</v>
      </c>
      <c r="C10" s="168">
        <f>SUMIF(HK!A:A,"013*",HK!K:K)-SUMIF(HK!A:A,"013*",HK!L:L)</f>
        <v>0</v>
      </c>
      <c r="D10" s="168">
        <f>SUMIF(HK!A:A,"014*",HK!K:K)-SUMIF(HK!A:A,"014*",HK!L:L)</f>
        <v>0</v>
      </c>
      <c r="E10" s="168">
        <f>SUMIF(HK!A:A,"015*",HK!K:K)-SUMIF(HK!A:A,"015*",HK!L:L)</f>
        <v>0</v>
      </c>
      <c r="F10" s="168">
        <f>SUMIF(HK!A:A,"019*",HK!K:K)-SUMIF(HK!A:A,"019*",HK!L:L)</f>
        <v>0</v>
      </c>
      <c r="G10" s="168">
        <f>SUMIF(HK!A:A,"041*",HK!K:K)-SUMIF(HK!A:A,"041*",HK!L:L)</f>
        <v>0</v>
      </c>
      <c r="H10" s="168">
        <f>SUMIF(HK!A:A,"051*",HK!K:K)-SUMIF(HK!A:A,"051*",HK!L:L)</f>
        <v>0</v>
      </c>
      <c r="I10" s="155">
        <f>I6+I7-I8+I9</f>
        <v>0</v>
      </c>
      <c r="J10" s="138"/>
      <c r="K10" s="154"/>
      <c r="L10" s="138"/>
    </row>
    <row r="11" spans="1:12" ht="15" customHeight="1" thickTop="1" thickBot="1" x14ac:dyDescent="0.3">
      <c r="A11" s="28" t="s">
        <v>22</v>
      </c>
      <c r="B11" s="169"/>
      <c r="C11" s="169"/>
      <c r="D11" s="170"/>
      <c r="E11" s="169"/>
      <c r="F11" s="169"/>
      <c r="G11" s="169"/>
      <c r="H11" s="169"/>
      <c r="I11" s="157"/>
      <c r="J11" s="138"/>
      <c r="K11" s="138"/>
      <c r="L11" s="138"/>
    </row>
    <row r="12" spans="1:12" ht="16.5" thickTop="1" thickBot="1" x14ac:dyDescent="0.3">
      <c r="A12" s="31" t="s">
        <v>23</v>
      </c>
      <c r="B12" s="168">
        <f>SUMIF(HK!A:A,"071*",HK!D:D)-SUMIF(HK!A:A,"071*",HK!C:C)</f>
        <v>0</v>
      </c>
      <c r="C12" s="168">
        <f>SUMIF(HK!A:A,"073*",HK!D:D)-SUMIF(HK!A:A,"073*",HK!C:C)</f>
        <v>0</v>
      </c>
      <c r="D12" s="171">
        <f>SUMIF(HK!A:A,"074*",HK!D:D)-SUMIF(HK!A:A,"074*",HK!C:C)</f>
        <v>0</v>
      </c>
      <c r="E12" s="168">
        <f>SUMIF(HK!A:A,"075*",HK!D:D)-SUMIF(HK!A:A,"075*",HK!C:C)</f>
        <v>0</v>
      </c>
      <c r="F12" s="168">
        <f>SUMIF(HK!A:A,"079*",HK!D:D)-SUMIF(HK!A:A,"079*",HK!C:C)</f>
        <v>0</v>
      </c>
      <c r="G12" s="172"/>
      <c r="H12" s="172"/>
      <c r="I12" s="153">
        <f>SUM(B12:H12)</f>
        <v>0</v>
      </c>
      <c r="J12" s="138"/>
      <c r="K12" s="154"/>
      <c r="L12" s="138"/>
    </row>
    <row r="13" spans="1:12" ht="22.5" customHeight="1" thickBot="1" x14ac:dyDescent="0.3">
      <c r="A13" s="13" t="s">
        <v>18</v>
      </c>
      <c r="B13" s="132"/>
      <c r="C13" s="168"/>
      <c r="D13" s="168"/>
      <c r="E13" s="168"/>
      <c r="F13" s="168"/>
      <c r="G13" s="158"/>
      <c r="H13" s="158"/>
      <c r="I13" s="153">
        <f t="shared" ref="I13:I14" si="1">SUM(B13:H13)</f>
        <v>0</v>
      </c>
      <c r="J13" s="138"/>
      <c r="K13" s="138"/>
      <c r="L13" s="138"/>
    </row>
    <row r="14" spans="1:12" ht="21.75" customHeight="1" thickBot="1" x14ac:dyDescent="0.3">
      <c r="A14" s="13" t="s">
        <v>19</v>
      </c>
      <c r="B14" s="168"/>
      <c r="C14" s="168"/>
      <c r="D14" s="168"/>
      <c r="E14" s="168"/>
      <c r="F14" s="168"/>
      <c r="G14" s="158"/>
      <c r="H14" s="158"/>
      <c r="I14" s="153">
        <f t="shared" si="1"/>
        <v>0</v>
      </c>
      <c r="J14" s="138"/>
      <c r="K14" s="138"/>
      <c r="L14" s="138"/>
    </row>
    <row r="15" spans="1:12" ht="21.75" customHeight="1" thickBot="1" x14ac:dyDescent="0.3">
      <c r="A15" s="86" t="s">
        <v>20</v>
      </c>
      <c r="B15" s="168"/>
      <c r="C15" s="168"/>
      <c r="D15" s="168"/>
      <c r="E15" s="168"/>
      <c r="F15" s="168"/>
      <c r="G15" s="255"/>
      <c r="H15" s="256"/>
      <c r="I15" s="257"/>
      <c r="J15" s="138"/>
      <c r="K15" s="138"/>
      <c r="L15" s="138"/>
    </row>
    <row r="16" spans="1:12" ht="15.75" thickBot="1" x14ac:dyDescent="0.3">
      <c r="A16" s="22" t="s">
        <v>21</v>
      </c>
      <c r="B16" s="168">
        <f>SUMIF(HK!A:A,"071*",HK!L:L)-SUMIF(HK!A:A,"071*",HK!K:K)</f>
        <v>0</v>
      </c>
      <c r="C16" s="168">
        <f>SUMIF(HK!A:A,"073*",HK!L:L)-SUMIF(HK!A:A,"073*",HK!K:K)</f>
        <v>0</v>
      </c>
      <c r="D16" s="168">
        <f>SUMIF(HK!A:A,"074*",HK!L:L)-SUMIF(HK!A:A,"074*",HK!K:K)</f>
        <v>0</v>
      </c>
      <c r="E16" s="168">
        <f>SUMIF(HK!A:A,"075*",HK!L:L)-SUMIF(HK!A:A,"075*",HK!K:K)</f>
        <v>0</v>
      </c>
      <c r="F16" s="168">
        <f>SUMIF(HK!A:A,"079*",HK!L:L)-SUMIF(HK!A:A,"079*",HK!K:K)</f>
        <v>0</v>
      </c>
      <c r="G16" s="159"/>
      <c r="H16" s="159"/>
      <c r="I16" s="155">
        <f>I12+I13-I14</f>
        <v>0</v>
      </c>
      <c r="J16" s="138"/>
      <c r="K16" s="154"/>
      <c r="L16" s="138"/>
    </row>
    <row r="17" spans="1:13" ht="15" customHeight="1" thickTop="1" thickBot="1" x14ac:dyDescent="0.3">
      <c r="A17" s="28" t="s">
        <v>24</v>
      </c>
      <c r="B17" s="169"/>
      <c r="C17" s="169"/>
      <c r="D17" s="169"/>
      <c r="E17" s="169"/>
      <c r="F17" s="169"/>
      <c r="G17" s="169"/>
      <c r="H17" s="169"/>
      <c r="I17" s="157"/>
      <c r="J17" s="138"/>
      <c r="K17" s="138"/>
      <c r="L17" s="138"/>
    </row>
    <row r="18" spans="1:13" ht="16.5" thickTop="1" thickBot="1" x14ac:dyDescent="0.3">
      <c r="A18" s="31" t="s">
        <v>23</v>
      </c>
      <c r="B18" s="168"/>
      <c r="C18" s="168"/>
      <c r="D18" s="168"/>
      <c r="E18" s="168"/>
      <c r="F18" s="168"/>
      <c r="G18" s="168">
        <f>SUMIF(HK!A:A,"093*",HK!D:D)-SUMIF(HK!A:A,"093*",HK!C:C)</f>
        <v>0</v>
      </c>
      <c r="H18" s="168">
        <f>SUMIF(SUAM!C:C,"010",SUAM!E:E)</f>
        <v>0</v>
      </c>
      <c r="I18" s="153">
        <f>SUM(B18:H18)</f>
        <v>0</v>
      </c>
      <c r="J18" s="138"/>
      <c r="K18" s="154"/>
      <c r="L18" s="160"/>
      <c r="M18" s="112"/>
    </row>
    <row r="19" spans="1:13" ht="15" customHeight="1" thickBot="1" x14ac:dyDescent="0.3">
      <c r="A19" s="13" t="s">
        <v>18</v>
      </c>
      <c r="B19" s="132"/>
      <c r="C19" s="132"/>
      <c r="D19" s="132"/>
      <c r="E19" s="132"/>
      <c r="F19" s="132"/>
      <c r="G19" s="132"/>
      <c r="H19" s="132"/>
      <c r="I19" s="153">
        <f t="shared" ref="I19:I20" si="2">SUM(B19:H19)</f>
        <v>0</v>
      </c>
      <c r="J19" s="138"/>
      <c r="K19" s="161"/>
      <c r="L19" s="138"/>
    </row>
    <row r="20" spans="1:13" ht="15" customHeight="1" thickBot="1" x14ac:dyDescent="0.3">
      <c r="A20" s="13" t="s">
        <v>19</v>
      </c>
      <c r="B20" s="132"/>
      <c r="C20" s="132"/>
      <c r="D20" s="132"/>
      <c r="E20" s="132"/>
      <c r="F20" s="132"/>
      <c r="G20" s="132"/>
      <c r="H20" s="132"/>
      <c r="I20" s="153">
        <f t="shared" si="2"/>
        <v>0</v>
      </c>
      <c r="J20" s="138"/>
      <c r="K20" s="161"/>
      <c r="L20" s="138"/>
    </row>
    <row r="21" spans="1:13" ht="15" customHeight="1" thickBot="1" x14ac:dyDescent="0.3">
      <c r="A21" s="86" t="s">
        <v>20</v>
      </c>
      <c r="B21" s="132"/>
      <c r="C21" s="132"/>
      <c r="D21" s="132"/>
      <c r="E21" s="132"/>
      <c r="F21" s="132"/>
      <c r="G21" s="132"/>
      <c r="H21" s="132"/>
      <c r="I21" s="258"/>
      <c r="J21" s="138"/>
      <c r="K21" s="161"/>
      <c r="L21" s="138"/>
    </row>
    <row r="22" spans="1:13" ht="15.75" thickBot="1" x14ac:dyDescent="0.3">
      <c r="A22" s="22" t="s">
        <v>21</v>
      </c>
      <c r="B22" s="168"/>
      <c r="C22" s="168"/>
      <c r="D22" s="168"/>
      <c r="E22" s="168"/>
      <c r="F22" s="168"/>
      <c r="G22" s="168">
        <f>SUMIF(HK!A:A,"093*",HK!L:L)-SUMIF(HK!A:A,"093*",HK!K:K)</f>
        <v>0</v>
      </c>
      <c r="H22" s="168">
        <f>SUMIF(SUA!C:C,"010",SUA!E:E)</f>
        <v>0</v>
      </c>
      <c r="I22" s="155">
        <f>I18+I19-I20</f>
        <v>0</v>
      </c>
      <c r="J22" s="138"/>
      <c r="K22" s="154"/>
      <c r="L22" s="160"/>
      <c r="M22" s="112"/>
    </row>
    <row r="23" spans="1:13" ht="15" customHeight="1" thickTop="1" thickBot="1" x14ac:dyDescent="0.3">
      <c r="A23" s="28" t="s">
        <v>25</v>
      </c>
      <c r="B23" s="169"/>
      <c r="C23" s="169"/>
      <c r="D23" s="169"/>
      <c r="E23" s="169"/>
      <c r="F23" s="169"/>
      <c r="G23" s="169"/>
      <c r="H23" s="169"/>
      <c r="I23" s="157"/>
      <c r="J23" s="138"/>
      <c r="K23" s="138"/>
      <c r="L23" s="138"/>
    </row>
    <row r="24" spans="1:13" ht="15" customHeight="1" thickTop="1" thickBot="1" x14ac:dyDescent="0.3">
      <c r="A24" s="31" t="s">
        <v>23</v>
      </c>
      <c r="B24" s="158"/>
      <c r="C24" s="158"/>
      <c r="D24" s="158"/>
      <c r="E24" s="158"/>
      <c r="F24" s="158"/>
      <c r="G24" s="158"/>
      <c r="H24" s="158"/>
      <c r="I24" s="153">
        <f>I6-I12-I18</f>
        <v>0</v>
      </c>
      <c r="J24" s="138"/>
      <c r="K24" s="138"/>
      <c r="L24" s="138"/>
    </row>
    <row r="25" spans="1:13" ht="15" customHeight="1" thickBot="1" x14ac:dyDescent="0.3">
      <c r="A25" s="22" t="s">
        <v>21</v>
      </c>
      <c r="B25" s="159"/>
      <c r="C25" s="159"/>
      <c r="D25" s="159"/>
      <c r="E25" s="159"/>
      <c r="F25" s="159"/>
      <c r="G25" s="159"/>
      <c r="H25" s="159"/>
      <c r="I25" s="155">
        <f>I10-I16-I22</f>
        <v>0</v>
      </c>
      <c r="J25" s="138"/>
      <c r="K25" s="138"/>
      <c r="L25" s="138"/>
    </row>
    <row r="26" spans="1:13" ht="15.75" thickTop="1" x14ac:dyDescent="0.25">
      <c r="A26" s="34"/>
      <c r="B26" s="162"/>
      <c r="C26" s="162"/>
      <c r="D26" s="162"/>
      <c r="E26" s="162"/>
      <c r="F26" s="162"/>
      <c r="G26" s="162"/>
      <c r="H26" s="162"/>
      <c r="I26" s="162"/>
      <c r="J26" s="138"/>
      <c r="K26" s="138"/>
      <c r="L26" s="138"/>
    </row>
    <row r="27" spans="1:13" x14ac:dyDescent="0.25">
      <c r="A27" s="35"/>
      <c r="B27" s="163"/>
      <c r="C27" s="163"/>
      <c r="D27" s="163"/>
      <c r="E27" s="163"/>
      <c r="F27" s="163"/>
      <c r="G27" s="163"/>
      <c r="H27" s="163"/>
      <c r="I27" s="163"/>
      <c r="J27" s="138"/>
      <c r="K27" s="138"/>
      <c r="L27" s="138"/>
    </row>
    <row r="28" spans="1:13" x14ac:dyDescent="0.25">
      <c r="A28" s="35" t="s">
        <v>9</v>
      </c>
      <c r="B28" s="163"/>
      <c r="C28" s="163"/>
      <c r="D28" s="163"/>
      <c r="E28" s="163"/>
      <c r="F28" s="163"/>
      <c r="G28" s="163"/>
      <c r="H28" s="163"/>
      <c r="I28" s="163"/>
      <c r="J28" s="138"/>
      <c r="K28" s="138"/>
      <c r="L28" s="138"/>
    </row>
    <row r="29" spans="1:13" ht="15.75" thickBot="1" x14ac:dyDescent="0.3">
      <c r="A29" s="34"/>
      <c r="B29" s="162"/>
      <c r="C29" s="162"/>
      <c r="D29" s="162"/>
      <c r="E29" s="162"/>
      <c r="F29" s="162"/>
      <c r="G29" s="162"/>
      <c r="H29" s="162"/>
      <c r="I29" s="163"/>
      <c r="J29" s="138"/>
      <c r="K29" s="138"/>
      <c r="L29" s="138"/>
    </row>
    <row r="30" spans="1:13" ht="15" customHeight="1" thickTop="1" thickBot="1" x14ac:dyDescent="0.3">
      <c r="A30" s="275" t="s">
        <v>11</v>
      </c>
      <c r="B30" s="277" t="s">
        <v>3</v>
      </c>
      <c r="C30" s="278"/>
      <c r="D30" s="278"/>
      <c r="E30" s="278"/>
      <c r="F30" s="278"/>
      <c r="G30" s="278"/>
      <c r="H30" s="278"/>
      <c r="I30" s="279"/>
      <c r="J30" s="138"/>
      <c r="K30" s="138"/>
      <c r="L30" s="138"/>
    </row>
    <row r="31" spans="1:13" ht="35.25" thickTop="1" thickBot="1" x14ac:dyDescent="0.3">
      <c r="A31" s="276"/>
      <c r="B31" s="164" t="s">
        <v>295</v>
      </c>
      <c r="C31" s="165" t="s">
        <v>12</v>
      </c>
      <c r="D31" s="165" t="s">
        <v>296</v>
      </c>
      <c r="E31" s="166" t="s">
        <v>13</v>
      </c>
      <c r="F31" s="164" t="s">
        <v>14</v>
      </c>
      <c r="G31" s="165" t="s">
        <v>297</v>
      </c>
      <c r="H31" s="165" t="s">
        <v>15</v>
      </c>
      <c r="I31" s="165" t="s">
        <v>8</v>
      </c>
      <c r="J31" s="138"/>
      <c r="K31" s="138"/>
      <c r="L31" s="138"/>
    </row>
    <row r="32" spans="1:13" ht="15" customHeight="1" thickTop="1" thickBot="1" x14ac:dyDescent="0.3">
      <c r="A32" s="28" t="s">
        <v>16</v>
      </c>
      <c r="B32" s="156"/>
      <c r="C32" s="156"/>
      <c r="D32" s="156"/>
      <c r="E32" s="156"/>
      <c r="F32" s="156"/>
      <c r="G32" s="156"/>
      <c r="H32" s="156"/>
      <c r="I32" s="157"/>
      <c r="J32" s="138"/>
      <c r="K32" s="138"/>
      <c r="L32" s="138"/>
    </row>
    <row r="33" spans="1:13" ht="16.5" thickTop="1" thickBot="1" x14ac:dyDescent="0.3">
      <c r="A33" s="31" t="s">
        <v>17</v>
      </c>
      <c r="B33" s="168">
        <f>SUMIF(HKM!A:A,"012*",HKM!C:C)-SUMIF(HKM!A:A,"012*",HKM!D:D)</f>
        <v>0</v>
      </c>
      <c r="C33" s="168">
        <f>SUMIF(HKM!A:A,"013*",HKM!C:C)-SUMIF(HKM!A:A,"013*",HKM!D:D)</f>
        <v>0</v>
      </c>
      <c r="D33" s="168">
        <f>SUMIF(HKM!A:A,"014*",HKM!C:C)-SUMIF(HKM!A:A,"014*",HKM!D:D)</f>
        <v>0</v>
      </c>
      <c r="E33" s="168">
        <f>SUMIF(HKM!A:A,"015*",HKM!C:C)-SUMIF(HKM!A:A,"015*",HKM!D:D)</f>
        <v>0</v>
      </c>
      <c r="F33" s="168">
        <f>SUMIF(HKM!A:A,"019*",HKM!C:C)-SUMIF(HKM!A:A,"019*",HKM!D:D)</f>
        <v>0</v>
      </c>
      <c r="G33" s="168">
        <f>SUMIF(HKM!A:A,"041*",HKM!C:C)-SUMIF(HKM!A:A,"041*",HKM!D:D)</f>
        <v>0</v>
      </c>
      <c r="H33" s="168">
        <f>SUMIF(HKM!A:A,"051*",HKM!C:C)-SUMIF(HKM!A:A,"051*",HKM!D:D)</f>
        <v>0</v>
      </c>
      <c r="I33" s="153">
        <f>SUM(B33:H33)</f>
        <v>0</v>
      </c>
      <c r="J33" s="138"/>
      <c r="K33" s="154"/>
      <c r="L33" s="138"/>
    </row>
    <row r="34" spans="1:13" ht="15" customHeight="1" thickBot="1" x14ac:dyDescent="0.3">
      <c r="A34" s="13" t="s">
        <v>18</v>
      </c>
      <c r="B34" s="132"/>
      <c r="C34" s="132"/>
      <c r="D34" s="132"/>
      <c r="E34" s="132"/>
      <c r="F34" s="133"/>
      <c r="G34" s="132"/>
      <c r="H34" s="132"/>
      <c r="I34" s="153">
        <f>SUM(B34:H34)</f>
        <v>0</v>
      </c>
      <c r="J34" s="138"/>
      <c r="K34" s="138"/>
      <c r="L34" s="138"/>
    </row>
    <row r="35" spans="1:13" ht="15" customHeight="1" thickBot="1" x14ac:dyDescent="0.3">
      <c r="A35" s="13" t="s">
        <v>19</v>
      </c>
      <c r="B35" s="132"/>
      <c r="C35" s="132"/>
      <c r="D35" s="132"/>
      <c r="E35" s="132"/>
      <c r="F35" s="133"/>
      <c r="G35" s="132"/>
      <c r="H35" s="132"/>
      <c r="I35" s="153">
        <f t="shared" ref="I35:I36" si="3">SUM(B35:H35)</f>
        <v>0</v>
      </c>
      <c r="J35" s="138"/>
      <c r="K35" s="138"/>
      <c r="L35" s="138"/>
    </row>
    <row r="36" spans="1:13" ht="15" customHeight="1" thickBot="1" x14ac:dyDescent="0.3">
      <c r="A36" s="13" t="s">
        <v>20</v>
      </c>
      <c r="B36" s="132"/>
      <c r="C36" s="132"/>
      <c r="D36" s="132"/>
      <c r="E36" s="132"/>
      <c r="F36" s="133"/>
      <c r="G36" s="132"/>
      <c r="H36" s="132"/>
      <c r="I36" s="153">
        <f t="shared" si="3"/>
        <v>0</v>
      </c>
      <c r="J36" s="138"/>
      <c r="K36" s="138"/>
      <c r="L36" s="138"/>
    </row>
    <row r="37" spans="1:13" ht="15.75" thickBot="1" x14ac:dyDescent="0.3">
      <c r="A37" s="22" t="s">
        <v>21</v>
      </c>
      <c r="B37" s="168">
        <f>SUMIF(HKM!A:A,"012*",HKM!K:K)-SUMIF(HKM!A:A,"012*",HKM!L:L)</f>
        <v>0</v>
      </c>
      <c r="C37" s="168">
        <f>SUMIF(HKM!A:A,"013*",HKM!K:K)-SUMIF(HKM!A:A,"013*",HKM!L:L)</f>
        <v>0</v>
      </c>
      <c r="D37" s="168">
        <f>SUMIF(HKM!A:A,"014*",HKM!K:K)-SUMIF(HKM!A:A,"014*",HKM!L:L)</f>
        <v>0</v>
      </c>
      <c r="E37" s="168">
        <f>SUMIF(HKM!A:A,"015*",HKM!K:K)-SUMIF(HKM!A:A,"015*",HKM!L:L)</f>
        <v>0</v>
      </c>
      <c r="F37" s="168">
        <f>SUMIF(HKM!A:A,"019*",HKM!K:K)-SUMIF(HKM!A:A,"019*",HKM!L:L)</f>
        <v>0</v>
      </c>
      <c r="G37" s="168">
        <f>SUMIF(HKM!A:A,"041*",HKM!K:K)-SUMIF(HKM!A:A,"041*",HKM!L:L)</f>
        <v>0</v>
      </c>
      <c r="H37" s="168">
        <f>SUMIF(HKM!A:A,"051*",HKM!K:K)-SUMIF(HKM!A:A,"051*",HKM!L:L)</f>
        <v>0</v>
      </c>
      <c r="I37" s="155">
        <f>I33+I34-I35+I36</f>
        <v>0</v>
      </c>
      <c r="J37" s="138"/>
      <c r="K37" s="154"/>
      <c r="L37" s="138"/>
    </row>
    <row r="38" spans="1:13" ht="15" customHeight="1" thickTop="1" thickBot="1" x14ac:dyDescent="0.3">
      <c r="A38" s="28" t="s">
        <v>22</v>
      </c>
      <c r="B38" s="173"/>
      <c r="C38" s="173"/>
      <c r="D38" s="173"/>
      <c r="E38" s="173"/>
      <c r="F38" s="173"/>
      <c r="G38" s="173"/>
      <c r="H38" s="173"/>
      <c r="I38" s="157"/>
      <c r="J38" s="138"/>
      <c r="K38" s="138"/>
      <c r="L38" s="138"/>
    </row>
    <row r="39" spans="1:13" ht="16.5" thickTop="1" thickBot="1" x14ac:dyDescent="0.3">
      <c r="A39" s="31" t="s">
        <v>23</v>
      </c>
      <c r="B39" s="168">
        <f>SUMIF(HKM!A:A,"071*",HKM!D:D)-SUMIF(HKM!A:A,"071*",HKM!C:C)</f>
        <v>0</v>
      </c>
      <c r="C39" s="168">
        <f>SUMIF(HKM!A:A,"073*",HKM!D:D)-SUMIF(HKM!A:A,"073*",HKM!C:C)</f>
        <v>0</v>
      </c>
      <c r="D39" s="168">
        <f>SUMIF(HKM!A:A,"074*",HKM!D:D)-SUMIF(HKM!A:A,"074*",HKM!C:C)</f>
        <v>0</v>
      </c>
      <c r="E39" s="168">
        <f>SUMIF(HKM!A:A,"075*",HKM!D:D)-SUMIF(HKM!A:A,"075*",HKM!C:C)</f>
        <v>0</v>
      </c>
      <c r="F39" s="168">
        <f>SUMIF(HKM!A:A,"079*",HKM!D:D)-SUMIF(HKM!A:A,"079*",HKM!C:C)</f>
        <v>0</v>
      </c>
      <c r="G39" s="168"/>
      <c r="H39" s="168"/>
      <c r="I39" s="153">
        <f>SUM(B39:H39)</f>
        <v>0</v>
      </c>
      <c r="J39" s="138"/>
      <c r="K39" s="154"/>
      <c r="L39" s="138"/>
    </row>
    <row r="40" spans="1:13" ht="15" customHeight="1" thickBot="1" x14ac:dyDescent="0.3">
      <c r="A40" s="13" t="s">
        <v>18</v>
      </c>
      <c r="B40" s="132"/>
      <c r="C40" s="132"/>
      <c r="D40" s="132"/>
      <c r="E40" s="132"/>
      <c r="F40" s="132"/>
      <c r="G40" s="132"/>
      <c r="H40" s="132"/>
      <c r="I40" s="153">
        <f t="shared" ref="I40:I41" si="4">SUM(B40:H40)</f>
        <v>0</v>
      </c>
      <c r="J40" s="138"/>
      <c r="K40" s="138"/>
      <c r="L40" s="138"/>
    </row>
    <row r="41" spans="1:13" ht="15" customHeight="1" thickBot="1" x14ac:dyDescent="0.3">
      <c r="A41" s="88" t="s">
        <v>19</v>
      </c>
      <c r="B41" s="259"/>
      <c r="C41" s="259"/>
      <c r="D41" s="259"/>
      <c r="E41" s="259"/>
      <c r="F41" s="259"/>
      <c r="G41" s="259"/>
      <c r="H41" s="259"/>
      <c r="I41" s="254">
        <f t="shared" si="4"/>
        <v>0</v>
      </c>
      <c r="J41" s="138"/>
      <c r="K41" s="138"/>
      <c r="L41" s="138"/>
    </row>
    <row r="42" spans="1:13" s="139" customFormat="1" ht="15" customHeight="1" thickBot="1" x14ac:dyDescent="0.3">
      <c r="A42" s="262" t="s">
        <v>20</v>
      </c>
      <c r="B42" s="261"/>
      <c r="C42" s="261"/>
      <c r="D42" s="261"/>
      <c r="E42" s="261"/>
      <c r="F42" s="261"/>
      <c r="G42" s="261"/>
      <c r="H42" s="261"/>
      <c r="I42" s="255"/>
      <c r="J42" s="260"/>
      <c r="K42" s="260"/>
      <c r="L42" s="260"/>
    </row>
    <row r="43" spans="1:13" ht="15.75" thickBot="1" x14ac:dyDescent="0.3">
      <c r="A43" s="22" t="s">
        <v>21</v>
      </c>
      <c r="B43" s="168">
        <f>SUMIF(HKM!A:A,"071*",HKM!L:L)-SUMIF(HKM!A:A,"071*",HKM!K:K)</f>
        <v>0</v>
      </c>
      <c r="C43" s="168">
        <f>SUMIF(HKM!A:A,"073*",HKM!L:L)-SUMIF(HKM!A:A,"073*",HKM!K:K)</f>
        <v>0</v>
      </c>
      <c r="D43" s="168">
        <f>SUMIF(HKM!A:A,"074*",HKM!L:L)-SUMIF(HKM!A:A,"074*",HKM!K:K)</f>
        <v>0</v>
      </c>
      <c r="E43" s="168">
        <f>SUMIF(HKM!A:A,"075*",HKM!L:L)-SUMIF(HKM!A:A,"075*",HKM!K:K)</f>
        <v>0</v>
      </c>
      <c r="F43" s="168">
        <f>SUMIF(HKM!A:A,"079*",HKM!L:L)-SUMIF(HKM!A:A,"079*",HKM!K:K)</f>
        <v>0</v>
      </c>
      <c r="G43" s="135"/>
      <c r="H43" s="135"/>
      <c r="I43" s="155">
        <f>I39+I40-I41</f>
        <v>0</v>
      </c>
      <c r="J43" s="138"/>
      <c r="K43" s="154"/>
      <c r="L43" s="138"/>
    </row>
    <row r="44" spans="1:13" ht="15" customHeight="1" thickTop="1" thickBot="1" x14ac:dyDescent="0.3">
      <c r="A44" s="28" t="s">
        <v>24</v>
      </c>
      <c r="B44" s="173"/>
      <c r="C44" s="173"/>
      <c r="D44" s="173"/>
      <c r="E44" s="173"/>
      <c r="F44" s="173"/>
      <c r="G44" s="173"/>
      <c r="H44" s="173"/>
      <c r="I44" s="157"/>
      <c r="J44" s="138"/>
      <c r="K44" s="138"/>
      <c r="L44" s="138"/>
    </row>
    <row r="45" spans="1:13" ht="16.5" thickTop="1" thickBot="1" x14ac:dyDescent="0.3">
      <c r="A45" s="31" t="s">
        <v>23</v>
      </c>
      <c r="B45" s="168"/>
      <c r="C45" s="168"/>
      <c r="D45" s="168"/>
      <c r="E45" s="168"/>
      <c r="F45" s="168"/>
      <c r="G45" s="168">
        <f>SUMIF(HKM!A:A,"093*",HKM!D:D)-SUMIF(HKM!A:A,"093*",HKM!C:C)</f>
        <v>0</v>
      </c>
      <c r="H45" s="168"/>
      <c r="I45" s="153">
        <f>SUM(B45:H45)</f>
        <v>0</v>
      </c>
      <c r="J45" s="138"/>
      <c r="K45" s="154"/>
      <c r="L45" s="167"/>
      <c r="M45" s="112"/>
    </row>
    <row r="46" spans="1:13" ht="15" customHeight="1" thickBot="1" x14ac:dyDescent="0.3">
      <c r="A46" s="13" t="s">
        <v>18</v>
      </c>
      <c r="B46" s="132"/>
      <c r="C46" s="132"/>
      <c r="D46" s="132"/>
      <c r="E46" s="132"/>
      <c r="F46" s="132"/>
      <c r="G46" s="132"/>
      <c r="H46" s="132"/>
      <c r="I46" s="153">
        <f t="shared" ref="I46:I47" si="5">SUM(B46:H46)</f>
        <v>0</v>
      </c>
      <c r="J46" s="138"/>
      <c r="K46" s="161"/>
      <c r="L46" s="138"/>
    </row>
    <row r="47" spans="1:13" ht="15" customHeight="1" thickBot="1" x14ac:dyDescent="0.3">
      <c r="A47" s="13" t="s">
        <v>19</v>
      </c>
      <c r="B47" s="132"/>
      <c r="C47" s="132"/>
      <c r="D47" s="132"/>
      <c r="E47" s="132"/>
      <c r="F47" s="132"/>
      <c r="G47" s="132"/>
      <c r="H47" s="132"/>
      <c r="I47" s="153">
        <f t="shared" si="5"/>
        <v>0</v>
      </c>
      <c r="J47" s="138"/>
      <c r="K47" s="161"/>
      <c r="L47" s="138"/>
    </row>
    <row r="48" spans="1:13" ht="15" customHeight="1" thickBot="1" x14ac:dyDescent="0.3">
      <c r="A48" s="262" t="s">
        <v>20</v>
      </c>
      <c r="B48" s="132"/>
      <c r="C48" s="132"/>
      <c r="D48" s="132"/>
      <c r="E48" s="132"/>
      <c r="F48" s="132"/>
      <c r="G48" s="132"/>
      <c r="H48" s="132"/>
      <c r="I48" s="255"/>
      <c r="J48" s="138"/>
      <c r="K48" s="161"/>
      <c r="L48" s="138"/>
    </row>
    <row r="49" spans="1:13" ht="15.75" thickBot="1" x14ac:dyDescent="0.3">
      <c r="A49" s="22" t="s">
        <v>21</v>
      </c>
      <c r="B49" s="168"/>
      <c r="C49" s="168"/>
      <c r="D49" s="168"/>
      <c r="E49" s="168"/>
      <c r="F49" s="168"/>
      <c r="G49" s="168">
        <f>SUMIF(HKM!A:A,"093*",HKM!L:L)-SUMIF(HKM!A:A,"093*",HKM!K:K)</f>
        <v>0</v>
      </c>
      <c r="H49" s="168">
        <f>SUMIF(SUAM!C:C,"010",SUAM!E:E)</f>
        <v>0</v>
      </c>
      <c r="I49" s="155">
        <f>I45+I46-I47</f>
        <v>0</v>
      </c>
      <c r="J49" s="138"/>
      <c r="K49" s="154"/>
      <c r="L49" s="160"/>
      <c r="M49" s="112"/>
    </row>
    <row r="50" spans="1:13" ht="15" customHeight="1" thickTop="1" thickBot="1" x14ac:dyDescent="0.3">
      <c r="A50" s="28" t="s">
        <v>25</v>
      </c>
      <c r="B50" s="173"/>
      <c r="C50" s="173"/>
      <c r="D50" s="173"/>
      <c r="E50" s="173"/>
      <c r="F50" s="173"/>
      <c r="G50" s="173"/>
      <c r="H50" s="173"/>
      <c r="I50" s="157"/>
      <c r="J50" s="138"/>
      <c r="K50" s="138"/>
      <c r="L50" s="138"/>
    </row>
    <row r="51" spans="1:13" ht="15" customHeight="1" thickTop="1" thickBot="1" x14ac:dyDescent="0.3">
      <c r="A51" s="31" t="s">
        <v>23</v>
      </c>
      <c r="B51" s="132"/>
      <c r="C51" s="132"/>
      <c r="D51" s="132"/>
      <c r="E51" s="132"/>
      <c r="F51" s="132"/>
      <c r="G51" s="132"/>
      <c r="H51" s="132"/>
      <c r="I51" s="153">
        <f t="shared" ref="I51" si="6">I33-I39-I45</f>
        <v>0</v>
      </c>
      <c r="J51" s="138"/>
      <c r="K51" s="138"/>
      <c r="L51" s="138"/>
    </row>
    <row r="52" spans="1:13" ht="15" customHeight="1" thickBot="1" x14ac:dyDescent="0.3">
      <c r="A52" s="22" t="s">
        <v>21</v>
      </c>
      <c r="B52" s="135"/>
      <c r="C52" s="135"/>
      <c r="D52" s="135"/>
      <c r="E52" s="135"/>
      <c r="F52" s="135"/>
      <c r="G52" s="135"/>
      <c r="H52" s="135"/>
      <c r="I52" s="155">
        <f t="shared" ref="I52" si="7">I37-I43-I49</f>
        <v>0</v>
      </c>
      <c r="J52" s="138"/>
      <c r="K52" s="138"/>
      <c r="L52" s="138"/>
    </row>
    <row r="53" spans="1:13" ht="15.75" thickTop="1" x14ac:dyDescent="0.25"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388</v>
      </c>
    </row>
    <row r="2" spans="1:6" ht="21.7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6" ht="21.75" customHeight="1" thickTop="1" thickBot="1" x14ac:dyDescent="0.3">
      <c r="A3" s="71" t="s">
        <v>186</v>
      </c>
      <c r="B3" s="229">
        <f>SUMIF(HK!A:A,"472*",HK!D:D)-SUMIF(HK!A:A,"472*",HK!C:C)</f>
        <v>0</v>
      </c>
      <c r="C3" s="209">
        <f>SUMIF(HKM!A:A,"472*",HKM!D:D)-SUMIF(HKM!A:A,"472*",HKM!C:C)</f>
        <v>0</v>
      </c>
      <c r="D3" s="203"/>
      <c r="E3" s="230"/>
      <c r="F3" s="203"/>
    </row>
    <row r="4" spans="1:6" ht="21.75" customHeight="1" thickBot="1" x14ac:dyDescent="0.3">
      <c r="A4" s="50" t="s">
        <v>187</v>
      </c>
      <c r="B4" s="208"/>
      <c r="C4" s="214"/>
      <c r="D4" s="203"/>
      <c r="E4" s="203"/>
      <c r="F4" s="203"/>
    </row>
    <row r="5" spans="1:6" ht="21.75" customHeight="1" thickBot="1" x14ac:dyDescent="0.3">
      <c r="A5" s="50" t="s">
        <v>188</v>
      </c>
      <c r="B5" s="208"/>
      <c r="C5" s="214"/>
      <c r="D5" s="203"/>
      <c r="E5" s="203"/>
      <c r="F5" s="203"/>
    </row>
    <row r="6" spans="1:6" ht="21.75" customHeight="1" thickBot="1" x14ac:dyDescent="0.3">
      <c r="A6" s="50" t="s">
        <v>189</v>
      </c>
      <c r="B6" s="208"/>
      <c r="C6" s="214"/>
      <c r="D6" s="203"/>
      <c r="E6" s="203"/>
      <c r="F6" s="203"/>
    </row>
    <row r="7" spans="1:6" ht="21.75" customHeight="1" thickBot="1" x14ac:dyDescent="0.3">
      <c r="A7" s="71" t="s">
        <v>190</v>
      </c>
      <c r="B7" s="208">
        <f>SUM(B4:B6)</f>
        <v>0</v>
      </c>
      <c r="C7" s="214">
        <f>SUM(C4:C6)</f>
        <v>0</v>
      </c>
      <c r="D7" s="203"/>
      <c r="E7" s="203"/>
      <c r="F7" s="203"/>
    </row>
    <row r="8" spans="1:6" ht="21.75" customHeight="1" thickBot="1" x14ac:dyDescent="0.3">
      <c r="A8" s="71" t="s">
        <v>191</v>
      </c>
      <c r="B8" s="208"/>
      <c r="C8" s="214"/>
      <c r="D8" s="203"/>
      <c r="E8" s="203"/>
      <c r="F8" s="203"/>
    </row>
    <row r="9" spans="1:6" ht="21.75" customHeight="1" thickBot="1" x14ac:dyDescent="0.3">
      <c r="A9" s="51" t="s">
        <v>192</v>
      </c>
      <c r="B9" s="231">
        <f>SUMIF(HK!A:A,"472*",HK!L:L)-SUMIF(HK!A:A,"472*",HK!K:K)</f>
        <v>0</v>
      </c>
      <c r="C9" s="227">
        <f>SUMIF(HKM!A:A,"472*",HKM!L:L)-SUMIF(HKM!A:A,"472*",HKM!K:K)</f>
        <v>0</v>
      </c>
      <c r="D9" s="203"/>
      <c r="E9" s="230"/>
      <c r="F9" s="203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7"/>
  <sheetViews>
    <sheetView showGridLines="0" zoomScaleNormal="100" workbookViewId="0">
      <selection activeCell="C15" sqref="C15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1" t="s">
        <v>389</v>
      </c>
    </row>
    <row r="2" spans="1:6" s="3" customFormat="1" ht="21.75" customHeight="1" thickTop="1" thickBot="1" x14ac:dyDescent="0.3">
      <c r="A2" s="44" t="s">
        <v>193</v>
      </c>
      <c r="B2" s="26" t="s">
        <v>194</v>
      </c>
      <c r="C2" s="26" t="s">
        <v>195</v>
      </c>
      <c r="D2" s="26" t="s">
        <v>196</v>
      </c>
      <c r="E2" s="26" t="s">
        <v>197</v>
      </c>
      <c r="F2" s="26" t="s">
        <v>141</v>
      </c>
    </row>
    <row r="3" spans="1:6" ht="21.75" customHeight="1" thickTop="1" thickBot="1" x14ac:dyDescent="0.3">
      <c r="A3" s="76"/>
      <c r="B3" s="74"/>
      <c r="C3" s="57"/>
      <c r="D3" s="57"/>
      <c r="E3" s="57"/>
      <c r="F3" s="58"/>
    </row>
    <row r="4" spans="1:6" ht="21.75" customHeight="1" thickBot="1" x14ac:dyDescent="0.3">
      <c r="A4" s="76"/>
      <c r="B4" s="74"/>
      <c r="C4" s="57"/>
      <c r="D4" s="57"/>
      <c r="E4" s="57"/>
      <c r="F4" s="58"/>
    </row>
    <row r="5" spans="1:6" ht="21.75" customHeight="1" thickBot="1" x14ac:dyDescent="0.3">
      <c r="A5" s="76"/>
      <c r="B5" s="74"/>
      <c r="C5" s="57"/>
      <c r="D5" s="57"/>
      <c r="E5" s="57"/>
      <c r="F5" s="58"/>
    </row>
    <row r="6" spans="1:6" ht="21.75" customHeight="1" thickBot="1" x14ac:dyDescent="0.3">
      <c r="A6" s="77"/>
      <c r="B6" s="75"/>
      <c r="C6" s="63"/>
      <c r="D6" s="63"/>
      <c r="E6" s="63"/>
      <c r="F6" s="56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topLeftCell="A10" zoomScaleNormal="100" workbookViewId="0">
      <selection activeCell="F26" sqref="F26"/>
    </sheetView>
  </sheetViews>
  <sheetFormatPr defaultColWidth="9.140625" defaultRowHeight="11.25" x14ac:dyDescent="0.25"/>
  <cols>
    <col min="1" max="1" width="23" style="19" customWidth="1"/>
    <col min="2" max="2" width="8.28515625" style="19" customWidth="1"/>
    <col min="3" max="6" width="13.85546875" style="19" customWidth="1"/>
    <col min="7" max="7" width="23.28515625" style="19" customWidth="1"/>
    <col min="8" max="16384" width="9.140625" style="19"/>
  </cols>
  <sheetData>
    <row r="1" spans="1:9" ht="18.75" customHeight="1" x14ac:dyDescent="0.25">
      <c r="A1" s="304" t="s">
        <v>390</v>
      </c>
      <c r="B1" s="304"/>
      <c r="C1" s="304"/>
      <c r="D1" s="304"/>
      <c r="E1" s="304"/>
      <c r="F1" s="304"/>
      <c r="G1" s="304"/>
    </row>
    <row r="2" spans="1:9" ht="12" thickBot="1" x14ac:dyDescent="0.3">
      <c r="A2" s="19" t="s">
        <v>7</v>
      </c>
    </row>
    <row r="3" spans="1:9" ht="66.75" customHeight="1" thickTop="1" thickBot="1" x14ac:dyDescent="0.3">
      <c r="A3" s="18" t="s">
        <v>105</v>
      </c>
      <c r="B3" s="18" t="s">
        <v>198</v>
      </c>
      <c r="C3" s="36" t="s">
        <v>319</v>
      </c>
      <c r="D3" s="18" t="s">
        <v>199</v>
      </c>
      <c r="E3" s="18" t="s">
        <v>200</v>
      </c>
      <c r="F3" s="18" t="s">
        <v>201</v>
      </c>
    </row>
    <row r="4" spans="1:9" ht="21.75" customHeight="1" thickTop="1" thickBot="1" x14ac:dyDescent="0.3">
      <c r="A4" s="37" t="s">
        <v>202</v>
      </c>
      <c r="B4" s="65"/>
      <c r="C4" s="65"/>
      <c r="D4" s="65"/>
      <c r="E4" s="65"/>
      <c r="F4" s="61"/>
    </row>
    <row r="5" spans="1:9" ht="21.75" customHeight="1" thickTop="1" thickBot="1" x14ac:dyDescent="0.3">
      <c r="A5" s="52"/>
      <c r="B5" s="122"/>
      <c r="C5" s="123"/>
      <c r="D5" s="124"/>
      <c r="E5" s="96"/>
      <c r="F5" s="55"/>
    </row>
    <row r="6" spans="1:9" ht="21.75" customHeight="1" thickBot="1" x14ac:dyDescent="0.3">
      <c r="A6" s="110"/>
      <c r="B6" s="78"/>
      <c r="C6" s="81"/>
      <c r="D6" s="66"/>
      <c r="E6" s="57"/>
      <c r="F6" s="58"/>
    </row>
    <row r="7" spans="1:9" ht="21.75" customHeight="1" thickBot="1" x14ac:dyDescent="0.3">
      <c r="A7" s="110"/>
      <c r="B7" s="78"/>
      <c r="C7" s="81"/>
      <c r="D7" s="66"/>
      <c r="E7" s="229">
        <f>SUMIF(SUP!C:C,"121",SUP!D:D)</f>
        <v>0</v>
      </c>
      <c r="F7" s="209">
        <f>SUMIF(SUP!C:C,"121",SUP!E:E)</f>
        <v>0</v>
      </c>
      <c r="G7" s="190"/>
      <c r="H7" s="232"/>
      <c r="I7" s="190"/>
    </row>
    <row r="8" spans="1:9" ht="21.75" customHeight="1" thickBot="1" x14ac:dyDescent="0.3">
      <c r="A8" s="69" t="s">
        <v>203</v>
      </c>
      <c r="B8" s="79"/>
      <c r="C8" s="82"/>
      <c r="D8" s="82"/>
      <c r="E8" s="233"/>
      <c r="F8" s="234"/>
      <c r="G8" s="190"/>
      <c r="H8" s="190"/>
      <c r="I8" s="190"/>
    </row>
    <row r="9" spans="1:9" ht="21.75" customHeight="1" thickTop="1" thickBot="1" x14ac:dyDescent="0.3">
      <c r="A9" s="110"/>
      <c r="B9" s="78"/>
      <c r="C9" s="81"/>
      <c r="D9" s="66"/>
      <c r="E9" s="208"/>
      <c r="F9" s="214"/>
      <c r="G9" s="190"/>
      <c r="H9" s="190"/>
      <c r="I9" s="190"/>
    </row>
    <row r="10" spans="1:9" ht="21.75" customHeight="1" thickBot="1" x14ac:dyDescent="0.3">
      <c r="A10" s="110"/>
      <c r="B10" s="78"/>
      <c r="C10" s="81"/>
      <c r="D10" s="66"/>
      <c r="E10" s="208"/>
      <c r="F10" s="214"/>
      <c r="G10" s="190"/>
      <c r="H10" s="190"/>
      <c r="I10" s="190"/>
    </row>
    <row r="11" spans="1:9" ht="21.75" customHeight="1" thickBot="1" x14ac:dyDescent="0.3">
      <c r="A11" s="51"/>
      <c r="B11" s="80"/>
      <c r="C11" s="84"/>
      <c r="D11" s="67"/>
      <c r="E11" s="231">
        <f>SUMIF(SUP!C:C,"139",SUP!D:D)</f>
        <v>0</v>
      </c>
      <c r="F11" s="227">
        <f>SUMIF(SUP!C:C,"139",SUP!E:E)</f>
        <v>0</v>
      </c>
      <c r="G11" s="190"/>
      <c r="H11" s="232"/>
      <c r="I11" s="190"/>
    </row>
    <row r="12" spans="1:9" ht="12" thickTop="1" x14ac:dyDescent="0.25">
      <c r="A12" s="68"/>
    </row>
    <row r="13" spans="1:9" ht="12" thickBot="1" x14ac:dyDescent="0.3">
      <c r="A13" s="19" t="s">
        <v>9</v>
      </c>
    </row>
    <row r="14" spans="1:9" ht="66.75" customHeight="1" thickTop="1" thickBot="1" x14ac:dyDescent="0.3">
      <c r="A14" s="18" t="s">
        <v>105</v>
      </c>
      <c r="B14" s="18" t="s">
        <v>198</v>
      </c>
      <c r="C14" s="36" t="s">
        <v>319</v>
      </c>
      <c r="D14" s="18" t="s">
        <v>199</v>
      </c>
      <c r="E14" s="18" t="s">
        <v>200</v>
      </c>
      <c r="F14" s="18" t="s">
        <v>201</v>
      </c>
    </row>
    <row r="15" spans="1:9" ht="21.75" customHeight="1" thickTop="1" thickBot="1" x14ac:dyDescent="0.3">
      <c r="A15" s="37" t="s">
        <v>316</v>
      </c>
      <c r="B15" s="65"/>
      <c r="C15" s="65"/>
      <c r="D15" s="65"/>
      <c r="E15" s="65"/>
      <c r="F15" s="61"/>
    </row>
    <row r="16" spans="1:9" ht="21.75" customHeight="1" thickTop="1" thickBot="1" x14ac:dyDescent="0.3">
      <c r="A16" s="50"/>
      <c r="B16" s="78"/>
      <c r="C16" s="81"/>
      <c r="D16" s="66"/>
      <c r="E16" s="57"/>
      <c r="F16" s="58"/>
    </row>
    <row r="17" spans="1:8" ht="21.75" customHeight="1" thickBot="1" x14ac:dyDescent="0.3">
      <c r="A17" s="50"/>
      <c r="B17" s="78"/>
      <c r="C17" s="81"/>
      <c r="D17" s="66"/>
      <c r="E17" s="57"/>
      <c r="F17" s="58"/>
    </row>
    <row r="18" spans="1:8" ht="21.75" customHeight="1" thickBot="1" x14ac:dyDescent="0.3">
      <c r="A18" s="50"/>
      <c r="B18" s="78"/>
      <c r="C18" s="81"/>
      <c r="D18" s="66"/>
      <c r="E18" s="57"/>
      <c r="F18" s="58"/>
    </row>
    <row r="19" spans="1:8" ht="21.75" customHeight="1" thickBot="1" x14ac:dyDescent="0.3">
      <c r="A19" s="69" t="s">
        <v>317</v>
      </c>
      <c r="B19" s="79"/>
      <c r="C19" s="82"/>
      <c r="D19" s="82"/>
      <c r="E19" s="82"/>
      <c r="F19" s="83"/>
    </row>
    <row r="20" spans="1:8" ht="21.75" customHeight="1" thickTop="1" thickBot="1" x14ac:dyDescent="0.3">
      <c r="A20" s="50"/>
      <c r="B20" s="78"/>
      <c r="C20" s="81"/>
      <c r="D20" s="66"/>
      <c r="E20" s="57"/>
      <c r="F20" s="58"/>
    </row>
    <row r="21" spans="1:8" ht="21.75" customHeight="1" thickBot="1" x14ac:dyDescent="0.3">
      <c r="A21" s="50"/>
      <c r="B21" s="78"/>
      <c r="C21" s="81"/>
      <c r="D21" s="66"/>
      <c r="E21" s="57"/>
      <c r="F21" s="58"/>
    </row>
    <row r="22" spans="1:8" ht="21.75" customHeight="1" thickBot="1" x14ac:dyDescent="0.3">
      <c r="A22" s="50"/>
      <c r="B22" s="78"/>
      <c r="C22" s="81"/>
      <c r="D22" s="66"/>
      <c r="E22" s="57"/>
      <c r="F22" s="58"/>
    </row>
    <row r="23" spans="1:8" ht="21.75" customHeight="1" thickBot="1" x14ac:dyDescent="0.3">
      <c r="A23" s="69" t="s">
        <v>318</v>
      </c>
      <c r="B23" s="79"/>
      <c r="C23" s="82"/>
      <c r="D23" s="82"/>
      <c r="E23" s="82"/>
      <c r="F23" s="83"/>
    </row>
    <row r="24" spans="1:8" ht="21.75" customHeight="1" thickTop="1" thickBot="1" x14ac:dyDescent="0.3">
      <c r="A24" s="50"/>
      <c r="B24" s="78"/>
      <c r="C24" s="81"/>
      <c r="D24" s="66"/>
      <c r="E24" s="57"/>
      <c r="F24" s="58"/>
    </row>
    <row r="25" spans="1:8" ht="21.75" customHeight="1" thickBot="1" x14ac:dyDescent="0.3">
      <c r="A25" s="51"/>
      <c r="B25" s="80"/>
      <c r="C25" s="84"/>
      <c r="D25" s="67"/>
      <c r="E25" s="231">
        <f>SUMIF(SUP!C:C,"140",SUP!D:D)</f>
        <v>0</v>
      </c>
      <c r="F25" s="227">
        <f>SUMIF(SUP!C:C,"140",SUP!E:E)</f>
        <v>0</v>
      </c>
      <c r="G25" s="190"/>
      <c r="H25" s="232"/>
    </row>
    <row r="26" spans="1:8" ht="12" thickTop="1" x14ac:dyDescent="0.25">
      <c r="E26" s="190"/>
      <c r="F26" s="190"/>
      <c r="G26" s="190"/>
      <c r="H26" s="190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5"/>
  <sheetViews>
    <sheetView showGridLines="0" zoomScaleNormal="100" workbookViewId="0">
      <selection activeCell="G27" sqref="G27"/>
    </sheetView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305" t="s">
        <v>391</v>
      </c>
      <c r="B1" s="305"/>
      <c r="C1" s="305"/>
      <c r="D1" s="305"/>
    </row>
    <row r="2" spans="1:4" ht="24" customHeight="1" thickBot="1" x14ac:dyDescent="0.3">
      <c r="A2" s="19" t="s">
        <v>7</v>
      </c>
      <c r="B2" s="19"/>
      <c r="C2" s="19"/>
      <c r="D2" s="19"/>
    </row>
    <row r="3" spans="1:4" ht="16.5" thickTop="1" thickBot="1" x14ac:dyDescent="0.3">
      <c r="A3" s="297" t="s">
        <v>105</v>
      </c>
      <c r="B3" s="280" t="s">
        <v>204</v>
      </c>
      <c r="C3" s="281"/>
      <c r="D3" s="275" t="s">
        <v>205</v>
      </c>
    </row>
    <row r="4" spans="1:4" ht="16.5" thickTop="1" thickBot="1" x14ac:dyDescent="0.3">
      <c r="A4" s="299"/>
      <c r="B4" s="20" t="s">
        <v>206</v>
      </c>
      <c r="C4" s="246" t="s">
        <v>207</v>
      </c>
      <c r="D4" s="290"/>
    </row>
    <row r="5" spans="1:4" ht="24" thickTop="1" thickBot="1" x14ac:dyDescent="0.3">
      <c r="A5" s="22" t="s">
        <v>208</v>
      </c>
      <c r="B5" s="43"/>
      <c r="C5" s="43"/>
      <c r="D5" s="45"/>
    </row>
    <row r="6" spans="1:4" ht="16.5" thickTop="1" thickBot="1" x14ac:dyDescent="0.3">
      <c r="A6" s="13"/>
      <c r="B6" s="57"/>
      <c r="C6" s="57"/>
      <c r="D6" s="58"/>
    </row>
    <row r="7" spans="1:4" ht="15.75" thickBot="1" x14ac:dyDescent="0.3">
      <c r="A7" s="13"/>
      <c r="B7" s="57"/>
      <c r="C7" s="57"/>
      <c r="D7" s="58"/>
    </row>
    <row r="8" spans="1:4" ht="15.75" thickBot="1" x14ac:dyDescent="0.3">
      <c r="A8" s="13"/>
      <c r="B8" s="57"/>
      <c r="C8" s="57"/>
      <c r="D8" s="58"/>
    </row>
    <row r="9" spans="1:4" ht="15.75" thickBot="1" x14ac:dyDescent="0.3">
      <c r="A9" s="15"/>
      <c r="B9" s="63"/>
      <c r="C9" s="102"/>
      <c r="D9" s="56"/>
    </row>
    <row r="10" spans="1:4" ht="16.5" thickTop="1" thickBot="1" x14ac:dyDescent="0.3">
      <c r="A10" s="22" t="s">
        <v>209</v>
      </c>
      <c r="B10" s="63"/>
      <c r="C10" s="103"/>
      <c r="D10" s="56"/>
    </row>
    <row r="11" spans="1:4" ht="16.5" thickTop="1" thickBot="1" x14ac:dyDescent="0.3">
      <c r="A11" s="13"/>
      <c r="B11" s="57"/>
      <c r="C11" s="57"/>
      <c r="D11" s="58"/>
    </row>
    <row r="12" spans="1:4" ht="15.75" thickBot="1" x14ac:dyDescent="0.3">
      <c r="A12" s="13"/>
      <c r="B12" s="57"/>
      <c r="C12" s="57"/>
      <c r="D12" s="58"/>
    </row>
    <row r="13" spans="1:4" ht="15.75" thickBot="1" x14ac:dyDescent="0.3">
      <c r="A13" s="13"/>
      <c r="B13" s="57"/>
      <c r="C13" s="57"/>
      <c r="D13" s="58"/>
    </row>
    <row r="14" spans="1:4" ht="15.75" thickBot="1" x14ac:dyDescent="0.3">
      <c r="A14" s="22"/>
      <c r="B14" s="63"/>
      <c r="C14" s="63"/>
      <c r="D14" s="56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7"/>
  <sheetViews>
    <sheetView showGridLines="0" zoomScaleNormal="100" workbookViewId="0">
      <selection activeCell="B29" sqref="B29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303" t="s">
        <v>391</v>
      </c>
      <c r="B1" s="303"/>
      <c r="C1" s="303"/>
      <c r="D1" s="303"/>
      <c r="E1" s="303"/>
    </row>
    <row r="2" spans="1:5" x14ac:dyDescent="0.25">
      <c r="A2" s="19"/>
      <c r="B2" s="19"/>
      <c r="C2" s="19"/>
      <c r="D2" s="19"/>
      <c r="E2" s="19"/>
    </row>
    <row r="3" spans="1:5" ht="15.75" thickBot="1" x14ac:dyDescent="0.3">
      <c r="A3" s="19" t="s">
        <v>9</v>
      </c>
      <c r="B3" s="19"/>
      <c r="C3" s="19"/>
      <c r="D3" s="19"/>
      <c r="E3" s="19"/>
    </row>
    <row r="4" spans="1:5" ht="24" customHeight="1" thickTop="1" thickBot="1" x14ac:dyDescent="0.3">
      <c r="A4" s="297" t="s">
        <v>105</v>
      </c>
      <c r="B4" s="280" t="s">
        <v>2</v>
      </c>
      <c r="C4" s="282"/>
      <c r="D4" s="280" t="s">
        <v>3</v>
      </c>
      <c r="E4" s="282"/>
    </row>
    <row r="5" spans="1:5" ht="16.5" thickTop="1" thickBot="1" x14ac:dyDescent="0.3">
      <c r="A5" s="298"/>
      <c r="B5" s="280" t="s">
        <v>210</v>
      </c>
      <c r="C5" s="282"/>
      <c r="D5" s="280" t="s">
        <v>210</v>
      </c>
      <c r="E5" s="282"/>
    </row>
    <row r="6" spans="1:5" ht="24" thickTop="1" thickBot="1" x14ac:dyDescent="0.3">
      <c r="A6" s="299"/>
      <c r="B6" s="20" t="s">
        <v>211</v>
      </c>
      <c r="C6" s="20" t="s">
        <v>212</v>
      </c>
      <c r="D6" s="20" t="s">
        <v>211</v>
      </c>
      <c r="E6" s="20" t="s">
        <v>212</v>
      </c>
    </row>
    <row r="7" spans="1:5" ht="35.25" thickTop="1" thickBot="1" x14ac:dyDescent="0.3">
      <c r="A7" s="22" t="s">
        <v>208</v>
      </c>
      <c r="B7" s="43"/>
      <c r="C7" s="43"/>
      <c r="D7" s="45"/>
      <c r="E7" s="45"/>
    </row>
    <row r="8" spans="1:5" ht="16.5" thickTop="1" thickBot="1" x14ac:dyDescent="0.3">
      <c r="A8" s="13"/>
      <c r="B8" s="57"/>
      <c r="C8" s="57"/>
      <c r="D8" s="58"/>
      <c r="E8" s="58"/>
    </row>
    <row r="9" spans="1:5" ht="15.75" thickBot="1" x14ac:dyDescent="0.3">
      <c r="A9" s="13"/>
      <c r="B9" s="57"/>
      <c r="C9" s="57"/>
      <c r="D9" s="58"/>
      <c r="E9" s="58"/>
    </row>
    <row r="10" spans="1:5" ht="15.75" thickBot="1" x14ac:dyDescent="0.3">
      <c r="A10" s="13"/>
      <c r="B10" s="57"/>
      <c r="C10" s="57"/>
      <c r="D10" s="58"/>
      <c r="E10" s="58"/>
    </row>
    <row r="11" spans="1:5" ht="15.75" thickBot="1" x14ac:dyDescent="0.3">
      <c r="A11" s="15"/>
      <c r="B11" s="63"/>
      <c r="C11" s="102"/>
      <c r="D11" s="56"/>
      <c r="E11" s="56"/>
    </row>
    <row r="12" spans="1:5" ht="24" thickTop="1" thickBot="1" x14ac:dyDescent="0.3">
      <c r="A12" s="22" t="s">
        <v>209</v>
      </c>
      <c r="B12" s="63"/>
      <c r="C12" s="103"/>
      <c r="D12" s="56"/>
      <c r="E12" s="56"/>
    </row>
    <row r="13" spans="1:5" ht="16.5" thickTop="1" thickBot="1" x14ac:dyDescent="0.3">
      <c r="A13" s="13"/>
      <c r="B13" s="57"/>
      <c r="C13" s="57"/>
      <c r="D13" s="58"/>
      <c r="E13" s="58"/>
    </row>
    <row r="14" spans="1:5" ht="15.75" thickBot="1" x14ac:dyDescent="0.3">
      <c r="A14" s="13"/>
      <c r="B14" s="57"/>
      <c r="C14" s="57"/>
      <c r="D14" s="58"/>
      <c r="E14" s="58"/>
    </row>
    <row r="15" spans="1:5" ht="15.75" thickBot="1" x14ac:dyDescent="0.3">
      <c r="A15" s="13"/>
      <c r="B15" s="57"/>
      <c r="C15" s="57"/>
      <c r="D15" s="58"/>
      <c r="E15" s="58"/>
    </row>
    <row r="16" spans="1:5" ht="15.75" thickBot="1" x14ac:dyDescent="0.3">
      <c r="A16" s="22"/>
      <c r="B16" s="63"/>
      <c r="C16" s="63"/>
      <c r="D16" s="56"/>
      <c r="E16" s="56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7" sqref="C27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392</v>
      </c>
    </row>
    <row r="2" spans="1:3" ht="16.5" thickTop="1" thickBot="1" x14ac:dyDescent="0.3">
      <c r="A2" s="297" t="s">
        <v>213</v>
      </c>
      <c r="B2" s="280" t="s">
        <v>214</v>
      </c>
      <c r="C2" s="282"/>
    </row>
    <row r="3" spans="1:3" ht="24" thickTop="1" thickBot="1" x14ac:dyDescent="0.3">
      <c r="A3" s="299"/>
      <c r="B3" s="49" t="s">
        <v>2</v>
      </c>
      <c r="C3" s="49" t="s">
        <v>3</v>
      </c>
    </row>
    <row r="4" spans="1:3" ht="20.25" customHeight="1" thickTop="1" thickBot="1" x14ac:dyDescent="0.3">
      <c r="A4" s="13" t="s">
        <v>215</v>
      </c>
      <c r="B4" s="57"/>
      <c r="C4" s="58"/>
    </row>
    <row r="5" spans="1:3" ht="20.25" customHeight="1" thickBot="1" x14ac:dyDescent="0.3">
      <c r="A5" s="13" t="s">
        <v>216</v>
      </c>
      <c r="B5" s="57"/>
      <c r="C5" s="58"/>
    </row>
    <row r="6" spans="1:3" ht="26.25" customHeight="1" thickBot="1" x14ac:dyDescent="0.3">
      <c r="A6" s="13" t="s">
        <v>217</v>
      </c>
      <c r="B6" s="57"/>
      <c r="C6" s="58"/>
    </row>
    <row r="7" spans="1:3" ht="24.75" customHeight="1" thickBot="1" x14ac:dyDescent="0.3">
      <c r="A7" s="13" t="s">
        <v>218</v>
      </c>
      <c r="B7" s="57"/>
      <c r="C7" s="58"/>
    </row>
    <row r="8" spans="1:3" ht="20.25" customHeight="1" thickBot="1" x14ac:dyDescent="0.3">
      <c r="A8" s="22" t="s">
        <v>8</v>
      </c>
      <c r="B8" s="63">
        <f>SUM(B4:B7)</f>
        <v>0</v>
      </c>
      <c r="C8" s="56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"/>
  <sheetViews>
    <sheetView showGridLines="0" zoomScaleNormal="100" workbookViewId="0">
      <selection activeCell="E22" sqref="E22"/>
    </sheetView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1" t="s">
        <v>393</v>
      </c>
    </row>
    <row r="2" spans="1:7" ht="30.75" customHeight="1" thickTop="1" thickBot="1" x14ac:dyDescent="0.3">
      <c r="A2" s="297" t="s">
        <v>1</v>
      </c>
      <c r="B2" s="300" t="s">
        <v>2</v>
      </c>
      <c r="C2" s="301"/>
      <c r="D2" s="302"/>
      <c r="E2" s="280" t="s">
        <v>3</v>
      </c>
      <c r="F2" s="281"/>
      <c r="G2" s="282"/>
    </row>
    <row r="3" spans="1:7" ht="16.5" thickTop="1" thickBot="1" x14ac:dyDescent="0.3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46.5" thickTop="1" thickBot="1" x14ac:dyDescent="0.3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thickTop="1" thickBot="1" x14ac:dyDescent="0.3">
      <c r="A5" s="52" t="s">
        <v>145</v>
      </c>
      <c r="B5" s="96"/>
      <c r="C5" s="96"/>
      <c r="D5" s="96"/>
      <c r="E5" s="96"/>
      <c r="F5" s="96"/>
      <c r="G5" s="55"/>
    </row>
    <row r="6" spans="1:7" ht="15.75" thickBot="1" x14ac:dyDescent="0.3">
      <c r="A6" s="251" t="s">
        <v>219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394</v>
      </c>
    </row>
    <row r="2" spans="1:10" ht="33" customHeight="1" thickTop="1" thickBot="1" x14ac:dyDescent="0.3">
      <c r="A2" s="297" t="s">
        <v>105</v>
      </c>
      <c r="B2" s="26" t="s">
        <v>2</v>
      </c>
      <c r="C2" s="280" t="s">
        <v>3</v>
      </c>
      <c r="D2" s="282"/>
      <c r="E2" s="280" t="s">
        <v>220</v>
      </c>
      <c r="F2" s="282"/>
    </row>
    <row r="3" spans="1:10" ht="45" customHeight="1" thickTop="1" thickBot="1" x14ac:dyDescent="0.3">
      <c r="A3" s="299"/>
      <c r="B3" s="20" t="s">
        <v>221</v>
      </c>
      <c r="C3" s="20" t="s">
        <v>221</v>
      </c>
      <c r="D3" s="20" t="s">
        <v>222</v>
      </c>
      <c r="E3" s="20" t="s">
        <v>2</v>
      </c>
      <c r="F3" s="20" t="s">
        <v>321</v>
      </c>
    </row>
    <row r="4" spans="1:10" ht="35.25" thickTop="1" thickBot="1" x14ac:dyDescent="0.3">
      <c r="A4" s="88" t="s">
        <v>320</v>
      </c>
      <c r="B4" s="202">
        <f>SUMIF(HK!A:A,"121*",HK!K:K)-SUMIF(HK!A:A,"121*",HK!L:L)+SUMIF(HK!A:A,"122*",HK!K:K)-SUMIF(HK!A:A,"122*",HK!L:L)</f>
        <v>0</v>
      </c>
      <c r="C4" s="202">
        <f>SUMIF(HKM!A:A,"121*",HKM!K:K)-SUMIF(HKM!A:A,"121*",HKM!L:L)+SUMIF(HKM!A:A,"122*",HKM!K:K)-SUMIF(HKM!A:A,"122*",HKM!L:L)</f>
        <v>0</v>
      </c>
      <c r="D4" s="202">
        <f>SUMIF(HKM!A:A,"121*",HKM!C:C)-SUMIF(HKM!A:A,"121*",HKM!D:D)+SUMIF(HKM!A:A,"122*",HKM!C:C)-SUMIF(HKM!A:A,"122*",HKM!D:D)</f>
        <v>0</v>
      </c>
      <c r="E4" s="202">
        <f>SUMIF(HK!A:A,"611*",HK!L:L)-SUMIF(HK!A:A,"611*",HK!K:K)+SUMIF(HK!A:A,"612*",HK!L:L)-SUMIF(HK!A:A,"611*",HK!K:K)</f>
        <v>0</v>
      </c>
      <c r="F4" s="202">
        <f>SUMIF(HKM!A:A,"611*",HKM!L:L)-SUMIF(HKM!A:A,"611*",HKM!K:K)+SUMIF(HKM!A:A,"612*",HKM!L:L)-SUMIF(HKM!A:A,"612*",HKM!K:K)</f>
        <v>0</v>
      </c>
      <c r="G4" s="203"/>
      <c r="H4" s="199"/>
      <c r="I4" s="203"/>
      <c r="J4" s="203"/>
    </row>
    <row r="5" spans="1:10" ht="15.75" thickBot="1" x14ac:dyDescent="0.3">
      <c r="A5" s="86" t="s">
        <v>70</v>
      </c>
      <c r="B5" s="202">
        <f>SUMIF(HK!A:A,"123*",HK!K:K)-SUMIF(HK!A:A,"123*",HK!L:L)</f>
        <v>0</v>
      </c>
      <c r="C5" s="202">
        <f>SUMIF(HKM!A:A,"123*",HKM!K:K)-SUMIF(HKM!A:A,"123*",HKM!L:L)</f>
        <v>0</v>
      </c>
      <c r="D5" s="202">
        <f>SUMIF(HKM!A:A,"123*",HKM!C:C)</f>
        <v>0</v>
      </c>
      <c r="E5" s="202">
        <f>SUMIF(HK!A:A,"613*",HK!L:L)-SUMIF(HK!A:A,"613*",HK!K:K)</f>
        <v>0</v>
      </c>
      <c r="F5" s="202">
        <f>SUMIF(HKM!A:A,"613*",HKM!L:L)-SUMIF(HKM!A:A,"613*",HKM!K:K)</f>
        <v>0</v>
      </c>
      <c r="G5" s="203"/>
      <c r="H5" s="199"/>
      <c r="I5" s="203"/>
      <c r="J5" s="203"/>
    </row>
    <row r="6" spans="1:10" ht="15.75" thickBot="1" x14ac:dyDescent="0.3">
      <c r="A6" s="13" t="s">
        <v>223</v>
      </c>
      <c r="B6" s="202">
        <f>SUMIF(HK!A:A,"124*",HK!K:K)-SUMIF(HK!A:A,"124*",HK!L:L)</f>
        <v>0</v>
      </c>
      <c r="C6" s="202">
        <f>SUMIF(HKM!A:A,"124*",HKM!K:K)-SUMIF(HKM!A:A,"124*",HKM!L:L)</f>
        <v>0</v>
      </c>
      <c r="D6" s="202">
        <f>SUMIF(HKM!A:A,"124*",HKM!C:C)-SUMIF(HKM!A:A,"124*",HKM!D:D)</f>
        <v>0</v>
      </c>
      <c r="E6" s="202">
        <f>SUMIF(HK!A:A,"614*",HK!L:L)-SUMIF(HK!A:A,"614*",HK!K:K)</f>
        <v>0</v>
      </c>
      <c r="F6" s="202">
        <f>SUMIF(HKM!A:A,"614*",HKM!L:L)-SUMIF(HKM!A:A,"614*",HKM!K:K)</f>
        <v>0</v>
      </c>
      <c r="G6" s="203"/>
      <c r="H6" s="199"/>
      <c r="I6" s="203"/>
      <c r="J6" s="203"/>
    </row>
    <row r="7" spans="1:10" ht="19.5" customHeight="1" thickBot="1" x14ac:dyDescent="0.3">
      <c r="A7" s="13" t="s">
        <v>8</v>
      </c>
      <c r="B7" s="217"/>
      <c r="C7" s="217"/>
      <c r="D7" s="235"/>
      <c r="E7" s="214"/>
      <c r="F7" s="214"/>
      <c r="G7" s="203"/>
      <c r="H7" s="236"/>
      <c r="I7" s="203"/>
      <c r="J7" s="203"/>
    </row>
    <row r="8" spans="1:10" ht="15.75" thickBot="1" x14ac:dyDescent="0.3">
      <c r="A8" s="13" t="s">
        <v>224</v>
      </c>
      <c r="B8" s="241" t="s">
        <v>10</v>
      </c>
      <c r="C8" s="241" t="s">
        <v>10</v>
      </c>
      <c r="D8" s="242" t="s">
        <v>10</v>
      </c>
      <c r="E8" s="202">
        <f>SUMIF(HK!A:A,"549*",HK!K:K)-SUMIF(HK!A:A,"549*",HK!L:L)</f>
        <v>0</v>
      </c>
      <c r="F8" s="202">
        <f>SUMIF(HKM!A:A,"549*",HKM!K:K)-SUMIF(HKM!A:A,"549*",HKM!L:L)</f>
        <v>4414.66</v>
      </c>
      <c r="G8" s="203"/>
      <c r="H8" s="199"/>
      <c r="I8" s="203"/>
      <c r="J8" s="203"/>
    </row>
    <row r="9" spans="1:10" ht="15.75" thickBot="1" x14ac:dyDescent="0.3">
      <c r="A9" s="13" t="s">
        <v>225</v>
      </c>
      <c r="B9" s="241" t="s">
        <v>10</v>
      </c>
      <c r="C9" s="241" t="s">
        <v>10</v>
      </c>
      <c r="D9" s="242" t="s">
        <v>10</v>
      </c>
      <c r="E9" s="202">
        <f>SUMIF(HK!A:A,"513*",HK!K:K)-SUMIF(HK!A:A,"513*",HK!L:L)</f>
        <v>0</v>
      </c>
      <c r="F9" s="202">
        <f>SUMIF(HKM!A:A,"513*",HKM!K:K)-SUMIF(HKM!A:A,"513*",HKM!L:L)</f>
        <v>0</v>
      </c>
      <c r="G9" s="203"/>
      <c r="H9" s="199"/>
      <c r="I9" s="203"/>
      <c r="J9" s="203"/>
    </row>
    <row r="10" spans="1:10" ht="15.75" thickBot="1" x14ac:dyDescent="0.3">
      <c r="A10" s="13" t="s">
        <v>226</v>
      </c>
      <c r="B10" s="241" t="s">
        <v>10</v>
      </c>
      <c r="C10" s="241" t="s">
        <v>10</v>
      </c>
      <c r="D10" s="242" t="s">
        <v>10</v>
      </c>
      <c r="E10" s="202">
        <f>SUMIF(HK!A:A,"543*",HK!K:K)-SUMIF(HK!A:A,"543*",HK!L:L)</f>
        <v>0</v>
      </c>
      <c r="F10" s="202">
        <f>SUMIF(HKM!A:A,"543*",HKM!K:K)-SUMIF(HKM!A:A,"543*",HKM!L:L)</f>
        <v>0</v>
      </c>
      <c r="G10" s="203"/>
      <c r="H10" s="199"/>
      <c r="I10" s="203"/>
      <c r="J10" s="203"/>
    </row>
    <row r="11" spans="1:10" ht="19.5" customHeight="1" thickBot="1" x14ac:dyDescent="0.3">
      <c r="A11" s="15" t="s">
        <v>227</v>
      </c>
      <c r="B11" s="243" t="s">
        <v>10</v>
      </c>
      <c r="C11" s="243" t="s">
        <v>10</v>
      </c>
      <c r="D11" s="244" t="s">
        <v>10</v>
      </c>
      <c r="E11" s="215"/>
      <c r="F11" s="215"/>
      <c r="G11" s="203"/>
      <c r="H11" s="236"/>
      <c r="I11" s="203"/>
      <c r="J11" s="203"/>
    </row>
    <row r="12" spans="1:10" ht="35.25" thickTop="1" thickBot="1" x14ac:dyDescent="0.3">
      <c r="A12" s="22" t="s">
        <v>228</v>
      </c>
      <c r="B12" s="243" t="s">
        <v>10</v>
      </c>
      <c r="C12" s="243" t="s">
        <v>10</v>
      </c>
      <c r="D12" s="244" t="s">
        <v>10</v>
      </c>
      <c r="E12" s="209">
        <f>SUMIF(VZaS!C:C,"006",VZaS!D:D)</f>
        <v>0</v>
      </c>
      <c r="F12" s="209">
        <f>SUMIF(VZaS!C:C,"006",VZaS!E:E)</f>
        <v>0</v>
      </c>
      <c r="G12" s="203"/>
      <c r="H12" s="237"/>
      <c r="I12" s="203"/>
      <c r="J12" s="203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395</v>
      </c>
    </row>
    <row r="2" spans="1:7" ht="26.2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7" ht="18.75" customHeight="1" thickTop="1" thickBot="1" x14ac:dyDescent="0.3">
      <c r="A3" s="50" t="s">
        <v>229</v>
      </c>
      <c r="B3" s="209">
        <f>SUMIF(HK!A:A,"601*",HK!L:L)-SUMIF(HK!A:A,"601*",HK!K:K)</f>
        <v>0</v>
      </c>
      <c r="C3" s="209">
        <f>SUMIF(HKM!A:A,"601*",HKM!L:L)-SUMIF(HKM!A:A,"601*",HKM!K:K)</f>
        <v>0</v>
      </c>
      <c r="D3" s="203"/>
      <c r="E3" s="230"/>
      <c r="G3" s="117"/>
    </row>
    <row r="4" spans="1:7" ht="18.75" customHeight="1" thickBot="1" x14ac:dyDescent="0.3">
      <c r="A4" s="50" t="s">
        <v>230</v>
      </c>
      <c r="B4" s="209">
        <f>SUMIF(HK!A:A,"602*",HK!L:L)-SUMIF(HK!A:A,"602*",HK!K:K)</f>
        <v>0</v>
      </c>
      <c r="C4" s="209">
        <f>SUMIF(HKM!A:A,"602*",HKM!L:L)-SUMIF(HKM!A:A,"602*",HKM!K:K)</f>
        <v>6326.0999999999995</v>
      </c>
      <c r="D4" s="203"/>
      <c r="E4" s="230"/>
      <c r="G4" s="117"/>
    </row>
    <row r="5" spans="1:7" ht="18.75" customHeight="1" thickBot="1" x14ac:dyDescent="0.3">
      <c r="A5" s="50" t="s">
        <v>231</v>
      </c>
      <c r="B5" s="209">
        <f>SUMIF(HK!A:A,"604*",HK!L:L)-SUMIF(HK!A:A,"604*",HK!K:K)</f>
        <v>0</v>
      </c>
      <c r="C5" s="209">
        <f>SUMIF(HKM!A:A,"604*",HKM!L:L)-SUMIF(HKM!A:A,"604*",HKM!K:K)</f>
        <v>397204.64</v>
      </c>
      <c r="D5" s="203"/>
      <c r="E5" s="230"/>
      <c r="G5" s="117"/>
    </row>
    <row r="6" spans="1:7" ht="18.75" customHeight="1" thickBot="1" x14ac:dyDescent="0.3">
      <c r="A6" s="50" t="s">
        <v>232</v>
      </c>
      <c r="B6" s="209">
        <f>SUMIF(HK!A:A,"606*",HK!L:L)-SUMIF(HK!A:A,"606*",HK!K:K)</f>
        <v>0</v>
      </c>
      <c r="C6" s="209">
        <f>SUMIF(HKM!A:A,"606*",HKM!L:L)-SUMIF(HKM!A:A,"606*",HKM!K:K)</f>
        <v>0</v>
      </c>
      <c r="D6" s="203"/>
      <c r="E6" s="230"/>
      <c r="G6" s="117"/>
    </row>
    <row r="7" spans="1:7" ht="18.75" customHeight="1" thickBot="1" x14ac:dyDescent="0.3">
      <c r="A7" s="50" t="s">
        <v>233</v>
      </c>
      <c r="B7" s="209"/>
      <c r="C7" s="209"/>
      <c r="D7" s="203"/>
      <c r="E7" s="230"/>
      <c r="G7" s="131"/>
    </row>
    <row r="8" spans="1:7" ht="23.25" thickBot="1" x14ac:dyDescent="0.3">
      <c r="A8" s="13" t="s">
        <v>234</v>
      </c>
      <c r="B8" s="214"/>
      <c r="C8" s="214"/>
      <c r="D8" s="203"/>
      <c r="E8" s="203"/>
      <c r="G8" s="117"/>
    </row>
    <row r="9" spans="1:7" ht="18.75" customHeight="1" thickBot="1" x14ac:dyDescent="0.3">
      <c r="A9" s="51" t="s">
        <v>235</v>
      </c>
      <c r="B9" s="56">
        <f>SUM(B3:B8)</f>
        <v>0</v>
      </c>
      <c r="C9" s="56">
        <f>SUM(C3:C8)</f>
        <v>403530.74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9"/>
  <sheetViews>
    <sheetView showGridLines="0" zoomScaleNormal="100" workbookViewId="0">
      <selection activeCell="E21" sqref="E2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1" t="s">
        <v>403</v>
      </c>
      <c r="D1" s="203"/>
      <c r="E1" s="203"/>
    </row>
    <row r="2" spans="1:5" ht="24" thickTop="1" thickBot="1" x14ac:dyDescent="0.3">
      <c r="A2" s="44" t="s">
        <v>105</v>
      </c>
      <c r="B2" s="247" t="s">
        <v>2</v>
      </c>
      <c r="C2" s="247" t="s">
        <v>3</v>
      </c>
      <c r="D2" s="203"/>
      <c r="E2" s="203"/>
    </row>
    <row r="3" spans="1:5" ht="30.75" customHeight="1" thickTop="1" thickBot="1" x14ac:dyDescent="0.3">
      <c r="A3" s="31" t="s">
        <v>407</v>
      </c>
      <c r="B3" s="209"/>
      <c r="C3" s="209"/>
    </row>
    <row r="4" spans="1:5" ht="23.25" thickBot="1" x14ac:dyDescent="0.3">
      <c r="A4" s="13" t="s">
        <v>236</v>
      </c>
      <c r="B4" s="214"/>
      <c r="C4" s="214"/>
    </row>
    <row r="5" spans="1:5" ht="15.75" thickBot="1" x14ac:dyDescent="0.3">
      <c r="A5" s="13" t="s">
        <v>237</v>
      </c>
      <c r="B5" s="214"/>
      <c r="C5" s="214"/>
    </row>
    <row r="6" spans="1:5" ht="15.75" thickBot="1" x14ac:dyDescent="0.3">
      <c r="A6" s="13" t="s">
        <v>238</v>
      </c>
      <c r="B6" s="214"/>
      <c r="C6" s="214"/>
    </row>
    <row r="7" spans="1:5" ht="15.75" thickBot="1" x14ac:dyDescent="0.3">
      <c r="A7" s="13" t="s">
        <v>239</v>
      </c>
      <c r="B7" s="214"/>
      <c r="C7" s="214"/>
    </row>
    <row r="8" spans="1:5" ht="15.75" thickBot="1" x14ac:dyDescent="0.3">
      <c r="A8" s="15" t="s">
        <v>240</v>
      </c>
      <c r="B8" s="215"/>
      <c r="C8" s="215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374</v>
      </c>
    </row>
    <row r="2" spans="1:2" ht="21" customHeight="1" thickTop="1" thickBot="1" x14ac:dyDescent="0.3">
      <c r="A2" s="9" t="s">
        <v>11</v>
      </c>
      <c r="B2" s="10" t="s">
        <v>26</v>
      </c>
    </row>
    <row r="3" spans="1:2" ht="32.25" customHeight="1" thickTop="1" thickBot="1" x14ac:dyDescent="0.3">
      <c r="A3" s="11" t="s">
        <v>27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F16" sqref="F16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404</v>
      </c>
    </row>
    <row r="2" spans="1:3" ht="35.25" thickTop="1" thickBot="1" x14ac:dyDescent="0.3">
      <c r="A2" s="44" t="s">
        <v>105</v>
      </c>
      <c r="B2" s="26" t="s">
        <v>2</v>
      </c>
      <c r="C2" s="26" t="s">
        <v>3</v>
      </c>
    </row>
    <row r="3" spans="1:3" ht="35.25" thickTop="1" thickBot="1" x14ac:dyDescent="0.3">
      <c r="A3" s="88" t="s">
        <v>241</v>
      </c>
      <c r="B3" s="14"/>
      <c r="C3" s="14"/>
    </row>
    <row r="4" spans="1:3" ht="34.5" thickBot="1" x14ac:dyDescent="0.3">
      <c r="A4" s="89" t="s">
        <v>242</v>
      </c>
      <c r="B4" s="14"/>
      <c r="C4" s="14"/>
    </row>
    <row r="5" spans="1:3" ht="79.5" thickBot="1" x14ac:dyDescent="0.3">
      <c r="A5" s="86" t="s">
        <v>243</v>
      </c>
      <c r="B5" s="14"/>
      <c r="C5" s="14"/>
    </row>
    <row r="6" spans="1:3" ht="57" thickBot="1" x14ac:dyDescent="0.3">
      <c r="A6" s="13" t="s">
        <v>244</v>
      </c>
      <c r="B6" s="14"/>
      <c r="C6" s="14"/>
    </row>
    <row r="7" spans="1:3" ht="57" thickBot="1" x14ac:dyDescent="0.3">
      <c r="A7" s="88" t="s">
        <v>245</v>
      </c>
      <c r="B7" s="14"/>
      <c r="C7" s="14"/>
    </row>
    <row r="8" spans="1:3" ht="34.5" thickBot="1" x14ac:dyDescent="0.3">
      <c r="A8" s="90" t="s">
        <v>246</v>
      </c>
      <c r="B8" s="16"/>
      <c r="C8" s="16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405</v>
      </c>
    </row>
    <row r="2" spans="1:10" ht="35.25" customHeight="1" thickTop="1" thickBot="1" x14ac:dyDescent="0.3">
      <c r="A2" s="275" t="s">
        <v>105</v>
      </c>
      <c r="B2" s="280" t="s">
        <v>2</v>
      </c>
      <c r="C2" s="281"/>
      <c r="D2" s="282"/>
      <c r="E2" s="280" t="s">
        <v>3</v>
      </c>
      <c r="F2" s="281"/>
      <c r="G2" s="282"/>
    </row>
    <row r="3" spans="1:10" s="91" customFormat="1" ht="16.5" thickTop="1" thickBot="1" x14ac:dyDescent="0.3">
      <c r="A3" s="290"/>
      <c r="B3" s="20" t="s">
        <v>247</v>
      </c>
      <c r="C3" s="20" t="s">
        <v>248</v>
      </c>
      <c r="D3" s="20" t="s">
        <v>249</v>
      </c>
      <c r="E3" s="20" t="s">
        <v>247</v>
      </c>
      <c r="F3" s="20" t="s">
        <v>248</v>
      </c>
      <c r="G3" s="20" t="s">
        <v>249</v>
      </c>
    </row>
    <row r="4" spans="1:10" ht="24" thickTop="1" thickBot="1" x14ac:dyDescent="0.3">
      <c r="A4" s="13" t="s">
        <v>250</v>
      </c>
      <c r="B4" s="229">
        <f>SUMIF(VZaS!C:C,"056",VZaS!D:D)</f>
        <v>-5254.2</v>
      </c>
      <c r="C4" s="238" t="s">
        <v>10</v>
      </c>
      <c r="D4" s="239" t="s">
        <v>10</v>
      </c>
      <c r="E4" s="229">
        <f>SUMIF(VZaS!C:C,"056",VZaS!E:E)</f>
        <v>-22664.52</v>
      </c>
      <c r="F4" s="238" t="s">
        <v>10</v>
      </c>
      <c r="G4" s="239" t="s">
        <v>10</v>
      </c>
      <c r="H4" s="201"/>
      <c r="I4" s="201"/>
      <c r="J4" s="228"/>
    </row>
    <row r="5" spans="1:10" ht="20.25" customHeight="1" thickBot="1" x14ac:dyDescent="0.3">
      <c r="A5" s="13" t="s">
        <v>251</v>
      </c>
      <c r="B5" s="238" t="s">
        <v>10</v>
      </c>
      <c r="C5" s="208"/>
      <c r="D5" s="240"/>
      <c r="E5" s="238" t="s">
        <v>10</v>
      </c>
      <c r="F5" s="208"/>
      <c r="G5" s="240"/>
      <c r="H5" s="201"/>
      <c r="I5" s="201"/>
      <c r="J5" s="201"/>
    </row>
    <row r="6" spans="1:10" ht="20.25" customHeight="1" thickBot="1" x14ac:dyDescent="0.3">
      <c r="A6" s="13" t="s">
        <v>252</v>
      </c>
      <c r="B6" s="208"/>
      <c r="C6" s="208"/>
      <c r="D6" s="240"/>
      <c r="E6" s="208"/>
      <c r="F6" s="208"/>
      <c r="G6" s="240"/>
      <c r="H6" s="201"/>
      <c r="I6" s="201"/>
      <c r="J6" s="201"/>
    </row>
    <row r="7" spans="1:10" ht="20.25" customHeight="1" thickBot="1" x14ac:dyDescent="0.3">
      <c r="A7" s="13" t="s">
        <v>253</v>
      </c>
      <c r="B7" s="208"/>
      <c r="C7" s="208"/>
      <c r="D7" s="240"/>
      <c r="E7" s="208"/>
      <c r="F7" s="208"/>
      <c r="G7" s="240"/>
      <c r="H7" s="201"/>
      <c r="I7" s="201"/>
      <c r="J7" s="201"/>
    </row>
    <row r="8" spans="1:10" ht="20.25" customHeight="1" thickBot="1" x14ac:dyDescent="0.3">
      <c r="A8" s="13" t="s">
        <v>254</v>
      </c>
      <c r="B8" s="208"/>
      <c r="C8" s="208"/>
      <c r="D8" s="240"/>
      <c r="E8" s="208"/>
      <c r="F8" s="208"/>
      <c r="G8" s="240"/>
      <c r="H8" s="201"/>
      <c r="I8" s="201"/>
      <c r="J8" s="201"/>
    </row>
    <row r="9" spans="1:10" ht="20.25" customHeight="1" thickBot="1" x14ac:dyDescent="0.3">
      <c r="A9" s="13" t="s">
        <v>227</v>
      </c>
      <c r="B9" s="208"/>
      <c r="C9" s="208"/>
      <c r="D9" s="240"/>
      <c r="E9" s="208"/>
      <c r="F9" s="208"/>
      <c r="G9" s="240"/>
      <c r="H9" s="201"/>
      <c r="I9" s="201"/>
      <c r="J9" s="201"/>
    </row>
    <row r="10" spans="1:10" ht="20.25" customHeight="1" thickBot="1" x14ac:dyDescent="0.3">
      <c r="A10" s="13" t="s">
        <v>8</v>
      </c>
      <c r="B10" s="208"/>
      <c r="C10" s="208"/>
      <c r="D10" s="240"/>
      <c r="E10" s="208"/>
      <c r="F10" s="208"/>
      <c r="G10" s="240"/>
      <c r="H10" s="201"/>
      <c r="I10" s="201"/>
      <c r="J10" s="201"/>
    </row>
    <row r="11" spans="1:10" ht="20.25" customHeight="1" thickBot="1" x14ac:dyDescent="0.3">
      <c r="A11" s="13" t="s">
        <v>255</v>
      </c>
      <c r="B11" s="238" t="s">
        <v>10</v>
      </c>
      <c r="C11" s="229">
        <f>SUMIF(VZaS!C:C,"058",VZaS!D:D)</f>
        <v>960</v>
      </c>
      <c r="D11" s="240"/>
      <c r="E11" s="238" t="s">
        <v>10</v>
      </c>
      <c r="F11" s="229">
        <f>SUMIF(VZaS!C:C,"058",VZaS!E:E)</f>
        <v>960</v>
      </c>
      <c r="G11" s="240"/>
      <c r="H11" s="201"/>
      <c r="I11" s="201"/>
      <c r="J11" s="201"/>
    </row>
    <row r="12" spans="1:10" ht="20.25" customHeight="1" thickBot="1" x14ac:dyDescent="0.3">
      <c r="A12" s="13" t="s">
        <v>256</v>
      </c>
      <c r="B12" s="238" t="s">
        <v>10</v>
      </c>
      <c r="C12" s="229">
        <f>SUMIF(VZaS!C:C,"059",VZaS!D:D)</f>
        <v>0</v>
      </c>
      <c r="D12" s="240"/>
      <c r="E12" s="238" t="s">
        <v>10</v>
      </c>
      <c r="F12" s="229">
        <f>SUMIF(VZaS!C:C,"059",VZaS!E:E)</f>
        <v>0</v>
      </c>
      <c r="G12" s="240"/>
      <c r="H12" s="201"/>
      <c r="I12" s="201"/>
      <c r="J12" s="201"/>
    </row>
    <row r="13" spans="1:10" ht="20.25" customHeight="1" thickBot="1" x14ac:dyDescent="0.3">
      <c r="A13" s="15" t="s">
        <v>257</v>
      </c>
      <c r="B13" s="75" t="s">
        <v>10</v>
      </c>
      <c r="C13" s="63"/>
      <c r="D13" s="104"/>
      <c r="E13" s="75" t="s">
        <v>10</v>
      </c>
      <c r="F13" s="63"/>
      <c r="G13" s="104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L23" sqref="L23"/>
    </sheetView>
  </sheetViews>
  <sheetFormatPr defaultRowHeight="15" x14ac:dyDescent="0.25"/>
  <cols>
    <col min="1" max="1" width="32" customWidth="1"/>
  </cols>
  <sheetData>
    <row r="1" spans="1:2" x14ac:dyDescent="0.25">
      <c r="A1" t="s">
        <v>328</v>
      </c>
      <c r="B1" t="s">
        <v>334</v>
      </c>
    </row>
    <row r="2" spans="1:2" x14ac:dyDescent="0.25">
      <c r="A2" t="s">
        <v>329</v>
      </c>
      <c r="B2" t="s">
        <v>332</v>
      </c>
    </row>
    <row r="3" spans="1:2" x14ac:dyDescent="0.25">
      <c r="A3" t="s">
        <v>330</v>
      </c>
      <c r="B3" t="s">
        <v>333</v>
      </c>
    </row>
    <row r="4" spans="1:2" x14ac:dyDescent="0.25">
      <c r="A4" t="s">
        <v>331</v>
      </c>
      <c r="B4" t="s">
        <v>333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topLeftCell="K1"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25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25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25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25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25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25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25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25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25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25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25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25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67"/>
  <sheetViews>
    <sheetView workbookViewId="0">
      <selection activeCell="B2" sqref="B2"/>
    </sheetView>
  </sheetViews>
  <sheetFormatPr defaultColWidth="9.140625" defaultRowHeight="15" x14ac:dyDescent="0.25"/>
  <cols>
    <col min="1" max="1" width="16.5703125" style="143" customWidth="1"/>
    <col min="2" max="2" width="46.7109375" style="144" customWidth="1"/>
    <col min="3" max="12" width="15.28515625" style="145" bestFit="1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408</v>
      </c>
      <c r="B2" s="141" t="s">
        <v>409</v>
      </c>
      <c r="C2" s="142">
        <v>0</v>
      </c>
      <c r="D2" s="142">
        <v>0</v>
      </c>
      <c r="E2" s="142">
        <v>297493.68</v>
      </c>
      <c r="F2" s="142">
        <v>0</v>
      </c>
      <c r="G2" s="142">
        <v>33376.75</v>
      </c>
      <c r="H2" s="142">
        <v>330870.43</v>
      </c>
      <c r="I2" s="142">
        <v>330870.43</v>
      </c>
      <c r="J2" s="142">
        <v>330870.43</v>
      </c>
      <c r="K2" s="142">
        <v>0</v>
      </c>
      <c r="L2" s="142">
        <v>0</v>
      </c>
    </row>
    <row r="3" spans="1:12" x14ac:dyDescent="0.25">
      <c r="A3" s="140" t="s">
        <v>410</v>
      </c>
      <c r="B3" s="141" t="s">
        <v>411</v>
      </c>
      <c r="C3" s="142">
        <v>13234.34</v>
      </c>
      <c r="D3" s="142">
        <v>0</v>
      </c>
      <c r="E3" s="142">
        <v>-269179.42</v>
      </c>
      <c r="F3" s="142">
        <v>0</v>
      </c>
      <c r="G3" s="142">
        <v>330870.43</v>
      </c>
      <c r="H3" s="142">
        <v>46164.7</v>
      </c>
      <c r="I3" s="142">
        <v>330870.43</v>
      </c>
      <c r="J3" s="142">
        <v>328578.46000000002</v>
      </c>
      <c r="K3" s="142">
        <v>15526.31</v>
      </c>
      <c r="L3" s="142">
        <v>0</v>
      </c>
    </row>
    <row r="4" spans="1:12" x14ac:dyDescent="0.25">
      <c r="A4" s="140" t="s">
        <v>412</v>
      </c>
      <c r="B4" s="141" t="s">
        <v>413</v>
      </c>
      <c r="C4" s="142">
        <v>4035.76</v>
      </c>
      <c r="D4" s="142">
        <v>0</v>
      </c>
      <c r="E4" s="142">
        <v>18839.37</v>
      </c>
      <c r="F4" s="142">
        <v>0</v>
      </c>
      <c r="G4" s="142">
        <v>8374.8700000000008</v>
      </c>
      <c r="H4" s="142">
        <v>12771.23</v>
      </c>
      <c r="I4" s="142">
        <v>117616.92</v>
      </c>
      <c r="J4" s="142">
        <v>107209.67</v>
      </c>
      <c r="K4" s="142">
        <v>14443.01</v>
      </c>
      <c r="L4" s="142">
        <v>0</v>
      </c>
    </row>
    <row r="5" spans="1:12" x14ac:dyDescent="0.25">
      <c r="A5" s="140" t="s">
        <v>414</v>
      </c>
      <c r="B5" s="141" t="s">
        <v>415</v>
      </c>
      <c r="C5" s="142">
        <v>0</v>
      </c>
      <c r="D5" s="142">
        <v>0</v>
      </c>
      <c r="E5" s="142">
        <v>0</v>
      </c>
      <c r="F5" s="142">
        <v>0</v>
      </c>
      <c r="G5" s="142">
        <v>6812.75</v>
      </c>
      <c r="H5" s="142">
        <v>6812.75</v>
      </c>
      <c r="I5" s="142">
        <v>41040.629999999997</v>
      </c>
      <c r="J5" s="142">
        <v>41040.629999999997</v>
      </c>
      <c r="K5" s="142">
        <v>0</v>
      </c>
      <c r="L5" s="142">
        <v>0</v>
      </c>
    </row>
    <row r="6" spans="1:12" x14ac:dyDescent="0.25">
      <c r="A6" s="140" t="s">
        <v>416</v>
      </c>
      <c r="B6" s="141" t="s">
        <v>417</v>
      </c>
      <c r="C6" s="142">
        <v>2960.87</v>
      </c>
      <c r="D6" s="142">
        <v>0</v>
      </c>
      <c r="E6" s="142">
        <v>4171.5</v>
      </c>
      <c r="F6" s="142">
        <v>0</v>
      </c>
      <c r="G6" s="142">
        <v>39242.29</v>
      </c>
      <c r="H6" s="142">
        <v>39272.629999999997</v>
      </c>
      <c r="I6" s="142">
        <v>408549.36</v>
      </c>
      <c r="J6" s="142">
        <v>407369.07</v>
      </c>
      <c r="K6" s="142">
        <v>4141.16</v>
      </c>
      <c r="L6" s="142">
        <v>0</v>
      </c>
    </row>
    <row r="7" spans="1:12" x14ac:dyDescent="0.25">
      <c r="A7" s="140" t="s">
        <v>418</v>
      </c>
      <c r="B7" s="141" t="s">
        <v>419</v>
      </c>
      <c r="C7" s="142">
        <v>0</v>
      </c>
      <c r="D7" s="142">
        <v>0</v>
      </c>
      <c r="E7" s="142">
        <v>1000</v>
      </c>
      <c r="F7" s="142">
        <v>0</v>
      </c>
      <c r="G7" s="142">
        <v>0</v>
      </c>
      <c r="H7" s="142">
        <v>1000</v>
      </c>
      <c r="I7" s="142">
        <v>1000</v>
      </c>
      <c r="J7" s="142">
        <v>1000</v>
      </c>
      <c r="K7" s="142">
        <v>0</v>
      </c>
      <c r="L7" s="142">
        <v>0</v>
      </c>
    </row>
    <row r="8" spans="1:12" x14ac:dyDescent="0.25">
      <c r="A8" s="140" t="s">
        <v>420</v>
      </c>
      <c r="B8" s="141" t="s">
        <v>419</v>
      </c>
      <c r="C8" s="142">
        <v>0</v>
      </c>
      <c r="D8" s="142">
        <v>0</v>
      </c>
      <c r="E8" s="142">
        <v>-4684.7700000000004</v>
      </c>
      <c r="F8" s="142">
        <v>0</v>
      </c>
      <c r="G8" s="142">
        <v>0</v>
      </c>
      <c r="H8" s="142">
        <v>-4684.7700000000004</v>
      </c>
      <c r="I8" s="142">
        <v>1150</v>
      </c>
      <c r="J8" s="142">
        <v>1150</v>
      </c>
      <c r="K8" s="142">
        <v>0</v>
      </c>
      <c r="L8" s="142">
        <v>0</v>
      </c>
    </row>
    <row r="9" spans="1:12" x14ac:dyDescent="0.25">
      <c r="A9" s="140" t="s">
        <v>421</v>
      </c>
      <c r="B9" s="141" t="s">
        <v>422</v>
      </c>
      <c r="C9" s="142">
        <v>20819.650000000001</v>
      </c>
      <c r="D9" s="142">
        <v>0</v>
      </c>
      <c r="E9" s="142">
        <v>32610.5</v>
      </c>
      <c r="F9" s="142">
        <v>0</v>
      </c>
      <c r="G9" s="142">
        <v>29092.21</v>
      </c>
      <c r="H9" s="142">
        <v>37546.239999999998</v>
      </c>
      <c r="I9" s="142">
        <v>360579.28</v>
      </c>
      <c r="J9" s="142">
        <v>357242.46</v>
      </c>
      <c r="K9" s="142">
        <v>24156.47</v>
      </c>
      <c r="L9" s="142">
        <v>0</v>
      </c>
    </row>
    <row r="10" spans="1:12" x14ac:dyDescent="0.25">
      <c r="A10" s="140" t="s">
        <v>423</v>
      </c>
      <c r="B10" s="141" t="s">
        <v>424</v>
      </c>
      <c r="C10" s="142">
        <v>0</v>
      </c>
      <c r="D10" s="142">
        <v>0</v>
      </c>
      <c r="E10" s="142">
        <v>429.41</v>
      </c>
      <c r="F10" s="142">
        <v>0</v>
      </c>
      <c r="G10" s="142">
        <v>0</v>
      </c>
      <c r="H10" s="142">
        <v>429.41</v>
      </c>
      <c r="I10" s="142">
        <v>1256.57</v>
      </c>
      <c r="J10" s="142">
        <v>1256.57</v>
      </c>
      <c r="K10" s="142">
        <v>0</v>
      </c>
      <c r="L10" s="142">
        <v>0</v>
      </c>
    </row>
    <row r="11" spans="1:12" x14ac:dyDescent="0.25">
      <c r="A11" s="140" t="s">
        <v>425</v>
      </c>
      <c r="B11" s="141" t="s">
        <v>426</v>
      </c>
      <c r="C11" s="142">
        <v>0</v>
      </c>
      <c r="D11" s="142">
        <v>0</v>
      </c>
      <c r="E11" s="142">
        <v>6671.56</v>
      </c>
      <c r="F11" s="142">
        <v>0</v>
      </c>
      <c r="G11" s="142">
        <v>0</v>
      </c>
      <c r="H11" s="142">
        <v>6671.56</v>
      </c>
      <c r="I11" s="142">
        <v>6671.56</v>
      </c>
      <c r="J11" s="142">
        <v>6671.56</v>
      </c>
      <c r="K11" s="142">
        <v>0</v>
      </c>
      <c r="L11" s="142">
        <v>0</v>
      </c>
    </row>
    <row r="12" spans="1:12" x14ac:dyDescent="0.25">
      <c r="A12" s="140" t="s">
        <v>427</v>
      </c>
      <c r="B12" s="141" t="s">
        <v>428</v>
      </c>
      <c r="C12" s="142">
        <v>1728.31</v>
      </c>
      <c r="D12" s="142">
        <v>0</v>
      </c>
      <c r="E12" s="142">
        <v>1728.31</v>
      </c>
      <c r="F12" s="142">
        <v>0</v>
      </c>
      <c r="G12" s="142">
        <v>0</v>
      </c>
      <c r="H12" s="142">
        <v>0</v>
      </c>
      <c r="I12" s="142">
        <v>0</v>
      </c>
      <c r="J12" s="142">
        <v>0</v>
      </c>
      <c r="K12" s="142">
        <v>1728.31</v>
      </c>
      <c r="L12" s="142">
        <v>0</v>
      </c>
    </row>
    <row r="13" spans="1:12" x14ac:dyDescent="0.25">
      <c r="A13" s="140" t="s">
        <v>429</v>
      </c>
      <c r="B13" s="141" t="s">
        <v>430</v>
      </c>
      <c r="C13" s="142">
        <v>0</v>
      </c>
      <c r="D13" s="142">
        <v>0</v>
      </c>
      <c r="E13" s="142">
        <v>-57.9</v>
      </c>
      <c r="F13" s="142">
        <v>0</v>
      </c>
      <c r="G13" s="142">
        <v>57.9</v>
      </c>
      <c r="H13" s="142">
        <v>0</v>
      </c>
      <c r="I13" s="142">
        <v>14212.47</v>
      </c>
      <c r="J13" s="142">
        <v>14212.47</v>
      </c>
      <c r="K13" s="142">
        <v>0</v>
      </c>
      <c r="L13" s="142">
        <v>0</v>
      </c>
    </row>
    <row r="14" spans="1:12" x14ac:dyDescent="0.25">
      <c r="A14" s="140" t="s">
        <v>431</v>
      </c>
      <c r="B14" s="141" t="s">
        <v>432</v>
      </c>
      <c r="C14" s="142">
        <v>0</v>
      </c>
      <c r="D14" s="142">
        <v>0</v>
      </c>
      <c r="E14" s="142">
        <v>-221.33</v>
      </c>
      <c r="F14" s="142">
        <v>0</v>
      </c>
      <c r="G14" s="142">
        <v>6812.75</v>
      </c>
      <c r="H14" s="142">
        <v>2406.06</v>
      </c>
      <c r="I14" s="142">
        <v>40909.03</v>
      </c>
      <c r="J14" s="142">
        <v>36723.67</v>
      </c>
      <c r="K14" s="142">
        <v>4185.3599999999997</v>
      </c>
      <c r="L14" s="142">
        <v>0</v>
      </c>
    </row>
    <row r="15" spans="1:12" x14ac:dyDescent="0.25">
      <c r="A15" s="140" t="s">
        <v>433</v>
      </c>
      <c r="B15" s="141" t="s">
        <v>434</v>
      </c>
      <c r="C15" s="142">
        <v>0</v>
      </c>
      <c r="D15" s="142">
        <v>3129.68</v>
      </c>
      <c r="E15" s="142">
        <v>0</v>
      </c>
      <c r="F15" s="142">
        <v>47336.2</v>
      </c>
      <c r="G15" s="142">
        <v>36109.07</v>
      </c>
      <c r="H15" s="142">
        <v>35963.769999999997</v>
      </c>
      <c r="I15" s="142">
        <v>292108.84999999998</v>
      </c>
      <c r="J15" s="142">
        <v>336170.07</v>
      </c>
      <c r="K15" s="142">
        <v>0</v>
      </c>
      <c r="L15" s="142">
        <v>47190.9</v>
      </c>
    </row>
    <row r="16" spans="1:12" x14ac:dyDescent="0.25">
      <c r="A16" s="140" t="s">
        <v>435</v>
      </c>
      <c r="B16" s="141" t="s">
        <v>436</v>
      </c>
      <c r="C16" s="142">
        <v>0</v>
      </c>
      <c r="D16" s="142">
        <v>16099.34</v>
      </c>
      <c r="E16" s="142">
        <v>0</v>
      </c>
      <c r="F16" s="142">
        <v>12003.7</v>
      </c>
      <c r="G16" s="142">
        <v>7137.99</v>
      </c>
      <c r="H16" s="142">
        <v>6671.56</v>
      </c>
      <c r="I16" s="142">
        <v>55794.39</v>
      </c>
      <c r="J16" s="142">
        <v>51232.32</v>
      </c>
      <c r="K16" s="142">
        <v>0</v>
      </c>
      <c r="L16" s="142">
        <v>11537.27</v>
      </c>
    </row>
    <row r="17" spans="1:12" x14ac:dyDescent="0.25">
      <c r="A17" s="140" t="s">
        <v>437</v>
      </c>
      <c r="B17" s="141" t="s">
        <v>438</v>
      </c>
      <c r="C17" s="142">
        <v>0</v>
      </c>
      <c r="D17" s="142">
        <v>0</v>
      </c>
      <c r="E17" s="142">
        <v>0</v>
      </c>
      <c r="F17" s="142">
        <v>-804.02</v>
      </c>
      <c r="G17" s="142">
        <v>0</v>
      </c>
      <c r="H17" s="142">
        <v>4059.02</v>
      </c>
      <c r="I17" s="142">
        <v>804.02</v>
      </c>
      <c r="J17" s="142">
        <v>4059.02</v>
      </c>
      <c r="K17" s="142">
        <v>0</v>
      </c>
      <c r="L17" s="142">
        <v>3255</v>
      </c>
    </row>
    <row r="18" spans="1:12" x14ac:dyDescent="0.25">
      <c r="A18" s="140" t="s">
        <v>439</v>
      </c>
      <c r="B18" s="141" t="s">
        <v>440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5080.32</v>
      </c>
      <c r="J18" s="142">
        <v>5080.32</v>
      </c>
      <c r="K18" s="142">
        <v>0</v>
      </c>
      <c r="L18" s="142">
        <v>0</v>
      </c>
    </row>
    <row r="19" spans="1:12" x14ac:dyDescent="0.25">
      <c r="A19" s="140" t="s">
        <v>441</v>
      </c>
      <c r="B19" s="141" t="s">
        <v>442</v>
      </c>
      <c r="C19" s="142">
        <v>-720</v>
      </c>
      <c r="D19" s="142">
        <v>0</v>
      </c>
      <c r="E19" s="142">
        <v>-720</v>
      </c>
      <c r="F19" s="142">
        <v>0</v>
      </c>
      <c r="G19" s="142">
        <v>720</v>
      </c>
      <c r="H19" s="142">
        <v>960</v>
      </c>
      <c r="I19" s="142">
        <v>720</v>
      </c>
      <c r="J19" s="142">
        <v>960</v>
      </c>
      <c r="K19" s="142">
        <v>-960</v>
      </c>
      <c r="L19" s="142">
        <v>0</v>
      </c>
    </row>
    <row r="20" spans="1:12" x14ac:dyDescent="0.25">
      <c r="A20" s="143" t="s">
        <v>443</v>
      </c>
      <c r="B20" s="144" t="s">
        <v>444</v>
      </c>
      <c r="C20" s="145">
        <v>0</v>
      </c>
      <c r="D20" s="145">
        <v>0</v>
      </c>
      <c r="E20" s="145">
        <v>0</v>
      </c>
      <c r="F20" s="145">
        <v>0</v>
      </c>
      <c r="G20" s="145">
        <v>6.35</v>
      </c>
      <c r="H20" s="145">
        <v>6.35</v>
      </c>
      <c r="I20" s="145">
        <v>25.39</v>
      </c>
      <c r="J20" s="145">
        <v>25.39</v>
      </c>
      <c r="K20" s="145">
        <v>0</v>
      </c>
      <c r="L20" s="145">
        <v>0</v>
      </c>
    </row>
    <row r="21" spans="1:12" x14ac:dyDescent="0.25">
      <c r="A21" s="143" t="s">
        <v>445</v>
      </c>
      <c r="B21" s="144" t="s">
        <v>446</v>
      </c>
      <c r="C21" s="145">
        <v>0</v>
      </c>
      <c r="D21" s="145">
        <v>0</v>
      </c>
      <c r="E21" s="145">
        <v>0</v>
      </c>
      <c r="F21" s="145">
        <v>961.12</v>
      </c>
      <c r="G21" s="145">
        <v>5952.43</v>
      </c>
      <c r="H21" s="145">
        <v>4991.3100000000004</v>
      </c>
      <c r="I21" s="145">
        <v>65384.94</v>
      </c>
      <c r="J21" s="145">
        <v>65384.94</v>
      </c>
      <c r="K21" s="145">
        <v>0</v>
      </c>
      <c r="L21" s="145">
        <v>0</v>
      </c>
    </row>
    <row r="22" spans="1:12" x14ac:dyDescent="0.25">
      <c r="A22" s="143" t="s">
        <v>447</v>
      </c>
      <c r="B22" s="144" t="s">
        <v>448</v>
      </c>
      <c r="C22" s="145">
        <v>0</v>
      </c>
      <c r="D22" s="145">
        <v>0</v>
      </c>
      <c r="E22" s="145">
        <v>0</v>
      </c>
      <c r="F22" s="145">
        <v>0</v>
      </c>
      <c r="G22" s="145">
        <v>1334.31</v>
      </c>
      <c r="H22" s="145">
        <v>1334.31</v>
      </c>
      <c r="I22" s="145">
        <v>10270.4</v>
      </c>
      <c r="J22" s="145">
        <v>10270.4</v>
      </c>
      <c r="K22" s="145">
        <v>0</v>
      </c>
      <c r="L22" s="145">
        <v>0</v>
      </c>
    </row>
    <row r="23" spans="1:12" x14ac:dyDescent="0.25">
      <c r="A23" s="143" t="s">
        <v>449</v>
      </c>
      <c r="B23" s="144" t="s">
        <v>450</v>
      </c>
      <c r="C23" s="145">
        <v>0</v>
      </c>
      <c r="D23" s="145">
        <v>305.18</v>
      </c>
      <c r="E23" s="145">
        <v>0</v>
      </c>
      <c r="F23" s="145">
        <v>1292.9100000000001</v>
      </c>
      <c r="G23" s="145">
        <v>1293.01</v>
      </c>
      <c r="H23" s="145">
        <v>2045.5</v>
      </c>
      <c r="I23" s="145">
        <v>15157.73</v>
      </c>
      <c r="J23" s="145">
        <v>16897.95</v>
      </c>
      <c r="K23" s="145">
        <v>0</v>
      </c>
      <c r="L23" s="145">
        <v>2045.4</v>
      </c>
    </row>
    <row r="24" spans="1:12" x14ac:dyDescent="0.25">
      <c r="A24" s="143" t="s">
        <v>451</v>
      </c>
      <c r="B24" s="144" t="s">
        <v>452</v>
      </c>
      <c r="C24" s="145">
        <v>0</v>
      </c>
      <c r="D24" s="145">
        <v>0</v>
      </c>
      <c r="E24" s="145">
        <v>0</v>
      </c>
      <c r="F24" s="145">
        <v>0</v>
      </c>
      <c r="G24" s="145">
        <v>6963.49</v>
      </c>
      <c r="H24" s="145">
        <v>6963.49</v>
      </c>
      <c r="I24" s="145">
        <v>81862.16</v>
      </c>
      <c r="J24" s="145">
        <v>81862.16</v>
      </c>
      <c r="K24" s="145">
        <v>0</v>
      </c>
      <c r="L24" s="145">
        <v>0</v>
      </c>
    </row>
    <row r="25" spans="1:12" x14ac:dyDescent="0.25">
      <c r="A25" s="143" t="s">
        <v>453</v>
      </c>
      <c r="B25" s="144" t="s">
        <v>454</v>
      </c>
      <c r="C25" s="145">
        <v>0</v>
      </c>
      <c r="D25" s="145">
        <v>0</v>
      </c>
      <c r="E25" s="145">
        <v>0</v>
      </c>
      <c r="F25" s="145">
        <v>0</v>
      </c>
      <c r="G25" s="145">
        <v>1334.31</v>
      </c>
      <c r="H25" s="145">
        <v>1334.31</v>
      </c>
      <c r="I25" s="145">
        <v>10126.4</v>
      </c>
      <c r="J25" s="145">
        <v>10126.4</v>
      </c>
      <c r="K25" s="145">
        <v>0</v>
      </c>
      <c r="L25" s="145">
        <v>0</v>
      </c>
    </row>
    <row r="26" spans="1:12" x14ac:dyDescent="0.25">
      <c r="A26" s="143" t="s">
        <v>455</v>
      </c>
      <c r="B26" s="144" t="s">
        <v>456</v>
      </c>
      <c r="C26" s="145">
        <v>0</v>
      </c>
      <c r="D26" s="145">
        <v>12500</v>
      </c>
      <c r="E26" s="145">
        <v>0</v>
      </c>
      <c r="F26" s="145">
        <v>12500</v>
      </c>
      <c r="G26" s="145">
        <v>0</v>
      </c>
      <c r="H26" s="145">
        <v>0</v>
      </c>
      <c r="I26" s="145">
        <v>0</v>
      </c>
      <c r="J26" s="145">
        <v>0</v>
      </c>
      <c r="K26" s="145">
        <v>0</v>
      </c>
      <c r="L26" s="145">
        <v>12500</v>
      </c>
    </row>
    <row r="27" spans="1:12" x14ac:dyDescent="0.25">
      <c r="A27" s="143" t="s">
        <v>457</v>
      </c>
      <c r="B27" s="144" t="s">
        <v>458</v>
      </c>
      <c r="C27" s="145">
        <v>0</v>
      </c>
      <c r="D27" s="145">
        <v>0</v>
      </c>
      <c r="E27" s="145">
        <v>0</v>
      </c>
      <c r="F27" s="145">
        <v>-1.5</v>
      </c>
      <c r="G27" s="145">
        <v>0</v>
      </c>
      <c r="H27" s="145">
        <v>1.5</v>
      </c>
      <c r="I27" s="145">
        <v>1.5</v>
      </c>
      <c r="J27" s="145">
        <v>1.5</v>
      </c>
      <c r="K27" s="145">
        <v>0</v>
      </c>
      <c r="L27" s="145">
        <v>0</v>
      </c>
    </row>
    <row r="28" spans="1:12" x14ac:dyDescent="0.25">
      <c r="A28" s="143" t="s">
        <v>459</v>
      </c>
      <c r="B28" s="144" t="s">
        <v>460</v>
      </c>
      <c r="C28" s="145">
        <v>0</v>
      </c>
      <c r="D28" s="145">
        <v>0</v>
      </c>
      <c r="E28" s="145">
        <v>0</v>
      </c>
      <c r="F28" s="145">
        <v>937.15</v>
      </c>
      <c r="G28" s="145">
        <v>2599.04</v>
      </c>
      <c r="H28" s="145">
        <v>1661.89</v>
      </c>
      <c r="I28" s="145">
        <v>40698.379999999997</v>
      </c>
      <c r="J28" s="145">
        <v>40698.379999999997</v>
      </c>
      <c r="K28" s="145">
        <v>0</v>
      </c>
      <c r="L28" s="145">
        <v>0</v>
      </c>
    </row>
    <row r="29" spans="1:12" x14ac:dyDescent="0.25">
      <c r="A29" s="143" t="s">
        <v>461</v>
      </c>
      <c r="B29" s="144" t="s">
        <v>462</v>
      </c>
      <c r="C29" s="145">
        <v>0</v>
      </c>
      <c r="D29" s="145">
        <v>14739.12</v>
      </c>
      <c r="E29" s="145">
        <v>0</v>
      </c>
      <c r="F29" s="145">
        <v>0</v>
      </c>
      <c r="G29" s="145">
        <v>0</v>
      </c>
      <c r="H29" s="145">
        <v>0</v>
      </c>
      <c r="I29" s="145">
        <v>14739.12</v>
      </c>
      <c r="J29" s="145">
        <v>0</v>
      </c>
      <c r="K29" s="145">
        <v>0</v>
      </c>
      <c r="L29" s="145">
        <v>0</v>
      </c>
    </row>
    <row r="30" spans="1:12" x14ac:dyDescent="0.25">
      <c r="A30" s="143" t="s">
        <v>463</v>
      </c>
      <c r="B30" s="144" t="s">
        <v>464</v>
      </c>
      <c r="C30" s="145">
        <v>0</v>
      </c>
      <c r="D30" s="145">
        <v>0</v>
      </c>
      <c r="E30" s="145">
        <v>0</v>
      </c>
      <c r="F30" s="145">
        <v>5000</v>
      </c>
      <c r="G30" s="145">
        <v>0</v>
      </c>
      <c r="H30" s="145">
        <v>65.14</v>
      </c>
      <c r="I30" s="145">
        <v>0</v>
      </c>
      <c r="J30" s="145">
        <v>5065.1400000000003</v>
      </c>
      <c r="K30" s="145">
        <v>0</v>
      </c>
      <c r="L30" s="145">
        <v>5065.1400000000003</v>
      </c>
    </row>
    <row r="31" spans="1:12" x14ac:dyDescent="0.25">
      <c r="A31" s="143" t="s">
        <v>465</v>
      </c>
      <c r="B31" s="144" t="s">
        <v>466</v>
      </c>
      <c r="C31" s="145">
        <v>0</v>
      </c>
      <c r="D31" s="145">
        <v>1000</v>
      </c>
      <c r="E31" s="145">
        <v>0</v>
      </c>
      <c r="F31" s="145">
        <v>4000</v>
      </c>
      <c r="G31" s="145">
        <v>0</v>
      </c>
      <c r="H31" s="145">
        <v>52.73</v>
      </c>
      <c r="I31" s="145">
        <v>0</v>
      </c>
      <c r="J31" s="145">
        <v>3052.73</v>
      </c>
      <c r="K31" s="145">
        <v>0</v>
      </c>
      <c r="L31" s="145">
        <v>4052.73</v>
      </c>
    </row>
    <row r="32" spans="1:12" x14ac:dyDescent="0.25">
      <c r="A32" s="143" t="s">
        <v>467</v>
      </c>
      <c r="B32" s="144" t="s">
        <v>468</v>
      </c>
      <c r="C32" s="145">
        <v>0</v>
      </c>
      <c r="D32" s="145">
        <v>0</v>
      </c>
      <c r="E32" s="145">
        <v>0</v>
      </c>
      <c r="F32" s="145">
        <v>5500</v>
      </c>
      <c r="G32" s="145">
        <v>0</v>
      </c>
      <c r="H32" s="145">
        <v>70.56</v>
      </c>
      <c r="I32" s="145">
        <v>0</v>
      </c>
      <c r="J32" s="145">
        <v>5570.56</v>
      </c>
      <c r="K32" s="145">
        <v>0</v>
      </c>
      <c r="L32" s="145">
        <v>5570.56</v>
      </c>
    </row>
    <row r="33" spans="1:12" x14ac:dyDescent="0.25">
      <c r="A33" s="143" t="s">
        <v>469</v>
      </c>
      <c r="B33" s="144" t="s">
        <v>470</v>
      </c>
      <c r="C33" s="145">
        <v>0</v>
      </c>
      <c r="D33" s="145">
        <v>0</v>
      </c>
      <c r="E33" s="145">
        <v>0</v>
      </c>
      <c r="F33" s="145">
        <v>5000</v>
      </c>
      <c r="G33" s="145">
        <v>0</v>
      </c>
      <c r="H33" s="145">
        <v>65.55</v>
      </c>
      <c r="I33" s="145">
        <v>0</v>
      </c>
      <c r="J33" s="145">
        <v>5065.55</v>
      </c>
      <c r="K33" s="145">
        <v>0</v>
      </c>
      <c r="L33" s="145">
        <v>5065.55</v>
      </c>
    </row>
    <row r="34" spans="1:12" x14ac:dyDescent="0.25">
      <c r="A34" s="143" t="s">
        <v>471</v>
      </c>
      <c r="B34" s="144" t="s">
        <v>472</v>
      </c>
      <c r="C34" s="145">
        <v>0</v>
      </c>
      <c r="D34" s="145">
        <v>0</v>
      </c>
      <c r="E34" s="145">
        <v>0</v>
      </c>
      <c r="F34" s="145">
        <v>0</v>
      </c>
      <c r="G34" s="145">
        <v>0</v>
      </c>
      <c r="H34" s="145">
        <v>0</v>
      </c>
      <c r="I34" s="145">
        <v>16000</v>
      </c>
      <c r="J34" s="145">
        <v>16000</v>
      </c>
      <c r="K34" s="145">
        <v>0</v>
      </c>
      <c r="L34" s="145">
        <v>0</v>
      </c>
    </row>
    <row r="35" spans="1:12" x14ac:dyDescent="0.25">
      <c r="A35" s="143" t="s">
        <v>473</v>
      </c>
      <c r="B35" s="144" t="s">
        <v>474</v>
      </c>
      <c r="C35" s="145">
        <v>0</v>
      </c>
      <c r="D35" s="145">
        <v>0</v>
      </c>
      <c r="E35" s="145">
        <v>0</v>
      </c>
      <c r="F35" s="145">
        <v>0</v>
      </c>
      <c r="G35" s="145">
        <v>3800</v>
      </c>
      <c r="H35" s="145">
        <v>0</v>
      </c>
      <c r="I35" s="145">
        <v>3800</v>
      </c>
      <c r="J35" s="145">
        <v>0</v>
      </c>
      <c r="K35" s="145">
        <v>3800</v>
      </c>
      <c r="L35" s="145">
        <v>0</v>
      </c>
    </row>
    <row r="36" spans="1:12" x14ac:dyDescent="0.25">
      <c r="A36" s="143" t="s">
        <v>475</v>
      </c>
      <c r="B36" s="144" t="s">
        <v>476</v>
      </c>
      <c r="C36" s="145">
        <v>0</v>
      </c>
      <c r="D36" s="145">
        <v>0</v>
      </c>
      <c r="E36" s="145">
        <v>0</v>
      </c>
      <c r="F36" s="145">
        <v>0</v>
      </c>
      <c r="G36" s="145">
        <v>0</v>
      </c>
      <c r="H36" s="145">
        <v>76.98</v>
      </c>
      <c r="I36" s="145">
        <v>0</v>
      </c>
      <c r="J36" s="145">
        <v>76.98</v>
      </c>
      <c r="K36" s="145">
        <v>-76.98</v>
      </c>
      <c r="L36" s="145">
        <v>0</v>
      </c>
    </row>
    <row r="37" spans="1:12" x14ac:dyDescent="0.25">
      <c r="A37" s="143" t="s">
        <v>477</v>
      </c>
      <c r="B37" s="144" t="s">
        <v>478</v>
      </c>
      <c r="C37" s="145">
        <v>0</v>
      </c>
      <c r="D37" s="145">
        <v>0</v>
      </c>
      <c r="E37" s="145">
        <v>0</v>
      </c>
      <c r="F37" s="145">
        <v>-5714.39</v>
      </c>
      <c r="G37" s="145">
        <v>0</v>
      </c>
      <c r="H37" s="145">
        <v>0</v>
      </c>
      <c r="I37" s="145">
        <v>5714.39</v>
      </c>
      <c r="J37" s="145">
        <v>0</v>
      </c>
      <c r="K37" s="145">
        <v>0</v>
      </c>
      <c r="L37" s="145">
        <v>-5714.39</v>
      </c>
    </row>
    <row r="38" spans="1:12" x14ac:dyDescent="0.25">
      <c r="A38" s="143" t="s">
        <v>479</v>
      </c>
      <c r="B38" s="144" t="s">
        <v>480</v>
      </c>
      <c r="C38" s="145">
        <v>5714.39</v>
      </c>
      <c r="D38" s="145">
        <v>0</v>
      </c>
      <c r="E38" s="145">
        <v>0</v>
      </c>
      <c r="F38" s="145">
        <v>0</v>
      </c>
      <c r="G38" s="145">
        <v>0</v>
      </c>
      <c r="H38" s="145">
        <v>0</v>
      </c>
      <c r="I38" s="145">
        <v>0</v>
      </c>
      <c r="J38" s="145">
        <v>5714.39</v>
      </c>
      <c r="K38" s="145">
        <v>0</v>
      </c>
      <c r="L38" s="145">
        <v>0</v>
      </c>
    </row>
    <row r="39" spans="1:12" x14ac:dyDescent="0.25">
      <c r="A39" s="143" t="s">
        <v>481</v>
      </c>
      <c r="B39" s="144" t="s">
        <v>482</v>
      </c>
      <c r="C39" s="145">
        <v>0</v>
      </c>
      <c r="D39" s="145">
        <v>0</v>
      </c>
      <c r="E39" s="145">
        <v>31.29</v>
      </c>
      <c r="F39" s="145">
        <v>0</v>
      </c>
      <c r="G39" s="145">
        <v>0</v>
      </c>
      <c r="H39" s="145">
        <v>0</v>
      </c>
      <c r="I39" s="145">
        <v>31.29</v>
      </c>
      <c r="J39" s="145">
        <v>0</v>
      </c>
      <c r="K39" s="145">
        <v>31.29</v>
      </c>
      <c r="L39" s="145">
        <v>0</v>
      </c>
    </row>
    <row r="40" spans="1:12" x14ac:dyDescent="0.25">
      <c r="A40" s="143" t="s">
        <v>483</v>
      </c>
      <c r="B40" s="144" t="s">
        <v>484</v>
      </c>
      <c r="C40" s="145">
        <v>0</v>
      </c>
      <c r="D40" s="145">
        <v>0</v>
      </c>
      <c r="E40" s="145">
        <v>121.36</v>
      </c>
      <c r="F40" s="145">
        <v>0</v>
      </c>
      <c r="G40" s="145">
        <v>0</v>
      </c>
      <c r="H40" s="145">
        <v>0</v>
      </c>
      <c r="I40" s="145">
        <v>121.36</v>
      </c>
      <c r="J40" s="145">
        <v>0</v>
      </c>
      <c r="K40" s="145">
        <v>121.36</v>
      </c>
      <c r="L40" s="145">
        <v>0</v>
      </c>
    </row>
    <row r="41" spans="1:12" x14ac:dyDescent="0.25">
      <c r="A41" s="143" t="s">
        <v>485</v>
      </c>
      <c r="B41" s="144" t="s">
        <v>486</v>
      </c>
      <c r="C41" s="145">
        <v>0</v>
      </c>
      <c r="D41" s="145">
        <v>0</v>
      </c>
      <c r="E41" s="145">
        <v>282413.76</v>
      </c>
      <c r="F41" s="145">
        <v>0</v>
      </c>
      <c r="G41" s="145">
        <v>41750.04</v>
      </c>
      <c r="H41" s="145">
        <v>0</v>
      </c>
      <c r="I41" s="145">
        <v>324163.8</v>
      </c>
      <c r="J41" s="145">
        <v>0</v>
      </c>
      <c r="K41" s="145">
        <v>324163.8</v>
      </c>
      <c r="L41" s="145">
        <v>0</v>
      </c>
    </row>
    <row r="42" spans="1:12" x14ac:dyDescent="0.25">
      <c r="A42" s="143" t="s">
        <v>487</v>
      </c>
      <c r="B42" s="144" t="s">
        <v>488</v>
      </c>
      <c r="C42" s="145">
        <v>0</v>
      </c>
      <c r="D42" s="145">
        <v>0</v>
      </c>
      <c r="E42" s="145">
        <v>-656.62</v>
      </c>
      <c r="F42" s="145">
        <v>0</v>
      </c>
      <c r="G42" s="145">
        <v>0</v>
      </c>
      <c r="H42" s="145">
        <v>0</v>
      </c>
      <c r="I42" s="145">
        <v>-656.62</v>
      </c>
      <c r="J42" s="145">
        <v>0</v>
      </c>
      <c r="K42" s="145">
        <v>-656.62</v>
      </c>
      <c r="L42" s="145">
        <v>0</v>
      </c>
    </row>
    <row r="43" spans="1:12" x14ac:dyDescent="0.25">
      <c r="A43" s="143" t="s">
        <v>489</v>
      </c>
      <c r="B43" s="144" t="s">
        <v>490</v>
      </c>
      <c r="C43" s="145">
        <v>0</v>
      </c>
      <c r="D43" s="145">
        <v>0</v>
      </c>
      <c r="E43" s="145">
        <v>2631.73</v>
      </c>
      <c r="F43" s="145">
        <v>0</v>
      </c>
      <c r="G43" s="145">
        <v>344.14</v>
      </c>
      <c r="H43" s="145">
        <v>0</v>
      </c>
      <c r="I43" s="145">
        <v>2975.87</v>
      </c>
      <c r="J43" s="145">
        <v>0</v>
      </c>
      <c r="K43" s="145">
        <v>2975.87</v>
      </c>
      <c r="L43" s="145">
        <v>0</v>
      </c>
    </row>
    <row r="44" spans="1:12" x14ac:dyDescent="0.25">
      <c r="A44" s="143" t="s">
        <v>491</v>
      </c>
      <c r="B44" s="144" t="s">
        <v>492</v>
      </c>
      <c r="C44" s="145">
        <v>0</v>
      </c>
      <c r="D44" s="145">
        <v>0</v>
      </c>
      <c r="E44" s="145">
        <v>1866.63</v>
      </c>
      <c r="F44" s="145">
        <v>0</v>
      </c>
      <c r="G44" s="145">
        <v>334.73</v>
      </c>
      <c r="H44" s="145">
        <v>0</v>
      </c>
      <c r="I44" s="145">
        <v>2201.36</v>
      </c>
      <c r="J44" s="145">
        <v>0</v>
      </c>
      <c r="K44" s="145">
        <v>2201.36</v>
      </c>
      <c r="L44" s="145">
        <v>0</v>
      </c>
    </row>
    <row r="45" spans="1:12" x14ac:dyDescent="0.25">
      <c r="A45" s="143" t="s">
        <v>493</v>
      </c>
      <c r="B45" s="144" t="s">
        <v>494</v>
      </c>
      <c r="C45" s="145">
        <v>0</v>
      </c>
      <c r="D45" s="145">
        <v>0</v>
      </c>
      <c r="E45" s="145">
        <v>13826.48</v>
      </c>
      <c r="F45" s="145">
        <v>0</v>
      </c>
      <c r="G45" s="145">
        <v>1991.97</v>
      </c>
      <c r="H45" s="145">
        <v>0</v>
      </c>
      <c r="I45" s="145">
        <v>15818.45</v>
      </c>
      <c r="J45" s="145">
        <v>0</v>
      </c>
      <c r="K45" s="145">
        <v>15818.45</v>
      </c>
      <c r="L45" s="145">
        <v>0</v>
      </c>
    </row>
    <row r="46" spans="1:12" x14ac:dyDescent="0.25">
      <c r="A46" s="143" t="s">
        <v>495</v>
      </c>
      <c r="B46" s="144" t="s">
        <v>496</v>
      </c>
      <c r="C46" s="145">
        <v>0</v>
      </c>
      <c r="D46" s="145">
        <v>0</v>
      </c>
      <c r="E46" s="145">
        <v>4071.08</v>
      </c>
      <c r="F46" s="145">
        <v>0</v>
      </c>
      <c r="G46" s="145">
        <v>391.81</v>
      </c>
      <c r="H46" s="145">
        <v>0</v>
      </c>
      <c r="I46" s="145">
        <v>4462.8900000000003</v>
      </c>
      <c r="J46" s="145">
        <v>0</v>
      </c>
      <c r="K46" s="145">
        <v>4462.8900000000003</v>
      </c>
      <c r="L46" s="145">
        <v>0</v>
      </c>
    </row>
    <row r="47" spans="1:12" x14ac:dyDescent="0.25">
      <c r="A47" s="143" t="s">
        <v>497</v>
      </c>
      <c r="B47" s="144" t="s">
        <v>498</v>
      </c>
      <c r="C47" s="145">
        <v>0</v>
      </c>
      <c r="D47" s="145">
        <v>0</v>
      </c>
      <c r="E47" s="145">
        <v>20379.5</v>
      </c>
      <c r="F47" s="145">
        <v>0</v>
      </c>
      <c r="G47" s="145">
        <v>3255</v>
      </c>
      <c r="H47" s="145">
        <v>0</v>
      </c>
      <c r="I47" s="145">
        <v>23634.5</v>
      </c>
      <c r="J47" s="145">
        <v>0</v>
      </c>
      <c r="K47" s="145">
        <v>23634.5</v>
      </c>
      <c r="L47" s="145">
        <v>0</v>
      </c>
    </row>
    <row r="48" spans="1:12" x14ac:dyDescent="0.25">
      <c r="A48" s="143" t="s">
        <v>499</v>
      </c>
      <c r="B48" s="144" t="s">
        <v>500</v>
      </c>
      <c r="C48" s="145">
        <v>0</v>
      </c>
      <c r="D48" s="145">
        <v>0</v>
      </c>
      <c r="E48" s="145">
        <v>558.03</v>
      </c>
      <c r="F48" s="145">
        <v>0</v>
      </c>
      <c r="G48" s="145">
        <v>20.82</v>
      </c>
      <c r="H48" s="145">
        <v>0</v>
      </c>
      <c r="I48" s="145">
        <v>578.85</v>
      </c>
      <c r="J48" s="145">
        <v>0</v>
      </c>
      <c r="K48" s="145">
        <v>578.85</v>
      </c>
      <c r="L48" s="145">
        <v>0</v>
      </c>
    </row>
    <row r="49" spans="1:12" x14ac:dyDescent="0.25">
      <c r="A49" s="143" t="s">
        <v>501</v>
      </c>
      <c r="B49" s="144" t="s">
        <v>502</v>
      </c>
      <c r="C49" s="145">
        <v>0</v>
      </c>
      <c r="D49" s="145">
        <v>0</v>
      </c>
      <c r="E49" s="145">
        <v>3850</v>
      </c>
      <c r="F49" s="145">
        <v>0</v>
      </c>
      <c r="G49" s="145">
        <v>350</v>
      </c>
      <c r="H49" s="145">
        <v>0</v>
      </c>
      <c r="I49" s="145">
        <v>4200</v>
      </c>
      <c r="J49" s="145">
        <v>0</v>
      </c>
      <c r="K49" s="145">
        <v>4200</v>
      </c>
      <c r="L49" s="145">
        <v>0</v>
      </c>
    </row>
    <row r="50" spans="1:12" x14ac:dyDescent="0.25">
      <c r="A50" s="143" t="s">
        <v>503</v>
      </c>
      <c r="B50" s="144" t="s">
        <v>504</v>
      </c>
      <c r="C50" s="145">
        <v>0</v>
      </c>
      <c r="D50" s="145">
        <v>0</v>
      </c>
      <c r="E50" s="145">
        <v>33000</v>
      </c>
      <c r="F50" s="145">
        <v>0</v>
      </c>
      <c r="G50" s="145">
        <v>3000</v>
      </c>
      <c r="H50" s="145">
        <v>0</v>
      </c>
      <c r="I50" s="145">
        <v>36000</v>
      </c>
      <c r="J50" s="145">
        <v>0</v>
      </c>
      <c r="K50" s="145">
        <v>36000</v>
      </c>
      <c r="L50" s="145">
        <v>0</v>
      </c>
    </row>
    <row r="51" spans="1:12" x14ac:dyDescent="0.25">
      <c r="A51" s="143" t="s">
        <v>505</v>
      </c>
      <c r="B51" s="144" t="s">
        <v>506</v>
      </c>
      <c r="C51" s="145">
        <v>0</v>
      </c>
      <c r="D51" s="145">
        <v>0</v>
      </c>
      <c r="E51" s="145">
        <v>24.95</v>
      </c>
      <c r="F51" s="145">
        <v>0</v>
      </c>
      <c r="G51" s="145">
        <v>0</v>
      </c>
      <c r="H51" s="145">
        <v>0</v>
      </c>
      <c r="I51" s="145">
        <v>24.95</v>
      </c>
      <c r="J51" s="145">
        <v>0</v>
      </c>
      <c r="K51" s="145">
        <v>24.95</v>
      </c>
      <c r="L51" s="145">
        <v>0</v>
      </c>
    </row>
    <row r="52" spans="1:12" x14ac:dyDescent="0.25">
      <c r="A52" s="143" t="s">
        <v>507</v>
      </c>
      <c r="B52" s="144" t="s">
        <v>508</v>
      </c>
      <c r="C52" s="145">
        <v>0</v>
      </c>
      <c r="D52" s="145">
        <v>0</v>
      </c>
      <c r="E52" s="145">
        <v>15.22</v>
      </c>
      <c r="F52" s="145">
        <v>0</v>
      </c>
      <c r="G52" s="145">
        <v>0</v>
      </c>
      <c r="H52" s="145">
        <v>0</v>
      </c>
      <c r="I52" s="145">
        <v>15.22</v>
      </c>
      <c r="J52" s="145">
        <v>0</v>
      </c>
      <c r="K52" s="145">
        <v>15.22</v>
      </c>
      <c r="L52" s="145">
        <v>0</v>
      </c>
    </row>
    <row r="53" spans="1:12" x14ac:dyDescent="0.25">
      <c r="A53" s="143" t="s">
        <v>509</v>
      </c>
      <c r="B53" s="144" t="s">
        <v>510</v>
      </c>
      <c r="C53" s="145">
        <v>0</v>
      </c>
      <c r="D53" s="145">
        <v>0</v>
      </c>
      <c r="E53" s="145">
        <v>0</v>
      </c>
      <c r="F53" s="145">
        <v>0</v>
      </c>
      <c r="G53" s="145">
        <v>76.98</v>
      </c>
      <c r="H53" s="145">
        <v>0</v>
      </c>
      <c r="I53" s="145">
        <v>76.98</v>
      </c>
      <c r="J53" s="145">
        <v>0</v>
      </c>
      <c r="K53" s="145">
        <v>76.98</v>
      </c>
      <c r="L53" s="145">
        <v>0</v>
      </c>
    </row>
    <row r="54" spans="1:12" x14ac:dyDescent="0.25">
      <c r="A54" s="143" t="s">
        <v>511</v>
      </c>
      <c r="B54" s="144" t="s">
        <v>512</v>
      </c>
      <c r="C54" s="145">
        <v>0</v>
      </c>
      <c r="D54" s="145">
        <v>0</v>
      </c>
      <c r="E54" s="145">
        <v>3298.91</v>
      </c>
      <c r="F54" s="145">
        <v>0</v>
      </c>
      <c r="G54" s="145">
        <v>1402.54</v>
      </c>
      <c r="H54" s="145">
        <v>2097.92</v>
      </c>
      <c r="I54" s="145">
        <v>4701.45</v>
      </c>
      <c r="J54" s="145">
        <v>2097.92</v>
      </c>
      <c r="K54" s="145">
        <v>2603.5300000000002</v>
      </c>
      <c r="L54" s="145">
        <v>0</v>
      </c>
    </row>
    <row r="55" spans="1:12" x14ac:dyDescent="0.25">
      <c r="A55" s="143" t="s">
        <v>513</v>
      </c>
      <c r="B55" s="144" t="s">
        <v>514</v>
      </c>
      <c r="C55" s="145">
        <v>0</v>
      </c>
      <c r="D55" s="145">
        <v>0</v>
      </c>
      <c r="E55" s="145">
        <v>0</v>
      </c>
      <c r="F55" s="145">
        <v>0</v>
      </c>
      <c r="G55" s="145">
        <v>4414.66</v>
      </c>
      <c r="H55" s="145">
        <v>0</v>
      </c>
      <c r="I55" s="145">
        <v>4414.66</v>
      </c>
      <c r="J55" s="145">
        <v>0</v>
      </c>
      <c r="K55" s="145">
        <v>4414.66</v>
      </c>
      <c r="L55" s="145">
        <v>0</v>
      </c>
    </row>
    <row r="56" spans="1:12" x14ac:dyDescent="0.25">
      <c r="A56" s="143" t="s">
        <v>515</v>
      </c>
      <c r="B56" s="144" t="s">
        <v>516</v>
      </c>
      <c r="C56" s="145">
        <v>0</v>
      </c>
      <c r="D56" s="145">
        <v>0</v>
      </c>
      <c r="E56" s="145">
        <v>0</v>
      </c>
      <c r="F56" s="145">
        <v>0</v>
      </c>
      <c r="G56" s="145">
        <v>253.98</v>
      </c>
      <c r="H56" s="145">
        <v>0</v>
      </c>
      <c r="I56" s="145">
        <v>253.98</v>
      </c>
      <c r="J56" s="145">
        <v>0</v>
      </c>
      <c r="K56" s="145">
        <v>253.98</v>
      </c>
      <c r="L56" s="145">
        <v>0</v>
      </c>
    </row>
    <row r="57" spans="1:12" x14ac:dyDescent="0.25">
      <c r="A57" s="143" t="s">
        <v>517</v>
      </c>
      <c r="B57" s="144" t="s">
        <v>518</v>
      </c>
      <c r="C57" s="145">
        <v>0</v>
      </c>
      <c r="D57" s="145">
        <v>0</v>
      </c>
      <c r="E57" s="145">
        <v>0.05</v>
      </c>
      <c r="F57" s="145">
        <v>0</v>
      </c>
      <c r="G57" s="145">
        <v>0</v>
      </c>
      <c r="H57" s="145">
        <v>0</v>
      </c>
      <c r="I57" s="145">
        <v>0.05</v>
      </c>
      <c r="J57" s="145">
        <v>0</v>
      </c>
      <c r="K57" s="145">
        <v>0.05</v>
      </c>
      <c r="L57" s="145">
        <v>0</v>
      </c>
    </row>
    <row r="58" spans="1:12" x14ac:dyDescent="0.25">
      <c r="A58" s="143" t="s">
        <v>519</v>
      </c>
      <c r="B58" s="144" t="s">
        <v>520</v>
      </c>
      <c r="C58" s="145">
        <v>0</v>
      </c>
      <c r="D58" s="145">
        <v>0</v>
      </c>
      <c r="E58" s="145">
        <v>237.72</v>
      </c>
      <c r="F58" s="145">
        <v>0</v>
      </c>
      <c r="G58" s="145">
        <v>19</v>
      </c>
      <c r="H58" s="145">
        <v>0</v>
      </c>
      <c r="I58" s="145">
        <v>256.72000000000003</v>
      </c>
      <c r="J58" s="145">
        <v>0</v>
      </c>
      <c r="K58" s="145">
        <v>256.72000000000003</v>
      </c>
      <c r="L58" s="145">
        <v>0</v>
      </c>
    </row>
    <row r="59" spans="1:12" x14ac:dyDescent="0.25">
      <c r="A59" s="143" t="s">
        <v>521</v>
      </c>
      <c r="B59" s="144" t="s">
        <v>522</v>
      </c>
      <c r="C59" s="145">
        <v>0</v>
      </c>
      <c r="D59" s="145">
        <v>0</v>
      </c>
      <c r="E59" s="145">
        <v>0</v>
      </c>
      <c r="F59" s="145">
        <v>0</v>
      </c>
      <c r="G59" s="145">
        <v>5080.32</v>
      </c>
      <c r="H59" s="145">
        <v>0</v>
      </c>
      <c r="I59" s="145">
        <v>5080.32</v>
      </c>
      <c r="J59" s="145">
        <v>0</v>
      </c>
      <c r="K59" s="145">
        <v>5080.32</v>
      </c>
      <c r="L59" s="145">
        <v>0</v>
      </c>
    </row>
    <row r="60" spans="1:12" x14ac:dyDescent="0.25">
      <c r="A60" s="143" t="s">
        <v>523</v>
      </c>
      <c r="B60" s="144" t="s">
        <v>524</v>
      </c>
      <c r="C60" s="145">
        <v>0</v>
      </c>
      <c r="D60" s="145">
        <v>0</v>
      </c>
      <c r="E60" s="145">
        <v>0</v>
      </c>
      <c r="F60" s="145">
        <v>0</v>
      </c>
      <c r="G60" s="145">
        <v>960</v>
      </c>
      <c r="H60" s="145">
        <v>0</v>
      </c>
      <c r="I60" s="145">
        <v>960</v>
      </c>
      <c r="J60" s="145">
        <v>0</v>
      </c>
      <c r="K60" s="145">
        <v>960</v>
      </c>
      <c r="L60" s="145">
        <v>0</v>
      </c>
    </row>
    <row r="61" spans="1:12" x14ac:dyDescent="0.25">
      <c r="A61" s="143" t="s">
        <v>525</v>
      </c>
      <c r="B61" s="144" t="s">
        <v>526</v>
      </c>
      <c r="C61" s="145">
        <v>0</v>
      </c>
      <c r="D61" s="145">
        <v>0</v>
      </c>
      <c r="E61" s="145">
        <v>0</v>
      </c>
      <c r="F61" s="145">
        <v>36</v>
      </c>
      <c r="G61" s="145">
        <v>0</v>
      </c>
      <c r="H61" s="145">
        <v>77.7</v>
      </c>
      <c r="I61" s="145">
        <v>0</v>
      </c>
      <c r="J61" s="145">
        <v>113.7</v>
      </c>
      <c r="K61" s="145">
        <v>0</v>
      </c>
      <c r="L61" s="145">
        <v>113.7</v>
      </c>
    </row>
    <row r="62" spans="1:12" x14ac:dyDescent="0.25">
      <c r="A62" s="143" t="s">
        <v>527</v>
      </c>
      <c r="B62" s="144" t="s">
        <v>528</v>
      </c>
      <c r="C62" s="145">
        <v>0</v>
      </c>
      <c r="D62" s="145">
        <v>0</v>
      </c>
      <c r="E62" s="145">
        <v>0</v>
      </c>
      <c r="F62" s="145">
        <v>2412.4</v>
      </c>
      <c r="G62" s="145">
        <v>0</v>
      </c>
      <c r="H62" s="145">
        <v>3800</v>
      </c>
      <c r="I62" s="145">
        <v>0</v>
      </c>
      <c r="J62" s="145">
        <v>6212.4</v>
      </c>
      <c r="K62" s="145">
        <v>0</v>
      </c>
      <c r="L62" s="145">
        <v>6212.4</v>
      </c>
    </row>
    <row r="63" spans="1:12" x14ac:dyDescent="0.25">
      <c r="A63" s="143" t="s">
        <v>529</v>
      </c>
      <c r="B63" s="144" t="s">
        <v>530</v>
      </c>
      <c r="C63" s="145">
        <v>0</v>
      </c>
      <c r="D63" s="145">
        <v>0</v>
      </c>
      <c r="E63" s="145">
        <v>0</v>
      </c>
      <c r="F63" s="145">
        <v>-8686.58</v>
      </c>
      <c r="G63" s="145">
        <v>0</v>
      </c>
      <c r="H63" s="145">
        <v>-821.46</v>
      </c>
      <c r="I63" s="145">
        <v>0</v>
      </c>
      <c r="J63" s="145">
        <v>-9508.0400000000009</v>
      </c>
      <c r="K63" s="145">
        <v>0</v>
      </c>
      <c r="L63" s="145">
        <v>-9508.0400000000009</v>
      </c>
    </row>
    <row r="64" spans="1:12" x14ac:dyDescent="0.25">
      <c r="A64" s="143" t="s">
        <v>531</v>
      </c>
      <c r="B64" s="144" t="s">
        <v>530</v>
      </c>
      <c r="C64" s="145">
        <v>0</v>
      </c>
      <c r="D64" s="145">
        <v>0</v>
      </c>
      <c r="E64" s="145">
        <v>0</v>
      </c>
      <c r="F64" s="145">
        <v>280949.94</v>
      </c>
      <c r="G64" s="145">
        <v>0</v>
      </c>
      <c r="H64" s="145">
        <v>24689.97</v>
      </c>
      <c r="I64" s="145">
        <v>0</v>
      </c>
      <c r="J64" s="145">
        <v>305639.90999999997</v>
      </c>
      <c r="K64" s="145">
        <v>0</v>
      </c>
      <c r="L64" s="145">
        <v>305639.90999999997</v>
      </c>
    </row>
    <row r="65" spans="1:12" x14ac:dyDescent="0.25">
      <c r="A65" s="143" t="s">
        <v>532</v>
      </c>
      <c r="B65" s="144" t="s">
        <v>533</v>
      </c>
      <c r="C65" s="145">
        <v>0</v>
      </c>
      <c r="D65" s="145">
        <v>0</v>
      </c>
      <c r="E65" s="145">
        <v>0</v>
      </c>
      <c r="F65" s="145">
        <v>91023.07</v>
      </c>
      <c r="G65" s="145">
        <v>0</v>
      </c>
      <c r="H65" s="145">
        <v>10049.700000000001</v>
      </c>
      <c r="I65" s="145">
        <v>66.44</v>
      </c>
      <c r="J65" s="145">
        <v>101139.21</v>
      </c>
      <c r="K65" s="145">
        <v>0</v>
      </c>
      <c r="L65" s="145">
        <v>101072.77</v>
      </c>
    </row>
    <row r="66" spans="1:12" x14ac:dyDescent="0.25">
      <c r="A66" s="143" t="s">
        <v>534</v>
      </c>
      <c r="B66" s="144" t="s">
        <v>535</v>
      </c>
      <c r="C66" s="145">
        <v>0</v>
      </c>
      <c r="D66" s="145">
        <v>0</v>
      </c>
      <c r="E66" s="145">
        <v>0</v>
      </c>
      <c r="F66" s="145">
        <v>0</v>
      </c>
      <c r="G66" s="145">
        <v>0</v>
      </c>
      <c r="H66" s="145">
        <v>57.9</v>
      </c>
      <c r="I66" s="145">
        <v>0</v>
      </c>
      <c r="J66" s="145">
        <v>57.9</v>
      </c>
      <c r="K66" s="145">
        <v>0</v>
      </c>
      <c r="L66" s="145">
        <v>57.9</v>
      </c>
    </row>
    <row r="67" spans="1:12" x14ac:dyDescent="0.25">
      <c r="A67" s="143" t="s">
        <v>536</v>
      </c>
      <c r="B67" s="144" t="s">
        <v>537</v>
      </c>
      <c r="C67" s="145">
        <v>0</v>
      </c>
      <c r="D67" s="145">
        <v>0</v>
      </c>
      <c r="E67" s="145">
        <v>0</v>
      </c>
      <c r="F67" s="145">
        <v>5</v>
      </c>
      <c r="G67" s="145">
        <v>0</v>
      </c>
      <c r="H67" s="145">
        <v>0</v>
      </c>
      <c r="I67" s="145">
        <v>0</v>
      </c>
      <c r="J67" s="145">
        <v>5</v>
      </c>
      <c r="K67" s="145">
        <v>0</v>
      </c>
      <c r="L67" s="145">
        <v>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538</v>
      </c>
      <c r="B2" s="141" t="s">
        <v>409</v>
      </c>
      <c r="C2" s="142">
        <v>0</v>
      </c>
      <c r="D2" s="142">
        <v>0</v>
      </c>
      <c r="E2" s="142">
        <v>297493.68</v>
      </c>
      <c r="F2" s="142">
        <v>0</v>
      </c>
      <c r="G2" s="142">
        <v>33376.75</v>
      </c>
      <c r="H2" s="142">
        <v>330870.43</v>
      </c>
      <c r="I2" s="142">
        <v>330870.43</v>
      </c>
      <c r="J2" s="142">
        <v>330870.43</v>
      </c>
      <c r="K2" s="142">
        <v>0</v>
      </c>
      <c r="L2" s="142">
        <v>0</v>
      </c>
    </row>
    <row r="3" spans="1:12" x14ac:dyDescent="0.25">
      <c r="A3" s="140" t="s">
        <v>539</v>
      </c>
      <c r="B3" s="141" t="s">
        <v>411</v>
      </c>
      <c r="C3" s="142">
        <v>13234.34</v>
      </c>
      <c r="D3" s="142">
        <v>0</v>
      </c>
      <c r="E3" s="142">
        <v>-269179.42</v>
      </c>
      <c r="F3" s="142">
        <v>0</v>
      </c>
      <c r="G3" s="142">
        <v>330870.43</v>
      </c>
      <c r="H3" s="142">
        <v>46164.7</v>
      </c>
      <c r="I3" s="142">
        <v>330870.43</v>
      </c>
      <c r="J3" s="142">
        <v>328578.46000000002</v>
      </c>
      <c r="K3" s="142">
        <v>15526.31</v>
      </c>
      <c r="L3" s="142">
        <v>0</v>
      </c>
    </row>
    <row r="4" spans="1:12" x14ac:dyDescent="0.25">
      <c r="A4" s="140" t="s">
        <v>540</v>
      </c>
      <c r="B4" s="141" t="s">
        <v>541</v>
      </c>
      <c r="C4" s="142">
        <v>4035.76</v>
      </c>
      <c r="D4" s="142">
        <v>0</v>
      </c>
      <c r="E4" s="142">
        <v>18839.37</v>
      </c>
      <c r="F4" s="142">
        <v>0</v>
      </c>
      <c r="G4" s="142">
        <v>8374.8700000000008</v>
      </c>
      <c r="H4" s="142">
        <v>12771.23</v>
      </c>
      <c r="I4" s="142">
        <v>117616.92</v>
      </c>
      <c r="J4" s="142">
        <v>107209.67</v>
      </c>
      <c r="K4" s="142">
        <v>14443.01</v>
      </c>
      <c r="L4" s="142">
        <v>0</v>
      </c>
    </row>
    <row r="5" spans="1:12" x14ac:dyDescent="0.25">
      <c r="A5" s="140" t="s">
        <v>542</v>
      </c>
      <c r="B5" s="141" t="s">
        <v>415</v>
      </c>
      <c r="C5" s="142">
        <v>0</v>
      </c>
      <c r="D5" s="142">
        <v>0</v>
      </c>
      <c r="E5" s="142">
        <v>0</v>
      </c>
      <c r="F5" s="142">
        <v>0</v>
      </c>
      <c r="G5" s="142">
        <v>6812.75</v>
      </c>
      <c r="H5" s="142">
        <v>6812.75</v>
      </c>
      <c r="I5" s="142">
        <v>41040.629999999997</v>
      </c>
      <c r="J5" s="142">
        <v>41040.629999999997</v>
      </c>
      <c r="K5" s="142">
        <v>0</v>
      </c>
      <c r="L5" s="142">
        <v>0</v>
      </c>
    </row>
    <row r="6" spans="1:12" x14ac:dyDescent="0.25">
      <c r="A6" s="140" t="s">
        <v>543</v>
      </c>
      <c r="B6" s="141" t="s">
        <v>544</v>
      </c>
      <c r="C6" s="142">
        <v>2960.87</v>
      </c>
      <c r="D6" s="142">
        <v>0</v>
      </c>
      <c r="E6" s="142">
        <v>4171.5</v>
      </c>
      <c r="F6" s="142">
        <v>0</v>
      </c>
      <c r="G6" s="142">
        <v>39242.29</v>
      </c>
      <c r="H6" s="142">
        <v>39272.629999999997</v>
      </c>
      <c r="I6" s="142">
        <v>408549.36</v>
      </c>
      <c r="J6" s="142">
        <v>407369.07</v>
      </c>
      <c r="K6" s="142">
        <v>4141.16</v>
      </c>
      <c r="L6" s="142">
        <v>0</v>
      </c>
    </row>
    <row r="7" spans="1:12" x14ac:dyDescent="0.25">
      <c r="A7" s="140" t="s">
        <v>545</v>
      </c>
      <c r="B7" s="141" t="s">
        <v>419</v>
      </c>
      <c r="C7" s="142">
        <v>0</v>
      </c>
      <c r="D7" s="142">
        <v>0</v>
      </c>
      <c r="E7" s="142">
        <v>-3684.77</v>
      </c>
      <c r="F7" s="142">
        <v>0</v>
      </c>
      <c r="G7" s="142">
        <v>0</v>
      </c>
      <c r="H7" s="142">
        <v>-3684.77</v>
      </c>
      <c r="I7" s="142">
        <v>2150</v>
      </c>
      <c r="J7" s="142">
        <v>2150</v>
      </c>
      <c r="K7" s="142">
        <v>0</v>
      </c>
      <c r="L7" s="142">
        <v>0</v>
      </c>
    </row>
    <row r="8" spans="1:12" x14ac:dyDescent="0.25">
      <c r="A8" s="140" t="s">
        <v>546</v>
      </c>
      <c r="B8" s="141" t="s">
        <v>547</v>
      </c>
      <c r="C8" s="142">
        <v>20819.650000000001</v>
      </c>
      <c r="D8" s="142">
        <v>0</v>
      </c>
      <c r="E8" s="142">
        <v>32610.5</v>
      </c>
      <c r="F8" s="142">
        <v>0</v>
      </c>
      <c r="G8" s="142">
        <v>29092.21</v>
      </c>
      <c r="H8" s="142">
        <v>37546.239999999998</v>
      </c>
      <c r="I8" s="142">
        <v>360579.28</v>
      </c>
      <c r="J8" s="142">
        <v>357242.46</v>
      </c>
      <c r="K8" s="142">
        <v>24156.47</v>
      </c>
      <c r="L8" s="142">
        <v>0</v>
      </c>
    </row>
    <row r="9" spans="1:12" x14ac:dyDescent="0.25">
      <c r="A9" s="140" t="s">
        <v>548</v>
      </c>
      <c r="B9" s="141" t="s">
        <v>424</v>
      </c>
      <c r="C9" s="142">
        <v>1728.31</v>
      </c>
      <c r="D9" s="142">
        <v>0</v>
      </c>
      <c r="E9" s="142">
        <v>8771.3799999999992</v>
      </c>
      <c r="F9" s="142">
        <v>0</v>
      </c>
      <c r="G9" s="142">
        <v>57.9</v>
      </c>
      <c r="H9" s="142">
        <v>7100.97</v>
      </c>
      <c r="I9" s="142">
        <v>22140.6</v>
      </c>
      <c r="J9" s="142">
        <v>22140.6</v>
      </c>
      <c r="K9" s="142">
        <v>1728.31</v>
      </c>
      <c r="L9" s="142">
        <v>0</v>
      </c>
    </row>
    <row r="10" spans="1:12" x14ac:dyDescent="0.25">
      <c r="A10" s="140" t="s">
        <v>549</v>
      </c>
      <c r="B10" s="141" t="s">
        <v>550</v>
      </c>
      <c r="C10" s="142">
        <v>0</v>
      </c>
      <c r="D10" s="142">
        <v>0</v>
      </c>
      <c r="E10" s="142">
        <v>-221.33</v>
      </c>
      <c r="F10" s="142">
        <v>0</v>
      </c>
      <c r="G10" s="142">
        <v>6812.75</v>
      </c>
      <c r="H10" s="142">
        <v>2406.06</v>
      </c>
      <c r="I10" s="142">
        <v>40909.03</v>
      </c>
      <c r="J10" s="142">
        <v>36723.67</v>
      </c>
      <c r="K10" s="142">
        <v>4185.3599999999997</v>
      </c>
      <c r="L10" s="142">
        <v>0</v>
      </c>
    </row>
    <row r="11" spans="1:12" x14ac:dyDescent="0.25">
      <c r="A11" s="140" t="s">
        <v>551</v>
      </c>
      <c r="B11" s="141" t="s">
        <v>552</v>
      </c>
      <c r="C11" s="142">
        <v>0</v>
      </c>
      <c r="D11" s="142">
        <v>19229.02</v>
      </c>
      <c r="E11" s="142">
        <v>0</v>
      </c>
      <c r="F11" s="142">
        <v>59339.9</v>
      </c>
      <c r="G11" s="142">
        <v>43247.06</v>
      </c>
      <c r="H11" s="142">
        <v>42635.33</v>
      </c>
      <c r="I11" s="142">
        <v>347903.24</v>
      </c>
      <c r="J11" s="142">
        <v>387402.39</v>
      </c>
      <c r="K11" s="142">
        <v>0</v>
      </c>
      <c r="L11" s="142">
        <v>58728.17</v>
      </c>
    </row>
    <row r="12" spans="1:12" x14ac:dyDescent="0.25">
      <c r="A12" s="140" t="s">
        <v>553</v>
      </c>
      <c r="B12" s="141" t="s">
        <v>438</v>
      </c>
      <c r="C12" s="142">
        <v>0</v>
      </c>
      <c r="D12" s="142">
        <v>0</v>
      </c>
      <c r="E12" s="142">
        <v>0</v>
      </c>
      <c r="F12" s="142">
        <v>-804.02</v>
      </c>
      <c r="G12" s="142">
        <v>0</v>
      </c>
      <c r="H12" s="142">
        <v>4059.02</v>
      </c>
      <c r="I12" s="142">
        <v>804.02</v>
      </c>
      <c r="J12" s="142">
        <v>4059.02</v>
      </c>
      <c r="K12" s="142">
        <v>0</v>
      </c>
      <c r="L12" s="142">
        <v>3255</v>
      </c>
    </row>
    <row r="13" spans="1:12" x14ac:dyDescent="0.25">
      <c r="A13" s="140" t="s">
        <v>554</v>
      </c>
      <c r="B13" s="141" t="s">
        <v>440</v>
      </c>
      <c r="C13" s="142">
        <v>0</v>
      </c>
      <c r="D13" s="142">
        <v>0</v>
      </c>
      <c r="E13" s="142">
        <v>0</v>
      </c>
      <c r="F13" s="142">
        <v>0</v>
      </c>
      <c r="G13" s="142">
        <v>0</v>
      </c>
      <c r="H13" s="142">
        <v>0</v>
      </c>
      <c r="I13" s="142">
        <v>5080.32</v>
      </c>
      <c r="J13" s="142">
        <v>5080.32</v>
      </c>
      <c r="K13" s="142">
        <v>0</v>
      </c>
      <c r="L13" s="142">
        <v>0</v>
      </c>
    </row>
    <row r="14" spans="1:12" x14ac:dyDescent="0.25">
      <c r="A14" s="140" t="s">
        <v>555</v>
      </c>
      <c r="B14" s="141" t="s">
        <v>442</v>
      </c>
      <c r="C14" s="142">
        <v>-720</v>
      </c>
      <c r="D14" s="142">
        <v>0</v>
      </c>
      <c r="E14" s="142">
        <v>-720</v>
      </c>
      <c r="F14" s="142">
        <v>0</v>
      </c>
      <c r="G14" s="142">
        <v>720</v>
      </c>
      <c r="H14" s="142">
        <v>960</v>
      </c>
      <c r="I14" s="142">
        <v>720</v>
      </c>
      <c r="J14" s="142">
        <v>960</v>
      </c>
      <c r="K14" s="142">
        <v>-960</v>
      </c>
      <c r="L14" s="142">
        <v>0</v>
      </c>
    </row>
    <row r="15" spans="1:12" x14ac:dyDescent="0.25">
      <c r="A15" s="140" t="s">
        <v>556</v>
      </c>
      <c r="B15" s="141" t="s">
        <v>557</v>
      </c>
      <c r="C15" s="142">
        <v>0</v>
      </c>
      <c r="D15" s="142">
        <v>305.18</v>
      </c>
      <c r="E15" s="142">
        <v>0</v>
      </c>
      <c r="F15" s="142">
        <v>2254.0300000000002</v>
      </c>
      <c r="G15" s="142">
        <v>16883.900000000001</v>
      </c>
      <c r="H15" s="142">
        <v>16675.27</v>
      </c>
      <c r="I15" s="142">
        <v>182827.02</v>
      </c>
      <c r="J15" s="142">
        <v>184567.24</v>
      </c>
      <c r="K15" s="142">
        <v>0</v>
      </c>
      <c r="L15" s="142">
        <v>2045.4</v>
      </c>
    </row>
    <row r="16" spans="1:12" x14ac:dyDescent="0.25">
      <c r="A16" s="140" t="s">
        <v>558</v>
      </c>
      <c r="B16" s="141" t="s">
        <v>559</v>
      </c>
      <c r="C16" s="142">
        <v>0</v>
      </c>
      <c r="D16" s="142">
        <v>12500</v>
      </c>
      <c r="E16" s="142">
        <v>0</v>
      </c>
      <c r="F16" s="142">
        <v>12500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12500</v>
      </c>
    </row>
    <row r="17" spans="1:12" x14ac:dyDescent="0.25">
      <c r="A17" s="140" t="s">
        <v>560</v>
      </c>
      <c r="B17" s="141" t="s">
        <v>458</v>
      </c>
      <c r="C17" s="142">
        <v>0</v>
      </c>
      <c r="D17" s="142">
        <v>15739.12</v>
      </c>
      <c r="E17" s="142">
        <v>0</v>
      </c>
      <c r="F17" s="142">
        <v>20435.650000000001</v>
      </c>
      <c r="G17" s="142">
        <v>2599.04</v>
      </c>
      <c r="H17" s="142">
        <v>1917.37</v>
      </c>
      <c r="I17" s="142">
        <v>71439</v>
      </c>
      <c r="J17" s="142">
        <v>75453.86</v>
      </c>
      <c r="K17" s="142">
        <v>0</v>
      </c>
      <c r="L17" s="142">
        <v>19753.98</v>
      </c>
    </row>
    <row r="18" spans="1:12" x14ac:dyDescent="0.25">
      <c r="A18" s="140" t="s">
        <v>561</v>
      </c>
      <c r="B18" s="141" t="s">
        <v>474</v>
      </c>
      <c r="C18" s="142">
        <v>0</v>
      </c>
      <c r="D18" s="142">
        <v>0</v>
      </c>
      <c r="E18" s="142">
        <v>0</v>
      </c>
      <c r="F18" s="142">
        <v>0</v>
      </c>
      <c r="G18" s="142">
        <v>3800</v>
      </c>
      <c r="H18" s="142">
        <v>0</v>
      </c>
      <c r="I18" s="142">
        <v>3800</v>
      </c>
      <c r="J18" s="142">
        <v>0</v>
      </c>
      <c r="K18" s="142">
        <v>3800</v>
      </c>
      <c r="L18" s="142">
        <v>0</v>
      </c>
    </row>
    <row r="19" spans="1:12" x14ac:dyDescent="0.25">
      <c r="A19" s="140" t="s">
        <v>562</v>
      </c>
      <c r="B19" s="141" t="s">
        <v>476</v>
      </c>
      <c r="C19" s="142">
        <v>0</v>
      </c>
      <c r="D19" s="142">
        <v>0</v>
      </c>
      <c r="E19" s="142">
        <v>0</v>
      </c>
      <c r="F19" s="142">
        <v>0</v>
      </c>
      <c r="G19" s="142">
        <v>0</v>
      </c>
      <c r="H19" s="142">
        <v>76.98</v>
      </c>
      <c r="I19" s="142">
        <v>0</v>
      </c>
      <c r="J19" s="142">
        <v>76.98</v>
      </c>
      <c r="K19" s="142">
        <v>-76.98</v>
      </c>
      <c r="L19" s="142">
        <v>0</v>
      </c>
    </row>
    <row r="20" spans="1:12" x14ac:dyDescent="0.25">
      <c r="A20" s="140" t="s">
        <v>563</v>
      </c>
      <c r="B20" s="141" t="s">
        <v>478</v>
      </c>
      <c r="C20" s="142">
        <v>0</v>
      </c>
      <c r="D20" s="142">
        <v>0</v>
      </c>
      <c r="E20" s="142">
        <v>0</v>
      </c>
      <c r="F20" s="142">
        <v>-5714.39</v>
      </c>
      <c r="G20" s="142">
        <v>0</v>
      </c>
      <c r="H20" s="142">
        <v>0</v>
      </c>
      <c r="I20" s="142">
        <v>5714.39</v>
      </c>
      <c r="J20" s="142">
        <v>0</v>
      </c>
      <c r="K20" s="142">
        <v>0</v>
      </c>
      <c r="L20" s="142">
        <v>-5714.39</v>
      </c>
    </row>
    <row r="21" spans="1:12" x14ac:dyDescent="0.25">
      <c r="A21" s="140" t="s">
        <v>564</v>
      </c>
      <c r="B21" s="141" t="s">
        <v>480</v>
      </c>
      <c r="C21" s="142">
        <v>5714.39</v>
      </c>
      <c r="D21" s="142">
        <v>0</v>
      </c>
      <c r="E21" s="142">
        <v>0</v>
      </c>
      <c r="F21" s="142">
        <v>0</v>
      </c>
      <c r="G21" s="142">
        <v>0</v>
      </c>
      <c r="H21" s="142">
        <v>0</v>
      </c>
      <c r="I21" s="142">
        <v>0</v>
      </c>
      <c r="J21" s="142">
        <v>5714.39</v>
      </c>
      <c r="K21" s="142">
        <v>0</v>
      </c>
      <c r="L21" s="142">
        <v>0</v>
      </c>
    </row>
    <row r="22" spans="1:12" x14ac:dyDescent="0.25">
      <c r="A22" s="140" t="s">
        <v>565</v>
      </c>
      <c r="B22" s="141" t="s">
        <v>566</v>
      </c>
      <c r="C22" s="142">
        <v>0</v>
      </c>
      <c r="D22" s="142">
        <v>0</v>
      </c>
      <c r="E22" s="142">
        <v>152.65</v>
      </c>
      <c r="F22" s="142">
        <v>0</v>
      </c>
      <c r="G22" s="142">
        <v>0</v>
      </c>
      <c r="H22" s="142">
        <v>0</v>
      </c>
      <c r="I22" s="142">
        <v>152.65</v>
      </c>
      <c r="J22" s="142">
        <v>0</v>
      </c>
      <c r="K22" s="142">
        <v>152.65</v>
      </c>
      <c r="L22" s="142">
        <v>0</v>
      </c>
    </row>
    <row r="23" spans="1:12" x14ac:dyDescent="0.25">
      <c r="A23" s="140" t="s">
        <v>567</v>
      </c>
      <c r="B23" s="141" t="s">
        <v>486</v>
      </c>
      <c r="C23" s="142">
        <v>0</v>
      </c>
      <c r="D23" s="142">
        <v>0</v>
      </c>
      <c r="E23" s="142">
        <v>281757.14</v>
      </c>
      <c r="F23" s="142">
        <v>0</v>
      </c>
      <c r="G23" s="142">
        <v>41750.04</v>
      </c>
      <c r="H23" s="142">
        <v>0</v>
      </c>
      <c r="I23" s="142">
        <v>323507.18</v>
      </c>
      <c r="J23" s="142">
        <v>0</v>
      </c>
      <c r="K23" s="142">
        <v>323507.18</v>
      </c>
      <c r="L23" s="142">
        <v>0</v>
      </c>
    </row>
    <row r="24" spans="1:12" x14ac:dyDescent="0.25">
      <c r="A24" s="140" t="s">
        <v>568</v>
      </c>
      <c r="B24" s="141" t="s">
        <v>490</v>
      </c>
      <c r="C24" s="142">
        <v>0</v>
      </c>
      <c r="D24" s="142">
        <v>0</v>
      </c>
      <c r="E24" s="142">
        <v>80183.45</v>
      </c>
      <c r="F24" s="142">
        <v>0</v>
      </c>
      <c r="G24" s="142">
        <v>9688.4699999999993</v>
      </c>
      <c r="H24" s="142">
        <v>0</v>
      </c>
      <c r="I24" s="142">
        <v>89871.92</v>
      </c>
      <c r="J24" s="142">
        <v>0</v>
      </c>
      <c r="K24" s="142">
        <v>89871.92</v>
      </c>
      <c r="L24" s="142">
        <v>0</v>
      </c>
    </row>
    <row r="25" spans="1:12" x14ac:dyDescent="0.25">
      <c r="A25" s="140" t="s">
        <v>569</v>
      </c>
      <c r="B25" s="141" t="s">
        <v>506</v>
      </c>
      <c r="C25" s="142">
        <v>0</v>
      </c>
      <c r="D25" s="142">
        <v>0</v>
      </c>
      <c r="E25" s="142">
        <v>24.95</v>
      </c>
      <c r="F25" s="142">
        <v>0</v>
      </c>
      <c r="G25" s="142">
        <v>0</v>
      </c>
      <c r="H25" s="142">
        <v>0</v>
      </c>
      <c r="I25" s="142">
        <v>24.95</v>
      </c>
      <c r="J25" s="142">
        <v>0</v>
      </c>
      <c r="K25" s="142">
        <v>24.95</v>
      </c>
      <c r="L25" s="142">
        <v>0</v>
      </c>
    </row>
    <row r="26" spans="1:12" x14ac:dyDescent="0.25">
      <c r="A26" s="140" t="s">
        <v>570</v>
      </c>
      <c r="B26" s="141" t="s">
        <v>508</v>
      </c>
      <c r="C26" s="142">
        <v>0</v>
      </c>
      <c r="D26" s="142">
        <v>0</v>
      </c>
      <c r="E26" s="142">
        <v>15.22</v>
      </c>
      <c r="F26" s="142">
        <v>0</v>
      </c>
      <c r="G26" s="142">
        <v>0</v>
      </c>
      <c r="H26" s="142">
        <v>0</v>
      </c>
      <c r="I26" s="142">
        <v>15.22</v>
      </c>
      <c r="J26" s="142">
        <v>0</v>
      </c>
      <c r="K26" s="142">
        <v>15.22</v>
      </c>
      <c r="L26" s="142">
        <v>0</v>
      </c>
    </row>
    <row r="27" spans="1:12" x14ac:dyDescent="0.25">
      <c r="A27" s="140" t="s">
        <v>571</v>
      </c>
      <c r="B27" s="141" t="s">
        <v>510</v>
      </c>
      <c r="C27" s="142">
        <v>0</v>
      </c>
      <c r="D27" s="142">
        <v>0</v>
      </c>
      <c r="E27" s="142">
        <v>0</v>
      </c>
      <c r="F27" s="142">
        <v>0</v>
      </c>
      <c r="G27" s="142">
        <v>76.98</v>
      </c>
      <c r="H27" s="142">
        <v>0</v>
      </c>
      <c r="I27" s="142">
        <v>76.98</v>
      </c>
      <c r="J27" s="142">
        <v>0</v>
      </c>
      <c r="K27" s="142">
        <v>76.98</v>
      </c>
      <c r="L27" s="142">
        <v>0</v>
      </c>
    </row>
    <row r="28" spans="1:12" x14ac:dyDescent="0.25">
      <c r="A28" s="140" t="s">
        <v>572</v>
      </c>
      <c r="B28" s="141" t="s">
        <v>573</v>
      </c>
      <c r="C28" s="142">
        <v>0</v>
      </c>
      <c r="D28" s="142">
        <v>0</v>
      </c>
      <c r="E28" s="142">
        <v>3298.91</v>
      </c>
      <c r="F28" s="142">
        <v>0</v>
      </c>
      <c r="G28" s="142">
        <v>1402.54</v>
      </c>
      <c r="H28" s="142">
        <v>2097.92</v>
      </c>
      <c r="I28" s="142">
        <v>4701.45</v>
      </c>
      <c r="J28" s="142">
        <v>2097.92</v>
      </c>
      <c r="K28" s="142">
        <v>2603.5300000000002</v>
      </c>
      <c r="L28" s="142">
        <v>0</v>
      </c>
    </row>
    <row r="29" spans="1:12" x14ac:dyDescent="0.25">
      <c r="A29" s="140" t="s">
        <v>574</v>
      </c>
      <c r="B29" s="141" t="s">
        <v>514</v>
      </c>
      <c r="C29" s="142">
        <v>0</v>
      </c>
      <c r="D29" s="142">
        <v>0</v>
      </c>
      <c r="E29" s="142">
        <v>0</v>
      </c>
      <c r="F29" s="142">
        <v>0</v>
      </c>
      <c r="G29" s="142">
        <v>4414.66</v>
      </c>
      <c r="H29" s="142">
        <v>0</v>
      </c>
      <c r="I29" s="142">
        <v>4414.66</v>
      </c>
      <c r="J29" s="142">
        <v>0</v>
      </c>
      <c r="K29" s="142">
        <v>4414.66</v>
      </c>
      <c r="L29" s="142">
        <v>0</v>
      </c>
    </row>
    <row r="30" spans="1:12" x14ac:dyDescent="0.25">
      <c r="A30" s="140" t="s">
        <v>575</v>
      </c>
      <c r="B30" s="141" t="s">
        <v>516</v>
      </c>
      <c r="C30" s="142">
        <v>0</v>
      </c>
      <c r="D30" s="142">
        <v>0</v>
      </c>
      <c r="E30" s="142">
        <v>0</v>
      </c>
      <c r="F30" s="142">
        <v>0</v>
      </c>
      <c r="G30" s="142">
        <v>253.98</v>
      </c>
      <c r="H30" s="142">
        <v>0</v>
      </c>
      <c r="I30" s="142">
        <v>253.98</v>
      </c>
      <c r="J30" s="142">
        <v>0</v>
      </c>
      <c r="K30" s="142">
        <v>253.98</v>
      </c>
      <c r="L30" s="142">
        <v>0</v>
      </c>
    </row>
    <row r="31" spans="1:12" x14ac:dyDescent="0.25">
      <c r="A31" s="140" t="s">
        <v>576</v>
      </c>
      <c r="B31" s="141" t="s">
        <v>518</v>
      </c>
      <c r="C31" s="142">
        <v>0</v>
      </c>
      <c r="D31" s="142">
        <v>0</v>
      </c>
      <c r="E31" s="142">
        <v>237.77</v>
      </c>
      <c r="F31" s="142">
        <v>0</v>
      </c>
      <c r="G31" s="142">
        <v>19</v>
      </c>
      <c r="H31" s="142">
        <v>0</v>
      </c>
      <c r="I31" s="142">
        <v>256.77</v>
      </c>
      <c r="J31" s="142">
        <v>0</v>
      </c>
      <c r="K31" s="142">
        <v>256.77</v>
      </c>
      <c r="L31" s="142">
        <v>0</v>
      </c>
    </row>
    <row r="32" spans="1:12" x14ac:dyDescent="0.25">
      <c r="A32" s="140" t="s">
        <v>577</v>
      </c>
      <c r="B32" s="141" t="s">
        <v>522</v>
      </c>
      <c r="C32" s="142">
        <v>0</v>
      </c>
      <c r="D32" s="142">
        <v>0</v>
      </c>
      <c r="E32" s="142">
        <v>0</v>
      </c>
      <c r="F32" s="142">
        <v>0</v>
      </c>
      <c r="G32" s="142">
        <v>5080.32</v>
      </c>
      <c r="H32" s="142">
        <v>0</v>
      </c>
      <c r="I32" s="142">
        <v>5080.32</v>
      </c>
      <c r="J32" s="142">
        <v>0</v>
      </c>
      <c r="K32" s="142">
        <v>5080.32</v>
      </c>
      <c r="L32" s="142">
        <v>0</v>
      </c>
    </row>
    <row r="33" spans="1:12" x14ac:dyDescent="0.25">
      <c r="A33" s="140" t="s">
        <v>578</v>
      </c>
      <c r="B33" s="141" t="s">
        <v>524</v>
      </c>
      <c r="C33" s="142">
        <v>0</v>
      </c>
      <c r="D33" s="142">
        <v>0</v>
      </c>
      <c r="E33" s="142">
        <v>0</v>
      </c>
      <c r="F33" s="142">
        <v>0</v>
      </c>
      <c r="G33" s="142">
        <v>960</v>
      </c>
      <c r="H33" s="142">
        <v>0</v>
      </c>
      <c r="I33" s="142">
        <v>960</v>
      </c>
      <c r="J33" s="142">
        <v>0</v>
      </c>
      <c r="K33" s="142">
        <v>960</v>
      </c>
      <c r="L33" s="142">
        <v>0</v>
      </c>
    </row>
    <row r="34" spans="1:12" x14ac:dyDescent="0.25">
      <c r="A34" s="140" t="s">
        <v>579</v>
      </c>
      <c r="B34" s="141" t="s">
        <v>526</v>
      </c>
      <c r="C34" s="142">
        <v>0</v>
      </c>
      <c r="D34" s="142">
        <v>0</v>
      </c>
      <c r="E34" s="142">
        <v>0</v>
      </c>
      <c r="F34" s="142">
        <v>2448.4</v>
      </c>
      <c r="G34" s="142">
        <v>0</v>
      </c>
      <c r="H34" s="142">
        <v>3877.7</v>
      </c>
      <c r="I34" s="142">
        <v>0</v>
      </c>
      <c r="J34" s="142">
        <v>6326.1</v>
      </c>
      <c r="K34" s="142">
        <v>0</v>
      </c>
      <c r="L34" s="142">
        <v>6326.1</v>
      </c>
    </row>
    <row r="35" spans="1:12" x14ac:dyDescent="0.25">
      <c r="A35" s="140" t="s">
        <v>580</v>
      </c>
      <c r="B35" s="141" t="s">
        <v>530</v>
      </c>
      <c r="C35" s="142">
        <v>0</v>
      </c>
      <c r="D35" s="142">
        <v>0</v>
      </c>
      <c r="E35" s="142">
        <v>0</v>
      </c>
      <c r="F35" s="142">
        <v>363286.43</v>
      </c>
      <c r="G35" s="142">
        <v>0</v>
      </c>
      <c r="H35" s="142">
        <v>33918.21</v>
      </c>
      <c r="I35" s="142">
        <v>66.44</v>
      </c>
      <c r="J35" s="142">
        <v>397271.08</v>
      </c>
      <c r="K35" s="142">
        <v>0</v>
      </c>
      <c r="L35" s="142">
        <v>397204.64</v>
      </c>
    </row>
    <row r="36" spans="1:12" x14ac:dyDescent="0.25">
      <c r="A36" s="140" t="s">
        <v>581</v>
      </c>
      <c r="B36" s="141" t="s">
        <v>535</v>
      </c>
      <c r="C36" s="142">
        <v>0</v>
      </c>
      <c r="D36" s="142">
        <v>0</v>
      </c>
      <c r="E36" s="142">
        <v>0</v>
      </c>
      <c r="F36" s="142">
        <v>0</v>
      </c>
      <c r="G36" s="142">
        <v>0</v>
      </c>
      <c r="H36" s="142">
        <v>57.9</v>
      </c>
      <c r="I36" s="142">
        <v>0</v>
      </c>
      <c r="J36" s="142">
        <v>57.9</v>
      </c>
      <c r="K36" s="142">
        <v>0</v>
      </c>
      <c r="L36" s="142">
        <v>57.9</v>
      </c>
    </row>
    <row r="37" spans="1:12" x14ac:dyDescent="0.25">
      <c r="A37" s="140" t="s">
        <v>582</v>
      </c>
      <c r="B37" s="141" t="s">
        <v>537</v>
      </c>
      <c r="C37" s="142">
        <v>0</v>
      </c>
      <c r="D37" s="142">
        <v>0</v>
      </c>
      <c r="E37" s="142">
        <v>0</v>
      </c>
      <c r="F37" s="142">
        <v>5</v>
      </c>
      <c r="G37" s="142">
        <v>0</v>
      </c>
      <c r="H37" s="142">
        <v>0</v>
      </c>
      <c r="I37" s="142">
        <v>0</v>
      </c>
      <c r="J37" s="142">
        <v>5</v>
      </c>
      <c r="K37" s="142">
        <v>0</v>
      </c>
      <c r="L37" s="142">
        <v>5</v>
      </c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workbookViewId="0">
      <selection activeCell="B23" sqref="B23"/>
    </sheetView>
  </sheetViews>
  <sheetFormatPr defaultColWidth="9.140625" defaultRowHeight="15" x14ac:dyDescent="0.25"/>
  <cols>
    <col min="1" max="1" width="8.28515625" style="146" bestFit="1" customWidth="1"/>
    <col min="2" max="2" width="86.140625" style="146" bestFit="1" customWidth="1"/>
    <col min="3" max="3" width="4.42578125" style="147" bestFit="1" customWidth="1"/>
    <col min="4" max="7" width="15.28515625" style="148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25">
      <c r="A2" s="141" t="s">
        <v>583</v>
      </c>
      <c r="B2" s="141" t="s">
        <v>584</v>
      </c>
      <c r="C2" s="140" t="s">
        <v>585</v>
      </c>
      <c r="D2" s="142">
        <v>0</v>
      </c>
      <c r="E2" s="142">
        <v>0</v>
      </c>
      <c r="F2" s="142">
        <v>0</v>
      </c>
      <c r="G2" s="142">
        <v>0</v>
      </c>
    </row>
    <row r="3" spans="1:7" x14ac:dyDescent="0.25">
      <c r="A3" s="141" t="s">
        <v>586</v>
      </c>
      <c r="B3" s="141" t="s">
        <v>587</v>
      </c>
      <c r="C3" s="140" t="s">
        <v>588</v>
      </c>
      <c r="D3" s="142">
        <v>441779</v>
      </c>
      <c r="E3" s="142">
        <v>403588.64</v>
      </c>
      <c r="F3" s="142">
        <v>441779</v>
      </c>
      <c r="G3" s="142">
        <v>403589</v>
      </c>
    </row>
    <row r="4" spans="1:7" x14ac:dyDescent="0.25">
      <c r="A4" s="141" t="s">
        <v>589</v>
      </c>
      <c r="B4" s="141" t="s">
        <v>590</v>
      </c>
      <c r="C4" s="140" t="s">
        <v>591</v>
      </c>
      <c r="D4" s="142">
        <v>438953</v>
      </c>
      <c r="E4" s="142">
        <v>397204.64</v>
      </c>
      <c r="F4" s="142">
        <v>438953</v>
      </c>
      <c r="G4" s="142">
        <v>397205</v>
      </c>
    </row>
    <row r="5" spans="1:7" x14ac:dyDescent="0.25">
      <c r="A5" s="141" t="s">
        <v>592</v>
      </c>
      <c r="B5" s="141" t="s">
        <v>593</v>
      </c>
      <c r="C5" s="140" t="s">
        <v>594</v>
      </c>
      <c r="D5" s="142">
        <v>0</v>
      </c>
      <c r="E5" s="142">
        <v>0</v>
      </c>
      <c r="F5" s="142">
        <v>0</v>
      </c>
      <c r="G5" s="142">
        <v>0</v>
      </c>
    </row>
    <row r="6" spans="1:7" x14ac:dyDescent="0.25">
      <c r="A6" s="141" t="s">
        <v>595</v>
      </c>
      <c r="B6" s="141" t="s">
        <v>596</v>
      </c>
      <c r="C6" s="140" t="s">
        <v>597</v>
      </c>
      <c r="D6" s="142">
        <v>2826</v>
      </c>
      <c r="E6" s="142">
        <v>6326.1</v>
      </c>
      <c r="F6" s="142">
        <v>2826</v>
      </c>
      <c r="G6" s="142">
        <v>6326</v>
      </c>
    </row>
    <row r="7" spans="1:7" x14ac:dyDescent="0.25">
      <c r="A7" s="141" t="s">
        <v>598</v>
      </c>
      <c r="B7" s="141" t="s">
        <v>599</v>
      </c>
      <c r="C7" s="140" t="s">
        <v>600</v>
      </c>
      <c r="D7" s="142">
        <v>0</v>
      </c>
      <c r="E7" s="142">
        <v>0</v>
      </c>
      <c r="F7" s="142">
        <v>0</v>
      </c>
      <c r="G7" s="142">
        <v>0</v>
      </c>
    </row>
    <row r="8" spans="1:7" x14ac:dyDescent="0.25">
      <c r="A8" s="141" t="s">
        <v>601</v>
      </c>
      <c r="B8" s="141" t="s">
        <v>602</v>
      </c>
      <c r="C8" s="140" t="s">
        <v>603</v>
      </c>
      <c r="D8" s="142">
        <v>0</v>
      </c>
      <c r="E8" s="142">
        <v>0</v>
      </c>
      <c r="F8" s="142">
        <v>0</v>
      </c>
      <c r="G8" s="142">
        <v>0</v>
      </c>
    </row>
    <row r="9" spans="1:7" x14ac:dyDescent="0.25">
      <c r="A9" s="141" t="s">
        <v>604</v>
      </c>
      <c r="B9" s="141" t="s">
        <v>605</v>
      </c>
      <c r="C9" s="140" t="s">
        <v>606</v>
      </c>
      <c r="D9" s="142">
        <v>0</v>
      </c>
      <c r="E9" s="142">
        <v>0</v>
      </c>
      <c r="F9" s="142">
        <v>0</v>
      </c>
      <c r="G9" s="142">
        <v>0</v>
      </c>
    </row>
    <row r="10" spans="1:7" x14ac:dyDescent="0.25">
      <c r="A10" s="141" t="s">
        <v>607</v>
      </c>
      <c r="B10" s="141" t="s">
        <v>608</v>
      </c>
      <c r="C10" s="140" t="s">
        <v>609</v>
      </c>
      <c r="D10" s="142">
        <v>0</v>
      </c>
      <c r="E10" s="142">
        <v>57.9</v>
      </c>
      <c r="F10" s="142">
        <v>0</v>
      </c>
      <c r="G10" s="142">
        <v>58</v>
      </c>
    </row>
    <row r="11" spans="1:7" x14ac:dyDescent="0.25">
      <c r="A11" s="141" t="s">
        <v>586</v>
      </c>
      <c r="B11" s="141" t="s">
        <v>610</v>
      </c>
      <c r="C11" s="140" t="s">
        <v>611</v>
      </c>
      <c r="D11" s="142">
        <v>445229.75</v>
      </c>
      <c r="E11" s="142">
        <v>420667.09</v>
      </c>
      <c r="F11" s="142">
        <v>445229</v>
      </c>
      <c r="G11" s="142">
        <v>420668</v>
      </c>
    </row>
    <row r="12" spans="1:7" x14ac:dyDescent="0.25">
      <c r="A12" s="141" t="s">
        <v>612</v>
      </c>
      <c r="B12" s="141" t="s">
        <v>613</v>
      </c>
      <c r="C12" s="140" t="s">
        <v>614</v>
      </c>
      <c r="D12" s="142">
        <v>343861.3</v>
      </c>
      <c r="E12" s="142">
        <v>323507.18</v>
      </c>
      <c r="F12" s="142">
        <v>343861</v>
      </c>
      <c r="G12" s="142">
        <v>323507</v>
      </c>
    </row>
    <row r="13" spans="1:7" x14ac:dyDescent="0.25">
      <c r="A13" s="141" t="s">
        <v>615</v>
      </c>
      <c r="B13" s="141" t="s">
        <v>616</v>
      </c>
      <c r="C13" s="140" t="s">
        <v>617</v>
      </c>
      <c r="D13" s="142">
        <v>8340.9599999999991</v>
      </c>
      <c r="E13" s="142">
        <v>152.65</v>
      </c>
      <c r="F13" s="142">
        <v>8341</v>
      </c>
      <c r="G13" s="142">
        <v>153</v>
      </c>
    </row>
    <row r="14" spans="1:7" x14ac:dyDescent="0.25">
      <c r="A14" s="141" t="s">
        <v>618</v>
      </c>
      <c r="B14" s="141" t="s">
        <v>619</v>
      </c>
      <c r="C14" s="140" t="s">
        <v>620</v>
      </c>
      <c r="D14" s="142">
        <v>0</v>
      </c>
      <c r="E14" s="142">
        <v>0</v>
      </c>
      <c r="F14" s="142">
        <v>0</v>
      </c>
      <c r="G14" s="142">
        <v>0</v>
      </c>
    </row>
    <row r="15" spans="1:7" x14ac:dyDescent="0.25">
      <c r="A15" s="141" t="s">
        <v>621</v>
      </c>
      <c r="B15" s="141" t="s">
        <v>622</v>
      </c>
      <c r="C15" s="140" t="s">
        <v>623</v>
      </c>
      <c r="D15" s="142">
        <v>90541.759999999995</v>
      </c>
      <c r="E15" s="142">
        <v>89871.92</v>
      </c>
      <c r="F15" s="142">
        <v>90541</v>
      </c>
      <c r="G15" s="142">
        <v>89873</v>
      </c>
    </row>
    <row r="16" spans="1:7" x14ac:dyDescent="0.25">
      <c r="A16" s="141" t="s">
        <v>624</v>
      </c>
      <c r="B16" s="141" t="s">
        <v>625</v>
      </c>
      <c r="C16" s="140" t="s">
        <v>626</v>
      </c>
      <c r="D16" s="142">
        <v>0</v>
      </c>
      <c r="E16" s="142">
        <v>0</v>
      </c>
      <c r="F16" s="142">
        <v>0</v>
      </c>
      <c r="G16" s="142">
        <v>0</v>
      </c>
    </row>
    <row r="17" spans="1:7" x14ac:dyDescent="0.25">
      <c r="A17" s="141" t="s">
        <v>627</v>
      </c>
      <c r="B17" s="141" t="s">
        <v>628</v>
      </c>
      <c r="C17" s="140" t="s">
        <v>629</v>
      </c>
      <c r="D17" s="142">
        <v>0</v>
      </c>
      <c r="E17" s="142">
        <v>0</v>
      </c>
      <c r="F17" s="142">
        <v>0</v>
      </c>
      <c r="G17" s="142">
        <v>0</v>
      </c>
    </row>
    <row r="18" spans="1:7" x14ac:dyDescent="0.25">
      <c r="A18" s="141">
        <v>2</v>
      </c>
      <c r="B18" s="141" t="s">
        <v>630</v>
      </c>
      <c r="C18" s="140" t="s">
        <v>631</v>
      </c>
      <c r="D18" s="142">
        <v>0</v>
      </c>
      <c r="E18" s="142">
        <v>0</v>
      </c>
      <c r="F18" s="142">
        <v>0</v>
      </c>
      <c r="G18" s="142">
        <v>0</v>
      </c>
    </row>
    <row r="19" spans="1:7" x14ac:dyDescent="0.25">
      <c r="A19" s="141">
        <v>3</v>
      </c>
      <c r="B19" s="141" t="s">
        <v>632</v>
      </c>
      <c r="C19" s="140" t="s">
        <v>633</v>
      </c>
      <c r="D19" s="142">
        <v>0</v>
      </c>
      <c r="E19" s="142">
        <v>0</v>
      </c>
      <c r="F19" s="142">
        <v>0</v>
      </c>
      <c r="G19" s="142">
        <v>0</v>
      </c>
    </row>
    <row r="20" spans="1:7" x14ac:dyDescent="0.25">
      <c r="A20" s="141">
        <v>4</v>
      </c>
      <c r="B20" s="141" t="s">
        <v>634</v>
      </c>
      <c r="C20" s="140" t="s">
        <v>635</v>
      </c>
      <c r="D20" s="142">
        <v>0</v>
      </c>
      <c r="E20" s="142">
        <v>0</v>
      </c>
      <c r="F20" s="142">
        <v>0</v>
      </c>
      <c r="G20" s="142">
        <v>0</v>
      </c>
    </row>
    <row r="21" spans="1:7" x14ac:dyDescent="0.25">
      <c r="A21" s="141" t="s">
        <v>636</v>
      </c>
      <c r="B21" s="141" t="s">
        <v>637</v>
      </c>
      <c r="C21" s="140" t="s">
        <v>638</v>
      </c>
      <c r="D21" s="142">
        <v>0</v>
      </c>
      <c r="E21" s="142">
        <v>0</v>
      </c>
      <c r="F21" s="142">
        <v>0</v>
      </c>
      <c r="G21" s="142">
        <v>0</v>
      </c>
    </row>
    <row r="22" spans="1:7" x14ac:dyDescent="0.25">
      <c r="A22" s="141" t="s">
        <v>639</v>
      </c>
      <c r="B22" s="141" t="s">
        <v>640</v>
      </c>
      <c r="C22" s="140" t="s">
        <v>641</v>
      </c>
      <c r="D22" s="142">
        <v>1900</v>
      </c>
      <c r="E22" s="142">
        <v>0</v>
      </c>
      <c r="F22" s="142">
        <v>1900</v>
      </c>
      <c r="G22" s="142">
        <v>0</v>
      </c>
    </row>
    <row r="23" spans="1:7" x14ac:dyDescent="0.25">
      <c r="A23" s="141" t="s">
        <v>642</v>
      </c>
      <c r="B23" s="141" t="s">
        <v>643</v>
      </c>
      <c r="C23" s="140" t="s">
        <v>644</v>
      </c>
      <c r="D23" s="142">
        <v>1900</v>
      </c>
      <c r="E23" s="142">
        <v>0</v>
      </c>
      <c r="F23" s="142">
        <v>1900</v>
      </c>
      <c r="G23" s="142">
        <v>0</v>
      </c>
    </row>
    <row r="24" spans="1:7" x14ac:dyDescent="0.25">
      <c r="A24" s="141">
        <v>2</v>
      </c>
      <c r="B24" s="141" t="s">
        <v>645</v>
      </c>
      <c r="C24" s="140" t="s">
        <v>646</v>
      </c>
      <c r="D24" s="142">
        <v>0</v>
      </c>
      <c r="E24" s="142">
        <v>0</v>
      </c>
      <c r="F24" s="142">
        <v>0</v>
      </c>
      <c r="G24" s="142">
        <v>0</v>
      </c>
    </row>
    <row r="25" spans="1:7" x14ac:dyDescent="0.25">
      <c r="A25" s="141" t="s">
        <v>647</v>
      </c>
      <c r="B25" s="141" t="s">
        <v>648</v>
      </c>
      <c r="C25" s="140" t="s">
        <v>649</v>
      </c>
      <c r="D25" s="142">
        <v>0</v>
      </c>
      <c r="E25" s="142">
        <v>0</v>
      </c>
      <c r="F25" s="142">
        <v>0</v>
      </c>
      <c r="G25" s="142">
        <v>0</v>
      </c>
    </row>
    <row r="26" spans="1:7" x14ac:dyDescent="0.25">
      <c r="A26" s="141" t="s">
        <v>589</v>
      </c>
      <c r="B26" s="141" t="s">
        <v>650</v>
      </c>
      <c r="C26" s="140" t="s">
        <v>651</v>
      </c>
      <c r="D26" s="142">
        <v>0</v>
      </c>
      <c r="E26" s="142">
        <v>76.98</v>
      </c>
      <c r="F26" s="142">
        <v>0</v>
      </c>
      <c r="G26" s="142">
        <v>77</v>
      </c>
    </row>
    <row r="27" spans="1:7" x14ac:dyDescent="0.25">
      <c r="A27" s="141" t="s">
        <v>652</v>
      </c>
      <c r="B27" s="141" t="s">
        <v>653</v>
      </c>
      <c r="C27" s="140" t="s">
        <v>654</v>
      </c>
      <c r="D27" s="142">
        <v>585.73</v>
      </c>
      <c r="E27" s="142">
        <v>7058.36</v>
      </c>
      <c r="F27" s="142">
        <v>586</v>
      </c>
      <c r="G27" s="142">
        <v>7058</v>
      </c>
    </row>
    <row r="28" spans="1:7" x14ac:dyDescent="0.25">
      <c r="A28" s="141" t="s">
        <v>655</v>
      </c>
      <c r="B28" s="141" t="s">
        <v>656</v>
      </c>
      <c r="C28" s="140" t="s">
        <v>657</v>
      </c>
      <c r="D28" s="142">
        <v>-3450.75</v>
      </c>
      <c r="E28" s="142">
        <v>-17078.45</v>
      </c>
      <c r="F28" s="142">
        <v>-3450</v>
      </c>
      <c r="G28" s="142">
        <v>-17079</v>
      </c>
    </row>
    <row r="29" spans="1:7" x14ac:dyDescent="0.25">
      <c r="A29" s="141" t="s">
        <v>583</v>
      </c>
      <c r="B29" s="141" t="s">
        <v>658</v>
      </c>
      <c r="C29" s="140" t="s">
        <v>659</v>
      </c>
      <c r="D29" s="142">
        <v>-965.02</v>
      </c>
      <c r="E29" s="142">
        <v>-10001.01</v>
      </c>
      <c r="F29" s="142">
        <v>-964</v>
      </c>
      <c r="G29" s="142">
        <v>-10002</v>
      </c>
    </row>
    <row r="30" spans="1:7" x14ac:dyDescent="0.25">
      <c r="A30" s="141" t="s">
        <v>586</v>
      </c>
      <c r="B30" s="141" t="s">
        <v>660</v>
      </c>
      <c r="C30" s="140" t="s">
        <v>661</v>
      </c>
      <c r="D30" s="142">
        <v>0.04</v>
      </c>
      <c r="E30" s="142">
        <v>5</v>
      </c>
      <c r="F30" s="142">
        <v>0</v>
      </c>
      <c r="G30" s="142">
        <v>5</v>
      </c>
    </row>
    <row r="31" spans="1:7" x14ac:dyDescent="0.25">
      <c r="A31" s="141" t="s">
        <v>662</v>
      </c>
      <c r="B31" s="141" t="s">
        <v>663</v>
      </c>
      <c r="C31" s="140" t="s">
        <v>664</v>
      </c>
      <c r="D31" s="142">
        <v>0</v>
      </c>
      <c r="E31" s="142">
        <v>0</v>
      </c>
      <c r="F31" s="142">
        <v>0</v>
      </c>
      <c r="G31" s="142">
        <v>0</v>
      </c>
    </row>
    <row r="32" spans="1:7" x14ac:dyDescent="0.25">
      <c r="A32" s="141" t="s">
        <v>665</v>
      </c>
      <c r="B32" s="141" t="s">
        <v>666</v>
      </c>
      <c r="C32" s="140" t="s">
        <v>667</v>
      </c>
      <c r="D32" s="142">
        <v>0</v>
      </c>
      <c r="E32" s="142">
        <v>0</v>
      </c>
      <c r="F32" s="142">
        <v>0</v>
      </c>
      <c r="G32" s="142">
        <v>0</v>
      </c>
    </row>
    <row r="33" spans="1:7" x14ac:dyDescent="0.25">
      <c r="A33" s="141" t="s">
        <v>668</v>
      </c>
      <c r="B33" s="141" t="s">
        <v>669</v>
      </c>
      <c r="C33" s="140" t="s">
        <v>670</v>
      </c>
      <c r="D33" s="142">
        <v>0</v>
      </c>
      <c r="E33" s="142">
        <v>0</v>
      </c>
      <c r="F33" s="142">
        <v>0</v>
      </c>
      <c r="G33" s="142">
        <v>0</v>
      </c>
    </row>
    <row r="34" spans="1:7" x14ac:dyDescent="0.25">
      <c r="A34" s="141">
        <v>2</v>
      </c>
      <c r="B34" s="141" t="s">
        <v>671</v>
      </c>
      <c r="C34" s="140" t="s">
        <v>672</v>
      </c>
      <c r="D34" s="142">
        <v>0</v>
      </c>
      <c r="E34" s="142">
        <v>0</v>
      </c>
      <c r="F34" s="142">
        <v>0</v>
      </c>
      <c r="G34" s="142">
        <v>0</v>
      </c>
    </row>
    <row r="35" spans="1:7" x14ac:dyDescent="0.25">
      <c r="A35" s="141">
        <v>3</v>
      </c>
      <c r="B35" s="141" t="s">
        <v>673</v>
      </c>
      <c r="C35" s="140" t="s">
        <v>674</v>
      </c>
      <c r="D35" s="142">
        <v>0</v>
      </c>
      <c r="E35" s="142">
        <v>0</v>
      </c>
      <c r="F35" s="142">
        <v>0</v>
      </c>
      <c r="G35" s="142">
        <v>0</v>
      </c>
    </row>
    <row r="36" spans="1:7" x14ac:dyDescent="0.25">
      <c r="A36" s="141" t="s">
        <v>675</v>
      </c>
      <c r="B36" s="141" t="s">
        <v>676</v>
      </c>
      <c r="C36" s="140" t="s">
        <v>677</v>
      </c>
      <c r="D36" s="142">
        <v>0</v>
      </c>
      <c r="E36" s="142">
        <v>0</v>
      </c>
      <c r="F36" s="142">
        <v>0</v>
      </c>
      <c r="G36" s="142">
        <v>0</v>
      </c>
    </row>
    <row r="37" spans="1:7" x14ac:dyDescent="0.25">
      <c r="A37" s="141" t="s">
        <v>678</v>
      </c>
      <c r="B37" s="141" t="s">
        <v>679</v>
      </c>
      <c r="C37" s="140" t="s">
        <v>680</v>
      </c>
      <c r="D37" s="142">
        <v>0</v>
      </c>
      <c r="E37" s="142">
        <v>0</v>
      </c>
      <c r="F37" s="142">
        <v>0</v>
      </c>
      <c r="G37" s="142">
        <v>0</v>
      </c>
    </row>
    <row r="38" spans="1:7" x14ac:dyDescent="0.25">
      <c r="A38" s="141">
        <v>2</v>
      </c>
      <c r="B38" s="141" t="s">
        <v>681</v>
      </c>
      <c r="C38" s="140" t="s">
        <v>682</v>
      </c>
      <c r="D38" s="142">
        <v>0</v>
      </c>
      <c r="E38" s="142">
        <v>0</v>
      </c>
      <c r="F38" s="142">
        <v>0</v>
      </c>
      <c r="G38" s="142">
        <v>0</v>
      </c>
    </row>
    <row r="39" spans="1:7" x14ac:dyDescent="0.25">
      <c r="A39" s="141">
        <v>3</v>
      </c>
      <c r="B39" s="141" t="s">
        <v>683</v>
      </c>
      <c r="C39" s="140" t="s">
        <v>684</v>
      </c>
      <c r="D39" s="142">
        <v>0</v>
      </c>
      <c r="E39" s="142">
        <v>0</v>
      </c>
      <c r="F39" s="142">
        <v>0</v>
      </c>
      <c r="G39" s="142">
        <v>0</v>
      </c>
    </row>
    <row r="40" spans="1:7" x14ac:dyDescent="0.25">
      <c r="A40" s="141" t="s">
        <v>685</v>
      </c>
      <c r="B40" s="141" t="s">
        <v>686</v>
      </c>
      <c r="C40" s="140" t="s">
        <v>687</v>
      </c>
      <c r="D40" s="142">
        <v>0</v>
      </c>
      <c r="E40" s="142">
        <v>0</v>
      </c>
      <c r="F40" s="142">
        <v>0</v>
      </c>
      <c r="G40" s="142">
        <v>0</v>
      </c>
    </row>
    <row r="41" spans="1:7" x14ac:dyDescent="0.25">
      <c r="A41" s="141" t="s">
        <v>688</v>
      </c>
      <c r="B41" s="141" t="s">
        <v>689</v>
      </c>
      <c r="C41" s="140" t="s">
        <v>690</v>
      </c>
      <c r="D41" s="142">
        <v>0</v>
      </c>
      <c r="E41" s="142">
        <v>0</v>
      </c>
      <c r="F41" s="142">
        <v>0</v>
      </c>
      <c r="G41" s="142">
        <v>0</v>
      </c>
    </row>
    <row r="42" spans="1:7" x14ac:dyDescent="0.25">
      <c r="A42" s="141">
        <v>2</v>
      </c>
      <c r="B42" s="141" t="s">
        <v>691</v>
      </c>
      <c r="C42" s="140" t="s">
        <v>692</v>
      </c>
      <c r="D42" s="142">
        <v>0</v>
      </c>
      <c r="E42" s="142">
        <v>0</v>
      </c>
      <c r="F42" s="142">
        <v>0</v>
      </c>
      <c r="G42" s="142">
        <v>0</v>
      </c>
    </row>
    <row r="43" spans="1:7" x14ac:dyDescent="0.25">
      <c r="A43" s="141" t="s">
        <v>693</v>
      </c>
      <c r="B43" s="141" t="s">
        <v>694</v>
      </c>
      <c r="C43" s="140" t="s">
        <v>695</v>
      </c>
      <c r="D43" s="142">
        <v>0</v>
      </c>
      <c r="E43" s="142">
        <v>0</v>
      </c>
      <c r="F43" s="142">
        <v>0</v>
      </c>
      <c r="G43" s="142">
        <v>0</v>
      </c>
    </row>
    <row r="44" spans="1:7" x14ac:dyDescent="0.25">
      <c r="A44" s="141" t="s">
        <v>696</v>
      </c>
      <c r="B44" s="141" t="s">
        <v>697</v>
      </c>
      <c r="C44" s="140" t="s">
        <v>698</v>
      </c>
      <c r="D44" s="142">
        <v>0</v>
      </c>
      <c r="E44" s="142">
        <v>0</v>
      </c>
      <c r="F44" s="142">
        <v>0</v>
      </c>
      <c r="G44" s="142">
        <v>0</v>
      </c>
    </row>
    <row r="45" spans="1:7" x14ac:dyDescent="0.25">
      <c r="A45" s="141" t="s">
        <v>699</v>
      </c>
      <c r="B45" s="141" t="s">
        <v>700</v>
      </c>
      <c r="C45" s="140" t="s">
        <v>701</v>
      </c>
      <c r="D45" s="142">
        <v>0.04</v>
      </c>
      <c r="E45" s="142">
        <v>5</v>
      </c>
      <c r="F45" s="142">
        <v>0</v>
      </c>
      <c r="G45" s="142">
        <v>5</v>
      </c>
    </row>
    <row r="46" spans="1:7" x14ac:dyDescent="0.25">
      <c r="A46" s="141" t="s">
        <v>586</v>
      </c>
      <c r="B46" s="141" t="s">
        <v>702</v>
      </c>
      <c r="C46" s="140" t="s">
        <v>703</v>
      </c>
      <c r="D46" s="142">
        <v>1803.49</v>
      </c>
      <c r="E46" s="142">
        <v>5591.07</v>
      </c>
      <c r="F46" s="142">
        <v>1804</v>
      </c>
      <c r="G46" s="142">
        <v>5591</v>
      </c>
    </row>
    <row r="47" spans="1:7" x14ac:dyDescent="0.25">
      <c r="A47" s="141" t="s">
        <v>704</v>
      </c>
      <c r="B47" s="141" t="s">
        <v>705</v>
      </c>
      <c r="C47" s="140" t="s">
        <v>706</v>
      </c>
      <c r="D47" s="142">
        <v>0</v>
      </c>
      <c r="E47" s="142">
        <v>0</v>
      </c>
      <c r="F47" s="142">
        <v>0</v>
      </c>
      <c r="G47" s="142">
        <v>0</v>
      </c>
    </row>
    <row r="48" spans="1:7" x14ac:dyDescent="0.25">
      <c r="A48" s="141" t="s">
        <v>707</v>
      </c>
      <c r="B48" s="141" t="s">
        <v>708</v>
      </c>
      <c r="C48" s="140" t="s">
        <v>709</v>
      </c>
      <c r="D48" s="142">
        <v>0</v>
      </c>
      <c r="E48" s="142">
        <v>0</v>
      </c>
      <c r="F48" s="142">
        <v>0</v>
      </c>
      <c r="G48" s="142">
        <v>0</v>
      </c>
    </row>
    <row r="49" spans="1:7" x14ac:dyDescent="0.25">
      <c r="A49" s="141" t="s">
        <v>710</v>
      </c>
      <c r="B49" s="141" t="s">
        <v>711</v>
      </c>
      <c r="C49" s="140" t="s">
        <v>712</v>
      </c>
      <c r="D49" s="142">
        <v>0</v>
      </c>
      <c r="E49" s="142">
        <v>0</v>
      </c>
      <c r="F49" s="142">
        <v>0</v>
      </c>
      <c r="G49" s="142">
        <v>0</v>
      </c>
    </row>
    <row r="50" spans="1:7" x14ac:dyDescent="0.25">
      <c r="A50" s="141" t="s">
        <v>713</v>
      </c>
      <c r="B50" s="141" t="s">
        <v>714</v>
      </c>
      <c r="C50" s="140" t="s">
        <v>715</v>
      </c>
      <c r="D50" s="142">
        <v>1421.94</v>
      </c>
      <c r="E50" s="142">
        <v>253.98</v>
      </c>
      <c r="F50" s="142">
        <v>1422</v>
      </c>
      <c r="G50" s="142">
        <v>254</v>
      </c>
    </row>
    <row r="51" spans="1:7" x14ac:dyDescent="0.25">
      <c r="A51" s="141" t="s">
        <v>716</v>
      </c>
      <c r="B51" s="141" t="s">
        <v>717</v>
      </c>
      <c r="C51" s="140" t="s">
        <v>718</v>
      </c>
      <c r="D51" s="142">
        <v>0</v>
      </c>
      <c r="E51" s="142">
        <v>0</v>
      </c>
      <c r="F51" s="142">
        <v>0</v>
      </c>
      <c r="G51" s="142">
        <v>0</v>
      </c>
    </row>
    <row r="52" spans="1:7" x14ac:dyDescent="0.25">
      <c r="A52" s="141">
        <v>2</v>
      </c>
      <c r="B52" s="141" t="s">
        <v>719</v>
      </c>
      <c r="C52" s="140" t="s">
        <v>720</v>
      </c>
      <c r="D52" s="142">
        <v>1421.94</v>
      </c>
      <c r="E52" s="142">
        <v>253.98</v>
      </c>
      <c r="F52" s="142">
        <v>1422</v>
      </c>
      <c r="G52" s="142">
        <v>254</v>
      </c>
    </row>
    <row r="53" spans="1:7" x14ac:dyDescent="0.25">
      <c r="A53" s="141" t="s">
        <v>721</v>
      </c>
      <c r="B53" s="141" t="s">
        <v>722</v>
      </c>
      <c r="C53" s="140" t="s">
        <v>723</v>
      </c>
      <c r="D53" s="142">
        <v>0</v>
      </c>
      <c r="E53" s="142">
        <v>0</v>
      </c>
      <c r="F53" s="142">
        <v>0</v>
      </c>
      <c r="G53" s="142">
        <v>0</v>
      </c>
    </row>
    <row r="54" spans="1:7" x14ac:dyDescent="0.25">
      <c r="A54" s="141" t="s">
        <v>724</v>
      </c>
      <c r="B54" s="141" t="s">
        <v>725</v>
      </c>
      <c r="C54" s="140" t="s">
        <v>726</v>
      </c>
      <c r="D54" s="142">
        <v>0</v>
      </c>
      <c r="E54" s="142">
        <v>0</v>
      </c>
      <c r="F54" s="142">
        <v>0</v>
      </c>
      <c r="G54" s="142">
        <v>0</v>
      </c>
    </row>
    <row r="55" spans="1:7" x14ac:dyDescent="0.25">
      <c r="A55" s="141" t="s">
        <v>727</v>
      </c>
      <c r="B55" s="141" t="s">
        <v>728</v>
      </c>
      <c r="C55" s="140" t="s">
        <v>729</v>
      </c>
      <c r="D55" s="142">
        <v>381.55</v>
      </c>
      <c r="E55" s="142">
        <v>5337.09</v>
      </c>
      <c r="F55" s="142">
        <v>382</v>
      </c>
      <c r="G55" s="142">
        <v>5337</v>
      </c>
    </row>
    <row r="56" spans="1:7" x14ac:dyDescent="0.25">
      <c r="A56" s="141" t="s">
        <v>655</v>
      </c>
      <c r="B56" s="141" t="s">
        <v>730</v>
      </c>
      <c r="C56" s="140" t="s">
        <v>731</v>
      </c>
      <c r="D56" s="142">
        <v>-1803.45</v>
      </c>
      <c r="E56" s="142">
        <v>-5586.07</v>
      </c>
      <c r="F56" s="142">
        <v>-1804</v>
      </c>
      <c r="G56" s="142">
        <v>-5586</v>
      </c>
    </row>
    <row r="57" spans="1:7" x14ac:dyDescent="0.25">
      <c r="A57" s="141" t="s">
        <v>732</v>
      </c>
      <c r="B57" s="141" t="s">
        <v>733</v>
      </c>
      <c r="C57" s="140" t="s">
        <v>734</v>
      </c>
      <c r="D57" s="142">
        <v>-5254.2</v>
      </c>
      <c r="E57" s="142">
        <v>-22664.52</v>
      </c>
      <c r="F57" s="142">
        <v>-5254</v>
      </c>
      <c r="G57" s="142">
        <v>-22665</v>
      </c>
    </row>
    <row r="58" spans="1:7" x14ac:dyDescent="0.25">
      <c r="A58" s="141" t="s">
        <v>735</v>
      </c>
      <c r="B58" s="141" t="s">
        <v>736</v>
      </c>
      <c r="C58" s="140" t="s">
        <v>737</v>
      </c>
      <c r="D58" s="142">
        <v>960</v>
      </c>
      <c r="E58" s="142">
        <v>960</v>
      </c>
      <c r="F58" s="142">
        <v>960</v>
      </c>
      <c r="G58" s="142">
        <v>960</v>
      </c>
    </row>
    <row r="59" spans="1:7" x14ac:dyDescent="0.25">
      <c r="A59" s="141" t="s">
        <v>738</v>
      </c>
      <c r="B59" s="141" t="s">
        <v>739</v>
      </c>
      <c r="C59" s="140" t="s">
        <v>740</v>
      </c>
      <c r="D59" s="142">
        <v>960</v>
      </c>
      <c r="E59" s="142">
        <v>960</v>
      </c>
      <c r="F59" s="142">
        <v>960</v>
      </c>
      <c r="G59" s="142">
        <v>960</v>
      </c>
    </row>
    <row r="60" spans="1:7" x14ac:dyDescent="0.25">
      <c r="A60" s="141">
        <v>2</v>
      </c>
      <c r="B60" s="141" t="s">
        <v>741</v>
      </c>
      <c r="C60" s="140" t="s">
        <v>742</v>
      </c>
      <c r="D60" s="142">
        <v>0</v>
      </c>
      <c r="E60" s="142">
        <v>0</v>
      </c>
      <c r="F60" s="142">
        <v>0</v>
      </c>
      <c r="G60" s="142">
        <v>0</v>
      </c>
    </row>
    <row r="61" spans="1:7" x14ac:dyDescent="0.25">
      <c r="A61" s="141" t="s">
        <v>743</v>
      </c>
      <c r="B61" s="141" t="s">
        <v>744</v>
      </c>
      <c r="C61" s="140" t="s">
        <v>745</v>
      </c>
      <c r="D61" s="142">
        <v>0</v>
      </c>
      <c r="E61" s="142">
        <v>0</v>
      </c>
      <c r="F61" s="142">
        <v>0</v>
      </c>
      <c r="G61" s="142">
        <v>0</v>
      </c>
    </row>
    <row r="62" spans="1:7" x14ac:dyDescent="0.25">
      <c r="A62" s="141" t="s">
        <v>732</v>
      </c>
      <c r="B62" s="141" t="s">
        <v>746</v>
      </c>
      <c r="C62" s="140" t="s">
        <v>747</v>
      </c>
      <c r="D62" s="142">
        <v>-6214.2</v>
      </c>
      <c r="E62" s="142">
        <v>-23624.52</v>
      </c>
      <c r="F62" s="142">
        <v>-6214</v>
      </c>
      <c r="G62" s="142">
        <v>-23625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45" workbookViewId="0">
      <selection activeCell="B70" sqref="B70"/>
    </sheetView>
  </sheetViews>
  <sheetFormatPr defaultColWidth="9.140625" defaultRowHeight="15" x14ac:dyDescent="0.25"/>
  <cols>
    <col min="1" max="1" width="8.28515625" style="144" bestFit="1" customWidth="1"/>
    <col min="2" max="2" width="86.1406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25">
      <c r="A2" s="144" t="s">
        <v>583</v>
      </c>
      <c r="B2" s="144" t="s">
        <v>584</v>
      </c>
      <c r="C2" s="143" t="s">
        <v>585</v>
      </c>
      <c r="D2" s="145">
        <v>0</v>
      </c>
      <c r="E2" s="145">
        <v>0</v>
      </c>
      <c r="F2" s="145">
        <v>0</v>
      </c>
      <c r="G2" s="145">
        <v>0</v>
      </c>
    </row>
    <row r="3" spans="1:7" x14ac:dyDescent="0.25">
      <c r="A3" s="144" t="s">
        <v>586</v>
      </c>
      <c r="B3" s="144" t="s">
        <v>587</v>
      </c>
      <c r="C3" s="143" t="s">
        <v>588</v>
      </c>
      <c r="D3" s="142">
        <v>403588.64</v>
      </c>
      <c r="E3" s="142">
        <v>137488.54</v>
      </c>
      <c r="F3" s="142">
        <v>403589</v>
      </c>
      <c r="G3" s="142">
        <v>137489</v>
      </c>
    </row>
    <row r="4" spans="1:7" x14ac:dyDescent="0.25">
      <c r="A4" s="144" t="s">
        <v>589</v>
      </c>
      <c r="B4" s="144" t="s">
        <v>590</v>
      </c>
      <c r="C4" s="143" t="s">
        <v>591</v>
      </c>
      <c r="D4" s="145">
        <v>397204.64</v>
      </c>
      <c r="E4" s="145">
        <v>132488.54</v>
      </c>
      <c r="F4" s="145">
        <v>397205</v>
      </c>
      <c r="G4" s="145">
        <v>132489</v>
      </c>
    </row>
    <row r="5" spans="1:7" x14ac:dyDescent="0.25">
      <c r="A5" s="144" t="s">
        <v>592</v>
      </c>
      <c r="B5" s="144" t="s">
        <v>593</v>
      </c>
      <c r="C5" s="143" t="s">
        <v>594</v>
      </c>
      <c r="D5" s="145">
        <v>0</v>
      </c>
      <c r="E5" s="145">
        <v>0</v>
      </c>
      <c r="F5" s="145">
        <v>0</v>
      </c>
      <c r="G5" s="145">
        <v>0</v>
      </c>
    </row>
    <row r="6" spans="1:7" x14ac:dyDescent="0.25">
      <c r="A6" s="144" t="s">
        <v>595</v>
      </c>
      <c r="B6" s="144" t="s">
        <v>596</v>
      </c>
      <c r="C6" s="143" t="s">
        <v>597</v>
      </c>
      <c r="D6" s="145">
        <v>6326.1</v>
      </c>
      <c r="E6" s="145">
        <v>5000</v>
      </c>
      <c r="F6" s="145">
        <v>6326</v>
      </c>
      <c r="G6" s="145">
        <v>5000</v>
      </c>
    </row>
    <row r="7" spans="1:7" x14ac:dyDescent="0.25">
      <c r="A7" s="144" t="s">
        <v>598</v>
      </c>
      <c r="B7" s="144" t="s">
        <v>599</v>
      </c>
      <c r="C7" s="143" t="s">
        <v>600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601</v>
      </c>
      <c r="B8" s="144" t="s">
        <v>602</v>
      </c>
      <c r="C8" s="143" t="s">
        <v>603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604</v>
      </c>
      <c r="B9" s="144" t="s">
        <v>605</v>
      </c>
      <c r="C9" s="143" t="s">
        <v>606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607</v>
      </c>
      <c r="B10" s="144" t="s">
        <v>608</v>
      </c>
      <c r="C10" s="143" t="s">
        <v>609</v>
      </c>
      <c r="D10" s="145">
        <v>57.9</v>
      </c>
      <c r="E10" s="145">
        <v>0</v>
      </c>
      <c r="F10" s="145">
        <v>58</v>
      </c>
      <c r="G10" s="145">
        <v>0</v>
      </c>
    </row>
    <row r="11" spans="1:7" x14ac:dyDescent="0.25">
      <c r="A11" s="144" t="s">
        <v>586</v>
      </c>
      <c r="B11" s="144" t="s">
        <v>610</v>
      </c>
      <c r="C11" s="143" t="s">
        <v>611</v>
      </c>
      <c r="D11" s="145">
        <v>420667.09</v>
      </c>
      <c r="E11" s="145">
        <v>142380.51</v>
      </c>
      <c r="F11" s="145">
        <v>420668</v>
      </c>
      <c r="G11" s="145">
        <v>142381</v>
      </c>
    </row>
    <row r="12" spans="1:7" x14ac:dyDescent="0.25">
      <c r="A12" s="144" t="s">
        <v>612</v>
      </c>
      <c r="B12" s="144" t="s">
        <v>613</v>
      </c>
      <c r="C12" s="143" t="s">
        <v>614</v>
      </c>
      <c r="D12" s="145">
        <v>323507.18</v>
      </c>
      <c r="E12" s="145">
        <v>87860.07</v>
      </c>
      <c r="F12" s="145">
        <v>323507</v>
      </c>
      <c r="G12" s="145">
        <v>87860</v>
      </c>
    </row>
    <row r="13" spans="1:7" x14ac:dyDescent="0.25">
      <c r="A13" s="144" t="s">
        <v>615</v>
      </c>
      <c r="B13" s="144" t="s">
        <v>616</v>
      </c>
      <c r="C13" s="143" t="s">
        <v>617</v>
      </c>
      <c r="D13" s="145">
        <v>152.65</v>
      </c>
      <c r="E13" s="145">
        <v>184.43</v>
      </c>
      <c r="F13" s="145">
        <v>153</v>
      </c>
      <c r="G13" s="145">
        <v>184</v>
      </c>
    </row>
    <row r="14" spans="1:7" x14ac:dyDescent="0.25">
      <c r="A14" s="144" t="s">
        <v>618</v>
      </c>
      <c r="B14" s="144" t="s">
        <v>619</v>
      </c>
      <c r="C14" s="143" t="s">
        <v>620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 t="s">
        <v>621</v>
      </c>
      <c r="B15" s="144" t="s">
        <v>622</v>
      </c>
      <c r="C15" s="143" t="s">
        <v>623</v>
      </c>
      <c r="D15" s="145">
        <v>89871.92</v>
      </c>
      <c r="E15" s="145">
        <v>51650.23</v>
      </c>
      <c r="F15" s="145">
        <v>89873</v>
      </c>
      <c r="G15" s="145">
        <v>51651</v>
      </c>
    </row>
    <row r="16" spans="1:7" x14ac:dyDescent="0.25">
      <c r="A16" s="144" t="s">
        <v>624</v>
      </c>
      <c r="B16" s="144" t="s">
        <v>625</v>
      </c>
      <c r="C16" s="143" t="s">
        <v>626</v>
      </c>
      <c r="D16" s="145">
        <v>0</v>
      </c>
      <c r="E16" s="145">
        <v>0</v>
      </c>
      <c r="F16" s="145">
        <v>0</v>
      </c>
      <c r="G16" s="145">
        <v>0</v>
      </c>
    </row>
    <row r="17" spans="1:7" x14ac:dyDescent="0.25">
      <c r="A17" s="144" t="s">
        <v>627</v>
      </c>
      <c r="B17" s="144" t="s">
        <v>628</v>
      </c>
      <c r="C17" s="143" t="s">
        <v>629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25">
      <c r="A18" s="144">
        <v>2</v>
      </c>
      <c r="B18" s="144" t="s">
        <v>630</v>
      </c>
      <c r="C18" s="143" t="s">
        <v>631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25">
      <c r="A19" s="144">
        <v>3</v>
      </c>
      <c r="B19" s="144" t="s">
        <v>632</v>
      </c>
      <c r="C19" s="143" t="s">
        <v>633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144">
        <v>4</v>
      </c>
      <c r="B20" s="144" t="s">
        <v>634</v>
      </c>
      <c r="C20" s="143" t="s">
        <v>635</v>
      </c>
      <c r="D20" s="145">
        <v>0</v>
      </c>
      <c r="E20" s="145">
        <v>0</v>
      </c>
      <c r="F20" s="145">
        <v>0</v>
      </c>
      <c r="G20" s="145">
        <v>0</v>
      </c>
    </row>
    <row r="21" spans="1:7" x14ac:dyDescent="0.25">
      <c r="A21" s="144" t="s">
        <v>636</v>
      </c>
      <c r="B21" s="144" t="s">
        <v>637</v>
      </c>
      <c r="C21" s="143" t="s">
        <v>638</v>
      </c>
      <c r="D21" s="145">
        <v>0</v>
      </c>
      <c r="E21" s="145">
        <v>0</v>
      </c>
      <c r="F21" s="145">
        <v>0</v>
      </c>
      <c r="G21" s="145">
        <v>0</v>
      </c>
    </row>
    <row r="22" spans="1:7" x14ac:dyDescent="0.25">
      <c r="A22" s="144" t="s">
        <v>639</v>
      </c>
      <c r="B22" s="144" t="s">
        <v>640</v>
      </c>
      <c r="C22" s="143" t="s">
        <v>641</v>
      </c>
      <c r="D22" s="145">
        <v>0</v>
      </c>
      <c r="E22" s="145">
        <v>0</v>
      </c>
      <c r="F22" s="145">
        <v>0</v>
      </c>
      <c r="G22" s="145">
        <v>0</v>
      </c>
    </row>
    <row r="23" spans="1:7" x14ac:dyDescent="0.25">
      <c r="A23" s="144" t="s">
        <v>642</v>
      </c>
      <c r="B23" s="144" t="s">
        <v>643</v>
      </c>
      <c r="C23" s="143" t="s">
        <v>644</v>
      </c>
      <c r="D23" s="145">
        <v>0</v>
      </c>
      <c r="E23" s="145">
        <v>0</v>
      </c>
      <c r="F23" s="145">
        <v>0</v>
      </c>
      <c r="G23" s="145">
        <v>0</v>
      </c>
    </row>
    <row r="24" spans="1:7" x14ac:dyDescent="0.25">
      <c r="A24" s="144">
        <v>2</v>
      </c>
      <c r="B24" s="144" t="s">
        <v>645</v>
      </c>
      <c r="C24" s="143" t="s">
        <v>646</v>
      </c>
      <c r="D24" s="145">
        <v>0</v>
      </c>
      <c r="E24" s="145">
        <v>0</v>
      </c>
      <c r="F24" s="145">
        <v>0</v>
      </c>
      <c r="G24" s="145">
        <v>0</v>
      </c>
    </row>
    <row r="25" spans="1:7" x14ac:dyDescent="0.25">
      <c r="A25" s="144" t="s">
        <v>647</v>
      </c>
      <c r="B25" s="144" t="s">
        <v>648</v>
      </c>
      <c r="C25" s="143" t="s">
        <v>649</v>
      </c>
      <c r="D25" s="145">
        <v>0</v>
      </c>
      <c r="E25" s="145">
        <v>0</v>
      </c>
      <c r="F25" s="145">
        <v>0</v>
      </c>
      <c r="G25" s="145">
        <v>0</v>
      </c>
    </row>
    <row r="26" spans="1:7" x14ac:dyDescent="0.25">
      <c r="A26" s="144" t="s">
        <v>589</v>
      </c>
      <c r="B26" s="144" t="s">
        <v>650</v>
      </c>
      <c r="C26" s="143" t="s">
        <v>651</v>
      </c>
      <c r="D26" s="145">
        <v>76.98</v>
      </c>
      <c r="E26" s="145">
        <v>0</v>
      </c>
      <c r="F26" s="145">
        <v>77</v>
      </c>
      <c r="G26" s="145">
        <v>0</v>
      </c>
    </row>
    <row r="27" spans="1:7" x14ac:dyDescent="0.25">
      <c r="A27" s="144" t="s">
        <v>652</v>
      </c>
      <c r="B27" s="144" t="s">
        <v>653</v>
      </c>
      <c r="C27" s="143" t="s">
        <v>654</v>
      </c>
      <c r="D27" s="145">
        <v>7058.36</v>
      </c>
      <c r="E27" s="145">
        <v>2685.78</v>
      </c>
      <c r="F27" s="145">
        <v>7058</v>
      </c>
      <c r="G27" s="145">
        <v>2686</v>
      </c>
    </row>
    <row r="28" spans="1:7" x14ac:dyDescent="0.25">
      <c r="A28" s="144" t="s">
        <v>655</v>
      </c>
      <c r="B28" s="144" t="s">
        <v>656</v>
      </c>
      <c r="C28" s="143" t="s">
        <v>657</v>
      </c>
      <c r="D28" s="145">
        <v>-17078.45</v>
      </c>
      <c r="E28" s="145">
        <v>-4891.97</v>
      </c>
      <c r="F28" s="145">
        <v>-17079</v>
      </c>
      <c r="G28" s="145">
        <v>-4892</v>
      </c>
    </row>
    <row r="29" spans="1:7" x14ac:dyDescent="0.25">
      <c r="A29" s="144" t="s">
        <v>583</v>
      </c>
      <c r="B29" s="144" t="s">
        <v>658</v>
      </c>
      <c r="C29" s="143" t="s">
        <v>659</v>
      </c>
      <c r="D29" s="145">
        <v>-10001.01</v>
      </c>
      <c r="E29" s="145">
        <v>-2206.19</v>
      </c>
      <c r="F29" s="145">
        <v>-10002</v>
      </c>
      <c r="G29" s="145">
        <v>-2206</v>
      </c>
    </row>
    <row r="30" spans="1:7" x14ac:dyDescent="0.25">
      <c r="A30" s="144" t="s">
        <v>586</v>
      </c>
      <c r="B30" s="144" t="s">
        <v>660</v>
      </c>
      <c r="C30" s="143" t="s">
        <v>661</v>
      </c>
      <c r="D30" s="145">
        <v>5</v>
      </c>
      <c r="E30" s="145">
        <v>0.01</v>
      </c>
      <c r="F30" s="145">
        <v>5</v>
      </c>
      <c r="G30" s="145">
        <v>0</v>
      </c>
    </row>
    <row r="31" spans="1:7" x14ac:dyDescent="0.25">
      <c r="A31" s="144" t="s">
        <v>662</v>
      </c>
      <c r="B31" s="144" t="s">
        <v>663</v>
      </c>
      <c r="C31" s="143" t="s">
        <v>664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 t="s">
        <v>665</v>
      </c>
      <c r="B32" s="144" t="s">
        <v>666</v>
      </c>
      <c r="C32" s="143" t="s">
        <v>667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 t="s">
        <v>668</v>
      </c>
      <c r="B33" s="144" t="s">
        <v>669</v>
      </c>
      <c r="C33" s="143" t="s">
        <v>670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2</v>
      </c>
      <c r="B34" s="144" t="s">
        <v>671</v>
      </c>
      <c r="C34" s="143" t="s">
        <v>672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3</v>
      </c>
      <c r="B35" s="144" t="s">
        <v>673</v>
      </c>
      <c r="C35" s="143" t="s">
        <v>674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 t="s">
        <v>675</v>
      </c>
      <c r="B36" s="144" t="s">
        <v>676</v>
      </c>
      <c r="C36" s="143" t="s">
        <v>677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 t="s">
        <v>678</v>
      </c>
      <c r="B37" s="144" t="s">
        <v>679</v>
      </c>
      <c r="C37" s="143" t="s">
        <v>680</v>
      </c>
      <c r="D37" s="145">
        <v>0</v>
      </c>
      <c r="E37" s="145">
        <v>0</v>
      </c>
      <c r="F37" s="145">
        <v>0</v>
      </c>
      <c r="G37" s="145">
        <v>0</v>
      </c>
    </row>
    <row r="38" spans="1:7" x14ac:dyDescent="0.25">
      <c r="A38" s="144">
        <v>2</v>
      </c>
      <c r="B38" s="144" t="s">
        <v>681</v>
      </c>
      <c r="C38" s="143" t="s">
        <v>682</v>
      </c>
      <c r="D38" s="145">
        <v>0</v>
      </c>
      <c r="E38" s="145">
        <v>0</v>
      </c>
      <c r="F38" s="145">
        <v>0</v>
      </c>
      <c r="G38" s="145">
        <v>0</v>
      </c>
    </row>
    <row r="39" spans="1:7" x14ac:dyDescent="0.25">
      <c r="A39" s="144">
        <v>3</v>
      </c>
      <c r="B39" s="144" t="s">
        <v>683</v>
      </c>
      <c r="C39" s="143" t="s">
        <v>684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 t="s">
        <v>685</v>
      </c>
      <c r="B40" s="144" t="s">
        <v>686</v>
      </c>
      <c r="C40" s="143" t="s">
        <v>687</v>
      </c>
      <c r="D40" s="145">
        <v>0</v>
      </c>
      <c r="E40" s="145">
        <v>0.01</v>
      </c>
      <c r="F40" s="145">
        <v>0</v>
      </c>
      <c r="G40" s="145">
        <v>0</v>
      </c>
    </row>
    <row r="41" spans="1:7" x14ac:dyDescent="0.25">
      <c r="A41" s="144" t="s">
        <v>688</v>
      </c>
      <c r="B41" s="144" t="s">
        <v>689</v>
      </c>
      <c r="C41" s="143" t="s">
        <v>690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>
        <v>2</v>
      </c>
      <c r="B42" s="144" t="s">
        <v>691</v>
      </c>
      <c r="C42" s="143" t="s">
        <v>692</v>
      </c>
      <c r="D42" s="145">
        <v>0</v>
      </c>
      <c r="E42" s="145">
        <v>0.01</v>
      </c>
      <c r="F42" s="145">
        <v>0</v>
      </c>
      <c r="G42" s="145">
        <v>0</v>
      </c>
    </row>
    <row r="43" spans="1:7" x14ac:dyDescent="0.25">
      <c r="A43" s="144" t="s">
        <v>693</v>
      </c>
      <c r="B43" s="144" t="s">
        <v>694</v>
      </c>
      <c r="C43" s="143" t="s">
        <v>695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696</v>
      </c>
      <c r="B44" s="144" t="s">
        <v>697</v>
      </c>
      <c r="C44" s="143" t="s">
        <v>698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699</v>
      </c>
      <c r="B45" s="144" t="s">
        <v>700</v>
      </c>
      <c r="C45" s="143" t="s">
        <v>701</v>
      </c>
      <c r="D45" s="145">
        <v>5</v>
      </c>
      <c r="E45" s="145">
        <v>0</v>
      </c>
      <c r="F45" s="145">
        <v>5</v>
      </c>
      <c r="G45" s="145">
        <v>0</v>
      </c>
    </row>
    <row r="46" spans="1:7" x14ac:dyDescent="0.25">
      <c r="A46" s="144" t="s">
        <v>586</v>
      </c>
      <c r="B46" s="144" t="s">
        <v>702</v>
      </c>
      <c r="C46" s="143" t="s">
        <v>703</v>
      </c>
      <c r="D46" s="145">
        <v>5591.07</v>
      </c>
      <c r="E46" s="145">
        <v>102.43</v>
      </c>
      <c r="F46" s="145">
        <v>5591</v>
      </c>
      <c r="G46" s="145">
        <v>102</v>
      </c>
    </row>
    <row r="47" spans="1:7" x14ac:dyDescent="0.25">
      <c r="A47" s="144" t="s">
        <v>704</v>
      </c>
      <c r="B47" s="144" t="s">
        <v>705</v>
      </c>
      <c r="C47" s="143" t="s">
        <v>706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707</v>
      </c>
      <c r="B48" s="144" t="s">
        <v>708</v>
      </c>
      <c r="C48" s="143" t="s">
        <v>709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710</v>
      </c>
      <c r="B49" s="144" t="s">
        <v>711</v>
      </c>
      <c r="C49" s="143" t="s">
        <v>712</v>
      </c>
      <c r="D49" s="145">
        <v>0</v>
      </c>
      <c r="E49" s="145">
        <v>0</v>
      </c>
      <c r="F49" s="145">
        <v>0</v>
      </c>
      <c r="G49" s="145">
        <v>0</v>
      </c>
    </row>
    <row r="50" spans="1:7" x14ac:dyDescent="0.25">
      <c r="A50" s="144" t="s">
        <v>713</v>
      </c>
      <c r="B50" s="144" t="s">
        <v>714</v>
      </c>
      <c r="C50" s="143" t="s">
        <v>715</v>
      </c>
      <c r="D50" s="145">
        <v>253.98</v>
      </c>
      <c r="E50" s="145">
        <v>0</v>
      </c>
      <c r="F50" s="145">
        <v>254</v>
      </c>
      <c r="G50" s="145">
        <v>0</v>
      </c>
    </row>
    <row r="51" spans="1:7" x14ac:dyDescent="0.25">
      <c r="A51" s="144" t="s">
        <v>716</v>
      </c>
      <c r="B51" s="144" t="s">
        <v>717</v>
      </c>
      <c r="C51" s="143" t="s">
        <v>718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2</v>
      </c>
      <c r="B52" s="144" t="s">
        <v>719</v>
      </c>
      <c r="C52" s="143" t="s">
        <v>720</v>
      </c>
      <c r="D52" s="145">
        <v>253.98</v>
      </c>
      <c r="E52" s="145">
        <v>0</v>
      </c>
      <c r="F52" s="145">
        <v>254</v>
      </c>
      <c r="G52" s="145">
        <v>0</v>
      </c>
    </row>
    <row r="53" spans="1:7" x14ac:dyDescent="0.25">
      <c r="A53" s="144" t="s">
        <v>721</v>
      </c>
      <c r="B53" s="144" t="s">
        <v>722</v>
      </c>
      <c r="C53" s="143" t="s">
        <v>723</v>
      </c>
      <c r="D53" s="145">
        <v>0</v>
      </c>
      <c r="E53" s="145">
        <v>0</v>
      </c>
      <c r="F53" s="145">
        <v>0</v>
      </c>
      <c r="G53" s="145">
        <v>0</v>
      </c>
    </row>
    <row r="54" spans="1:7" x14ac:dyDescent="0.25">
      <c r="A54" s="144" t="s">
        <v>724</v>
      </c>
      <c r="B54" s="144" t="s">
        <v>725</v>
      </c>
      <c r="C54" s="143" t="s">
        <v>726</v>
      </c>
      <c r="D54" s="145">
        <v>0</v>
      </c>
      <c r="E54" s="145">
        <v>0</v>
      </c>
      <c r="F54" s="145">
        <v>0</v>
      </c>
      <c r="G54" s="145">
        <v>0</v>
      </c>
    </row>
    <row r="55" spans="1:7" x14ac:dyDescent="0.25">
      <c r="A55" s="144" t="s">
        <v>727</v>
      </c>
      <c r="B55" s="144" t="s">
        <v>728</v>
      </c>
      <c r="C55" s="143" t="s">
        <v>729</v>
      </c>
      <c r="D55" s="145">
        <v>5337.09</v>
      </c>
      <c r="E55" s="145">
        <v>102.43</v>
      </c>
      <c r="F55" s="145">
        <v>5337</v>
      </c>
      <c r="G55" s="145">
        <v>102</v>
      </c>
    </row>
    <row r="56" spans="1:7" x14ac:dyDescent="0.25">
      <c r="A56" s="144" t="s">
        <v>655</v>
      </c>
      <c r="B56" s="144" t="s">
        <v>730</v>
      </c>
      <c r="C56" s="143" t="s">
        <v>731</v>
      </c>
      <c r="D56" s="145">
        <v>-5586.07</v>
      </c>
      <c r="E56" s="145">
        <v>-102.42</v>
      </c>
      <c r="F56" s="145">
        <v>-5586</v>
      </c>
      <c r="G56" s="145">
        <v>-102</v>
      </c>
    </row>
    <row r="57" spans="1:7" x14ac:dyDescent="0.25">
      <c r="A57" s="144" t="s">
        <v>732</v>
      </c>
      <c r="B57" s="144" t="s">
        <v>733</v>
      </c>
      <c r="C57" s="143" t="s">
        <v>734</v>
      </c>
      <c r="D57" s="145">
        <v>-22664.52</v>
      </c>
      <c r="E57" s="145">
        <v>-4994.3900000000003</v>
      </c>
      <c r="F57" s="145">
        <v>-22665</v>
      </c>
      <c r="G57" s="145">
        <v>-4994</v>
      </c>
    </row>
    <row r="58" spans="1:7" x14ac:dyDescent="0.25">
      <c r="A58" s="144" t="s">
        <v>735</v>
      </c>
      <c r="B58" s="144" t="s">
        <v>736</v>
      </c>
      <c r="C58" s="143" t="s">
        <v>737</v>
      </c>
      <c r="D58" s="145">
        <v>960</v>
      </c>
      <c r="E58" s="145">
        <v>960</v>
      </c>
      <c r="F58" s="145">
        <v>960</v>
      </c>
      <c r="G58" s="145">
        <v>960</v>
      </c>
    </row>
    <row r="59" spans="1:7" x14ac:dyDescent="0.25">
      <c r="A59" s="144" t="s">
        <v>738</v>
      </c>
      <c r="B59" s="144" t="s">
        <v>739</v>
      </c>
      <c r="C59" s="143" t="s">
        <v>740</v>
      </c>
      <c r="D59" s="145">
        <v>960</v>
      </c>
      <c r="E59" s="145">
        <v>960</v>
      </c>
      <c r="F59" s="145">
        <v>960</v>
      </c>
      <c r="G59" s="145">
        <v>960</v>
      </c>
    </row>
    <row r="60" spans="1:7" x14ac:dyDescent="0.25">
      <c r="A60" s="144">
        <v>2</v>
      </c>
      <c r="B60" s="144" t="s">
        <v>741</v>
      </c>
      <c r="C60" s="143" t="s">
        <v>742</v>
      </c>
      <c r="D60" s="145">
        <v>0</v>
      </c>
      <c r="E60" s="145">
        <v>0</v>
      </c>
      <c r="F60" s="145">
        <v>0</v>
      </c>
      <c r="G60" s="145">
        <v>0</v>
      </c>
    </row>
    <row r="61" spans="1:7" x14ac:dyDescent="0.25">
      <c r="A61" s="144" t="s">
        <v>743</v>
      </c>
      <c r="B61" s="144" t="s">
        <v>744</v>
      </c>
      <c r="C61" s="143" t="s">
        <v>745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732</v>
      </c>
      <c r="B62" s="144" t="s">
        <v>746</v>
      </c>
      <c r="C62" s="143" t="s">
        <v>747</v>
      </c>
      <c r="D62" s="145">
        <v>-23624.52</v>
      </c>
      <c r="E62" s="145">
        <v>-5954.39</v>
      </c>
      <c r="F62" s="145">
        <v>-23625</v>
      </c>
      <c r="G62" s="145">
        <v>-5954</v>
      </c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B19" sqref="B19"/>
    </sheetView>
  </sheetViews>
  <sheetFormatPr defaultColWidth="9.140625" defaultRowHeight="15" x14ac:dyDescent="0.25"/>
  <cols>
    <col min="1" max="1" width="8.28515625" style="146" bestFit="1" customWidth="1"/>
    <col min="2" max="2" width="63.5703125" style="146" bestFit="1" customWidth="1"/>
    <col min="3" max="3" width="4.42578125" style="147" bestFit="1" customWidth="1"/>
    <col min="4" max="11" width="15.28515625" style="148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25">
      <c r="A2" s="141"/>
      <c r="B2" s="141" t="s">
        <v>748</v>
      </c>
      <c r="C2" s="140" t="s">
        <v>749</v>
      </c>
      <c r="D2" s="142">
        <v>103239.09</v>
      </c>
      <c r="E2" s="142">
        <v>1976.98</v>
      </c>
      <c r="F2" s="142">
        <v>101262.11</v>
      </c>
      <c r="G2" s="142">
        <v>67903.64</v>
      </c>
      <c r="H2" s="142">
        <v>103239</v>
      </c>
      <c r="I2" s="142">
        <v>1977</v>
      </c>
      <c r="J2" s="142">
        <v>101262</v>
      </c>
      <c r="K2" s="142">
        <v>67903</v>
      </c>
    </row>
    <row r="3" spans="1:11" x14ac:dyDescent="0.25">
      <c r="A3" s="141" t="s">
        <v>612</v>
      </c>
      <c r="B3" s="141" t="s">
        <v>750</v>
      </c>
      <c r="C3" s="140" t="s">
        <v>751</v>
      </c>
      <c r="D3" s="142">
        <v>11399.33</v>
      </c>
      <c r="E3" s="142">
        <v>1900</v>
      </c>
      <c r="F3" s="142">
        <v>9499.33</v>
      </c>
      <c r="G3" s="142">
        <v>0</v>
      </c>
      <c r="H3" s="142">
        <v>11399</v>
      </c>
      <c r="I3" s="142">
        <v>1900</v>
      </c>
      <c r="J3" s="142">
        <v>9499</v>
      </c>
      <c r="K3" s="142">
        <v>0</v>
      </c>
    </row>
    <row r="4" spans="1:11" x14ac:dyDescent="0.25">
      <c r="A4" s="141" t="s">
        <v>752</v>
      </c>
      <c r="B4" s="141" t="s">
        <v>753</v>
      </c>
      <c r="C4" s="140" t="s">
        <v>754</v>
      </c>
      <c r="D4" s="142">
        <v>0</v>
      </c>
      <c r="E4" s="142">
        <v>0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0</v>
      </c>
    </row>
    <row r="5" spans="1:11" x14ac:dyDescent="0.25">
      <c r="A5" s="141" t="s">
        <v>755</v>
      </c>
      <c r="B5" s="141" t="s">
        <v>756</v>
      </c>
      <c r="C5" s="140" t="s">
        <v>757</v>
      </c>
      <c r="D5" s="142">
        <v>0</v>
      </c>
      <c r="E5" s="142">
        <v>0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</row>
    <row r="6" spans="1:11" x14ac:dyDescent="0.25">
      <c r="A6" s="141">
        <v>2</v>
      </c>
      <c r="B6" s="141" t="s">
        <v>758</v>
      </c>
      <c r="C6" s="140" t="s">
        <v>759</v>
      </c>
      <c r="D6" s="142">
        <v>0</v>
      </c>
      <c r="E6" s="142">
        <v>0</v>
      </c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0</v>
      </c>
    </row>
    <row r="7" spans="1:11" x14ac:dyDescent="0.25">
      <c r="A7" s="141">
        <v>3</v>
      </c>
      <c r="B7" s="141" t="s">
        <v>760</v>
      </c>
      <c r="C7" s="140" t="s">
        <v>761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</row>
    <row r="8" spans="1:11" x14ac:dyDescent="0.25">
      <c r="A8" s="141">
        <v>4</v>
      </c>
      <c r="B8" s="141" t="s">
        <v>762</v>
      </c>
      <c r="C8" s="140" t="s">
        <v>763</v>
      </c>
      <c r="D8" s="142">
        <v>0</v>
      </c>
      <c r="E8" s="142">
        <v>0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</row>
    <row r="9" spans="1:11" x14ac:dyDescent="0.25">
      <c r="A9" s="141">
        <v>5</v>
      </c>
      <c r="B9" s="141" t="s">
        <v>764</v>
      </c>
      <c r="C9" s="140" t="s">
        <v>765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</row>
    <row r="10" spans="1:11" x14ac:dyDescent="0.25">
      <c r="A10" s="141">
        <v>6</v>
      </c>
      <c r="B10" s="141" t="s">
        <v>766</v>
      </c>
      <c r="C10" s="140" t="s">
        <v>767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0</v>
      </c>
    </row>
    <row r="11" spans="1:11" x14ac:dyDescent="0.25">
      <c r="A11" s="141">
        <v>7</v>
      </c>
      <c r="B11" s="141" t="s">
        <v>768</v>
      </c>
      <c r="C11" s="140" t="s">
        <v>769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</row>
    <row r="12" spans="1:11" x14ac:dyDescent="0.25">
      <c r="A12" s="141" t="s">
        <v>770</v>
      </c>
      <c r="B12" s="141" t="s">
        <v>771</v>
      </c>
      <c r="C12" s="140" t="s">
        <v>772</v>
      </c>
      <c r="D12" s="142">
        <v>11399.33</v>
      </c>
      <c r="E12" s="142">
        <v>1900</v>
      </c>
      <c r="F12" s="142">
        <v>9499.33</v>
      </c>
      <c r="G12" s="142">
        <v>0</v>
      </c>
      <c r="H12" s="142">
        <v>11399</v>
      </c>
      <c r="I12" s="142">
        <v>1900</v>
      </c>
      <c r="J12" s="142">
        <v>9499</v>
      </c>
      <c r="K12" s="142">
        <v>0</v>
      </c>
    </row>
    <row r="13" spans="1:11" x14ac:dyDescent="0.25">
      <c r="A13" s="141" t="s">
        <v>773</v>
      </c>
      <c r="B13" s="141" t="s">
        <v>774</v>
      </c>
      <c r="C13" s="140" t="s">
        <v>775</v>
      </c>
      <c r="D13" s="142">
        <v>0</v>
      </c>
      <c r="E13" s="142">
        <v>0</v>
      </c>
      <c r="F13" s="142">
        <v>0</v>
      </c>
      <c r="G13" s="142">
        <v>0</v>
      </c>
      <c r="H13" s="142">
        <v>0</v>
      </c>
      <c r="I13" s="142">
        <v>0</v>
      </c>
      <c r="J13" s="142">
        <v>0</v>
      </c>
      <c r="K13" s="142">
        <v>0</v>
      </c>
    </row>
    <row r="14" spans="1:11" x14ac:dyDescent="0.25">
      <c r="A14" s="141">
        <v>2</v>
      </c>
      <c r="B14" s="141" t="s">
        <v>776</v>
      </c>
      <c r="C14" s="140" t="s">
        <v>777</v>
      </c>
      <c r="D14" s="142">
        <v>0</v>
      </c>
      <c r="E14" s="142">
        <v>0</v>
      </c>
      <c r="F14" s="142">
        <v>0</v>
      </c>
      <c r="G14" s="142">
        <v>0</v>
      </c>
      <c r="H14" s="142">
        <v>0</v>
      </c>
      <c r="I14" s="142">
        <v>0</v>
      </c>
      <c r="J14" s="142">
        <v>0</v>
      </c>
      <c r="K14" s="142">
        <v>0</v>
      </c>
    </row>
    <row r="15" spans="1:11" x14ac:dyDescent="0.25">
      <c r="A15" s="141">
        <v>3</v>
      </c>
      <c r="B15" s="141" t="s">
        <v>778</v>
      </c>
      <c r="C15" s="140" t="s">
        <v>779</v>
      </c>
      <c r="D15" s="142">
        <v>11399.33</v>
      </c>
      <c r="E15" s="142">
        <v>1900</v>
      </c>
      <c r="F15" s="142">
        <v>9499.33</v>
      </c>
      <c r="G15" s="142">
        <v>0</v>
      </c>
      <c r="H15" s="142">
        <v>11399</v>
      </c>
      <c r="I15" s="142">
        <v>1900</v>
      </c>
      <c r="J15" s="142">
        <v>9499</v>
      </c>
      <c r="K15" s="142">
        <v>0</v>
      </c>
    </row>
    <row r="16" spans="1:11" x14ac:dyDescent="0.25">
      <c r="A16" s="141">
        <v>4</v>
      </c>
      <c r="B16" s="141" t="s">
        <v>780</v>
      </c>
      <c r="C16" s="140" t="s">
        <v>781</v>
      </c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</row>
    <row r="17" spans="1:11" x14ac:dyDescent="0.25">
      <c r="A17" s="141">
        <v>5</v>
      </c>
      <c r="B17" s="141" t="s">
        <v>782</v>
      </c>
      <c r="C17" s="140" t="s">
        <v>783</v>
      </c>
      <c r="D17" s="142">
        <v>0</v>
      </c>
      <c r="E17" s="142">
        <v>0</v>
      </c>
      <c r="F17" s="142">
        <v>0</v>
      </c>
      <c r="G17" s="142">
        <v>0</v>
      </c>
      <c r="H17" s="142">
        <v>0</v>
      </c>
      <c r="I17" s="142">
        <v>0</v>
      </c>
      <c r="J17" s="142">
        <v>0</v>
      </c>
      <c r="K17" s="142">
        <v>0</v>
      </c>
    </row>
    <row r="18" spans="1:11" x14ac:dyDescent="0.25">
      <c r="A18" s="141">
        <v>6</v>
      </c>
      <c r="B18" s="141" t="s">
        <v>784</v>
      </c>
      <c r="C18" s="140" t="s">
        <v>785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  <c r="K18" s="142">
        <v>0</v>
      </c>
    </row>
    <row r="19" spans="1:11" x14ac:dyDescent="0.25">
      <c r="A19" s="141">
        <v>7</v>
      </c>
      <c r="B19" s="141" t="s">
        <v>786</v>
      </c>
      <c r="C19" s="140" t="s">
        <v>787</v>
      </c>
      <c r="D19" s="142">
        <v>0</v>
      </c>
      <c r="E19" s="142">
        <v>0</v>
      </c>
      <c r="F19" s="142">
        <v>0</v>
      </c>
      <c r="G19" s="142">
        <v>0</v>
      </c>
      <c r="H19" s="142">
        <v>0</v>
      </c>
      <c r="I19" s="142">
        <v>0</v>
      </c>
      <c r="J19" s="142">
        <v>0</v>
      </c>
      <c r="K19" s="142">
        <v>0</v>
      </c>
    </row>
    <row r="20" spans="1:11" x14ac:dyDescent="0.25">
      <c r="A20" s="141">
        <v>8</v>
      </c>
      <c r="B20" s="141" t="s">
        <v>788</v>
      </c>
      <c r="C20" s="140" t="s">
        <v>789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</row>
    <row r="21" spans="1:11" x14ac:dyDescent="0.25">
      <c r="A21" s="141">
        <v>9</v>
      </c>
      <c r="B21" s="141" t="s">
        <v>790</v>
      </c>
      <c r="C21" s="140" t="s">
        <v>791</v>
      </c>
      <c r="D21" s="142">
        <v>0</v>
      </c>
      <c r="E21" s="142">
        <v>0</v>
      </c>
      <c r="F21" s="142">
        <v>0</v>
      </c>
      <c r="G21" s="142">
        <v>0</v>
      </c>
      <c r="H21" s="142">
        <v>0</v>
      </c>
      <c r="I21" s="142">
        <v>0</v>
      </c>
      <c r="J21" s="142">
        <v>0</v>
      </c>
      <c r="K21" s="142">
        <v>0</v>
      </c>
    </row>
    <row r="22" spans="1:11" x14ac:dyDescent="0.25">
      <c r="A22" s="141" t="s">
        <v>792</v>
      </c>
      <c r="B22" s="141" t="s">
        <v>793</v>
      </c>
      <c r="C22" s="140" t="s">
        <v>794</v>
      </c>
      <c r="D22" s="142">
        <v>0</v>
      </c>
      <c r="E22" s="142">
        <v>0</v>
      </c>
      <c r="F22" s="142">
        <v>0</v>
      </c>
      <c r="G22" s="142">
        <v>0</v>
      </c>
      <c r="H22" s="142">
        <v>0</v>
      </c>
      <c r="I22" s="142">
        <v>0</v>
      </c>
      <c r="J22" s="142">
        <v>0</v>
      </c>
      <c r="K22" s="142">
        <v>0</v>
      </c>
    </row>
    <row r="23" spans="1:11" x14ac:dyDescent="0.25">
      <c r="A23" s="141" t="s">
        <v>795</v>
      </c>
      <c r="B23" s="141" t="s">
        <v>796</v>
      </c>
      <c r="C23" s="140" t="s">
        <v>797</v>
      </c>
      <c r="D23" s="142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42">
        <v>0</v>
      </c>
    </row>
    <row r="24" spans="1:11" x14ac:dyDescent="0.25">
      <c r="A24" s="141">
        <v>2</v>
      </c>
      <c r="B24" s="141" t="s">
        <v>798</v>
      </c>
      <c r="C24" s="140" t="s">
        <v>799</v>
      </c>
      <c r="D24" s="142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42">
        <v>0</v>
      </c>
    </row>
    <row r="25" spans="1:11" x14ac:dyDescent="0.25">
      <c r="A25" s="141">
        <v>3</v>
      </c>
      <c r="B25" s="141" t="s">
        <v>800</v>
      </c>
      <c r="C25" s="140" t="s">
        <v>801</v>
      </c>
      <c r="D25" s="142">
        <v>0</v>
      </c>
      <c r="E25" s="142">
        <v>0</v>
      </c>
      <c r="F25" s="142">
        <v>0</v>
      </c>
      <c r="G25" s="142">
        <v>0</v>
      </c>
      <c r="H25" s="142">
        <v>0</v>
      </c>
      <c r="I25" s="142">
        <v>0</v>
      </c>
      <c r="J25" s="142">
        <v>0</v>
      </c>
      <c r="K25" s="142">
        <v>0</v>
      </c>
    </row>
    <row r="26" spans="1:11" x14ac:dyDescent="0.25">
      <c r="A26" s="141">
        <v>4</v>
      </c>
      <c r="B26" s="141" t="s">
        <v>802</v>
      </c>
      <c r="C26" s="140" t="s">
        <v>803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  <c r="K26" s="142">
        <v>0</v>
      </c>
    </row>
    <row r="27" spans="1:11" x14ac:dyDescent="0.25">
      <c r="A27" s="141">
        <v>5</v>
      </c>
      <c r="B27" s="141" t="s">
        <v>804</v>
      </c>
      <c r="C27" s="140" t="s">
        <v>805</v>
      </c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</row>
    <row r="28" spans="1:11" x14ac:dyDescent="0.25">
      <c r="A28" s="141">
        <v>6</v>
      </c>
      <c r="B28" s="141" t="s">
        <v>806</v>
      </c>
      <c r="C28" s="140" t="s">
        <v>807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</row>
    <row r="29" spans="1:11" x14ac:dyDescent="0.25">
      <c r="A29" s="141">
        <v>7</v>
      </c>
      <c r="B29" s="141" t="s">
        <v>808</v>
      </c>
      <c r="C29" s="140" t="s">
        <v>809</v>
      </c>
      <c r="D29" s="142">
        <v>0</v>
      </c>
      <c r="E29" s="142">
        <v>0</v>
      </c>
      <c r="F29" s="142">
        <v>0</v>
      </c>
      <c r="G29" s="142">
        <v>0</v>
      </c>
      <c r="H29" s="142">
        <v>0</v>
      </c>
      <c r="I29" s="142">
        <v>0</v>
      </c>
      <c r="J29" s="142">
        <v>0</v>
      </c>
      <c r="K29" s="142">
        <v>0</v>
      </c>
    </row>
    <row r="30" spans="1:11" x14ac:dyDescent="0.25">
      <c r="A30" s="141">
        <v>8</v>
      </c>
      <c r="B30" s="141" t="s">
        <v>810</v>
      </c>
      <c r="C30" s="140" t="s">
        <v>811</v>
      </c>
      <c r="D30" s="142">
        <v>0</v>
      </c>
      <c r="E30" s="142">
        <v>0</v>
      </c>
      <c r="F30" s="142">
        <v>0</v>
      </c>
      <c r="G30" s="142">
        <v>0</v>
      </c>
      <c r="H30" s="142">
        <v>0</v>
      </c>
      <c r="I30" s="142">
        <v>0</v>
      </c>
      <c r="J30" s="142">
        <v>0</v>
      </c>
      <c r="K30" s="142">
        <v>0</v>
      </c>
    </row>
    <row r="31" spans="1:11" x14ac:dyDescent="0.25">
      <c r="A31" s="141">
        <v>9</v>
      </c>
      <c r="B31" s="141" t="s">
        <v>812</v>
      </c>
      <c r="C31" s="140" t="s">
        <v>813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</row>
    <row r="32" spans="1:11" x14ac:dyDescent="0.25">
      <c r="A32" s="141">
        <v>10</v>
      </c>
      <c r="B32" s="141" t="s">
        <v>814</v>
      </c>
      <c r="C32" s="140" t="s">
        <v>815</v>
      </c>
      <c r="D32" s="142">
        <v>0</v>
      </c>
      <c r="E32" s="142">
        <v>0</v>
      </c>
      <c r="F32" s="142">
        <v>0</v>
      </c>
      <c r="G32" s="142">
        <v>0</v>
      </c>
      <c r="H32" s="142">
        <v>0</v>
      </c>
      <c r="I32" s="142">
        <v>0</v>
      </c>
      <c r="J32" s="142">
        <v>0</v>
      </c>
      <c r="K32" s="142">
        <v>0</v>
      </c>
    </row>
    <row r="33" spans="1:11" x14ac:dyDescent="0.25">
      <c r="A33" s="141">
        <v>11</v>
      </c>
      <c r="B33" s="141" t="s">
        <v>816</v>
      </c>
      <c r="C33" s="140" t="s">
        <v>817</v>
      </c>
      <c r="D33" s="142">
        <v>0</v>
      </c>
      <c r="E33" s="142">
        <v>0</v>
      </c>
      <c r="F33" s="142">
        <v>0</v>
      </c>
      <c r="G33" s="142">
        <v>0</v>
      </c>
      <c r="H33" s="142">
        <v>0</v>
      </c>
      <c r="I33" s="142">
        <v>0</v>
      </c>
      <c r="J33" s="142">
        <v>0</v>
      </c>
      <c r="K33" s="142">
        <v>0</v>
      </c>
    </row>
    <row r="34" spans="1:11" x14ac:dyDescent="0.25">
      <c r="A34" s="141" t="s">
        <v>615</v>
      </c>
      <c r="B34" s="141" t="s">
        <v>818</v>
      </c>
      <c r="C34" s="140" t="s">
        <v>819</v>
      </c>
      <c r="D34" s="142">
        <v>91839.76</v>
      </c>
      <c r="E34" s="142">
        <v>76.98</v>
      </c>
      <c r="F34" s="142">
        <v>91762.78</v>
      </c>
      <c r="G34" s="142">
        <v>64103.64</v>
      </c>
      <c r="H34" s="142">
        <v>91840</v>
      </c>
      <c r="I34" s="142">
        <v>77</v>
      </c>
      <c r="J34" s="142">
        <v>91763</v>
      </c>
      <c r="K34" s="142">
        <v>64103</v>
      </c>
    </row>
    <row r="35" spans="1:11" x14ac:dyDescent="0.25">
      <c r="A35" s="141" t="s">
        <v>820</v>
      </c>
      <c r="B35" s="141" t="s">
        <v>821</v>
      </c>
      <c r="C35" s="140" t="s">
        <v>822</v>
      </c>
      <c r="D35" s="142">
        <v>3437.01</v>
      </c>
      <c r="E35" s="142">
        <v>0</v>
      </c>
      <c r="F35" s="142">
        <v>3437.01</v>
      </c>
      <c r="G35" s="142">
        <v>15526.31</v>
      </c>
      <c r="H35" s="142">
        <v>3437</v>
      </c>
      <c r="I35" s="142">
        <v>0</v>
      </c>
      <c r="J35" s="142">
        <v>3437</v>
      </c>
      <c r="K35" s="142">
        <v>15526</v>
      </c>
    </row>
    <row r="36" spans="1:11" x14ac:dyDescent="0.25">
      <c r="A36" s="141" t="s">
        <v>823</v>
      </c>
      <c r="B36" s="141" t="s">
        <v>824</v>
      </c>
      <c r="C36" s="140" t="s">
        <v>825</v>
      </c>
      <c r="D36" s="142">
        <v>0</v>
      </c>
      <c r="E36" s="142">
        <v>0</v>
      </c>
      <c r="F36" s="142">
        <v>0</v>
      </c>
      <c r="G36" s="142">
        <v>0</v>
      </c>
      <c r="H36" s="142">
        <v>0</v>
      </c>
      <c r="I36" s="142">
        <v>0</v>
      </c>
      <c r="J36" s="142">
        <v>0</v>
      </c>
      <c r="K36" s="142">
        <v>0</v>
      </c>
    </row>
    <row r="37" spans="1:11" x14ac:dyDescent="0.25">
      <c r="A37" s="141">
        <v>2</v>
      </c>
      <c r="B37" s="141" t="s">
        <v>826</v>
      </c>
      <c r="C37" s="140" t="s">
        <v>827</v>
      </c>
      <c r="D37" s="142">
        <v>0</v>
      </c>
      <c r="E37" s="142">
        <v>0</v>
      </c>
      <c r="F37" s="142">
        <v>0</v>
      </c>
      <c r="G37" s="142">
        <v>0</v>
      </c>
      <c r="H37" s="142">
        <v>0</v>
      </c>
      <c r="I37" s="142">
        <v>0</v>
      </c>
      <c r="J37" s="142">
        <v>0</v>
      </c>
      <c r="K37" s="142">
        <v>0</v>
      </c>
    </row>
    <row r="38" spans="1:11" x14ac:dyDescent="0.25">
      <c r="A38" s="141">
        <v>3</v>
      </c>
      <c r="B38" s="141" t="s">
        <v>828</v>
      </c>
      <c r="C38" s="140" t="s">
        <v>829</v>
      </c>
      <c r="D38" s="142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  <c r="K38" s="142">
        <v>0</v>
      </c>
    </row>
    <row r="39" spans="1:11" x14ac:dyDescent="0.25">
      <c r="A39" s="141">
        <v>4</v>
      </c>
      <c r="B39" s="141" t="s">
        <v>830</v>
      </c>
      <c r="C39" s="140" t="s">
        <v>831</v>
      </c>
      <c r="D39" s="142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2">
        <v>0</v>
      </c>
    </row>
    <row r="40" spans="1:11" x14ac:dyDescent="0.25">
      <c r="A40" s="141">
        <v>5</v>
      </c>
      <c r="B40" s="141" t="s">
        <v>832</v>
      </c>
      <c r="C40" s="140" t="s">
        <v>833</v>
      </c>
      <c r="D40" s="142">
        <v>3437.01</v>
      </c>
      <c r="E40" s="142">
        <v>0</v>
      </c>
      <c r="F40" s="142">
        <v>3437.01</v>
      </c>
      <c r="G40" s="142">
        <v>15526.31</v>
      </c>
      <c r="H40" s="142">
        <v>3437</v>
      </c>
      <c r="I40" s="142">
        <v>0</v>
      </c>
      <c r="J40" s="142">
        <v>3437</v>
      </c>
      <c r="K40" s="142">
        <v>15526</v>
      </c>
    </row>
    <row r="41" spans="1:11" x14ac:dyDescent="0.25">
      <c r="A41" s="141">
        <v>6</v>
      </c>
      <c r="B41" s="141" t="s">
        <v>834</v>
      </c>
      <c r="C41" s="140" t="s">
        <v>835</v>
      </c>
      <c r="D41" s="142">
        <v>0</v>
      </c>
      <c r="E41" s="142">
        <v>0</v>
      </c>
      <c r="F41" s="142">
        <v>0</v>
      </c>
      <c r="G41" s="142">
        <v>0</v>
      </c>
      <c r="H41" s="142">
        <v>0</v>
      </c>
      <c r="I41" s="142">
        <v>0</v>
      </c>
      <c r="J41" s="142">
        <v>0</v>
      </c>
      <c r="K41" s="142">
        <v>0</v>
      </c>
    </row>
    <row r="42" spans="1:11" x14ac:dyDescent="0.25">
      <c r="A42" s="141" t="s">
        <v>836</v>
      </c>
      <c r="B42" s="141" t="s">
        <v>837</v>
      </c>
      <c r="C42" s="140" t="s">
        <v>838</v>
      </c>
      <c r="D42" s="142">
        <v>0</v>
      </c>
      <c r="E42" s="142">
        <v>0</v>
      </c>
      <c r="F42" s="142">
        <v>0</v>
      </c>
      <c r="G42" s="142">
        <v>0</v>
      </c>
      <c r="H42" s="142">
        <v>0</v>
      </c>
      <c r="I42" s="142">
        <v>0</v>
      </c>
      <c r="J42" s="142">
        <v>0</v>
      </c>
      <c r="K42" s="142">
        <v>0</v>
      </c>
    </row>
    <row r="43" spans="1:11" x14ac:dyDescent="0.25">
      <c r="A43" s="141" t="s">
        <v>839</v>
      </c>
      <c r="B43" s="141" t="s">
        <v>840</v>
      </c>
      <c r="C43" s="140" t="s">
        <v>841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0</v>
      </c>
    </row>
    <row r="44" spans="1:11" x14ac:dyDescent="0.25">
      <c r="A44" s="141" t="s">
        <v>842</v>
      </c>
      <c r="B44" s="141" t="s">
        <v>843</v>
      </c>
      <c r="C44" s="140" t="s">
        <v>844</v>
      </c>
      <c r="D44" s="142">
        <v>0</v>
      </c>
      <c r="E44" s="142">
        <v>0</v>
      </c>
      <c r="F44" s="142">
        <v>0</v>
      </c>
      <c r="G44" s="142">
        <v>0</v>
      </c>
      <c r="H44" s="142">
        <v>0</v>
      </c>
      <c r="I44" s="142">
        <v>0</v>
      </c>
      <c r="J44" s="142">
        <v>0</v>
      </c>
      <c r="K44" s="142">
        <v>0</v>
      </c>
    </row>
    <row r="45" spans="1:11" x14ac:dyDescent="0.25">
      <c r="A45" s="141" t="s">
        <v>845</v>
      </c>
      <c r="B45" s="141" t="s">
        <v>846</v>
      </c>
      <c r="C45" s="140" t="s">
        <v>847</v>
      </c>
      <c r="D45" s="142">
        <v>0</v>
      </c>
      <c r="E45" s="142">
        <v>0</v>
      </c>
      <c r="F45" s="142">
        <v>0</v>
      </c>
      <c r="G45" s="142">
        <v>0</v>
      </c>
      <c r="H45" s="142">
        <v>0</v>
      </c>
      <c r="I45" s="142">
        <v>0</v>
      </c>
      <c r="J45" s="142">
        <v>0</v>
      </c>
      <c r="K45" s="142">
        <v>0</v>
      </c>
    </row>
    <row r="46" spans="1:11" x14ac:dyDescent="0.25">
      <c r="A46" s="141" t="s">
        <v>848</v>
      </c>
      <c r="B46" s="141" t="s">
        <v>849</v>
      </c>
      <c r="C46" s="140" t="s">
        <v>850</v>
      </c>
      <c r="D46" s="142">
        <v>0</v>
      </c>
      <c r="E46" s="142">
        <v>0</v>
      </c>
      <c r="F46" s="142">
        <v>0</v>
      </c>
      <c r="G46" s="142">
        <v>0</v>
      </c>
      <c r="H46" s="142">
        <v>0</v>
      </c>
      <c r="I46" s="142">
        <v>0</v>
      </c>
      <c r="J46" s="142">
        <v>0</v>
      </c>
      <c r="K46" s="142">
        <v>0</v>
      </c>
    </row>
    <row r="47" spans="1:11" x14ac:dyDescent="0.25">
      <c r="A47" s="141">
        <v>2</v>
      </c>
      <c r="B47" s="141" t="s">
        <v>851</v>
      </c>
      <c r="C47" s="140" t="s">
        <v>852</v>
      </c>
      <c r="D47" s="142">
        <v>0</v>
      </c>
      <c r="E47" s="142">
        <v>0</v>
      </c>
      <c r="F47" s="142">
        <v>0</v>
      </c>
      <c r="G47" s="142">
        <v>0</v>
      </c>
      <c r="H47" s="142">
        <v>0</v>
      </c>
      <c r="I47" s="142">
        <v>0</v>
      </c>
      <c r="J47" s="142">
        <v>0</v>
      </c>
      <c r="K47" s="142">
        <v>0</v>
      </c>
    </row>
    <row r="48" spans="1:11" x14ac:dyDescent="0.25">
      <c r="A48" s="141">
        <v>3</v>
      </c>
      <c r="B48" s="141" t="s">
        <v>853</v>
      </c>
      <c r="C48" s="140" t="s">
        <v>854</v>
      </c>
      <c r="D48" s="142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</v>
      </c>
      <c r="K48" s="142">
        <v>0</v>
      </c>
    </row>
    <row r="49" spans="1:11" x14ac:dyDescent="0.25">
      <c r="A49" s="141">
        <v>4</v>
      </c>
      <c r="B49" s="141" t="s">
        <v>855</v>
      </c>
      <c r="C49" s="140" t="s">
        <v>856</v>
      </c>
      <c r="D49" s="142">
        <v>0</v>
      </c>
      <c r="E49" s="142">
        <v>0</v>
      </c>
      <c r="F49" s="142">
        <v>0</v>
      </c>
      <c r="G49" s="142">
        <v>0</v>
      </c>
      <c r="H49" s="142">
        <v>0</v>
      </c>
      <c r="I49" s="142">
        <v>0</v>
      </c>
      <c r="J49" s="142">
        <v>0</v>
      </c>
      <c r="K49" s="142">
        <v>0</v>
      </c>
    </row>
    <row r="50" spans="1:11" x14ac:dyDescent="0.25">
      <c r="A50" s="141">
        <v>5</v>
      </c>
      <c r="B50" s="141" t="s">
        <v>857</v>
      </c>
      <c r="C50" s="140" t="s">
        <v>858</v>
      </c>
      <c r="D50" s="142">
        <v>0</v>
      </c>
      <c r="E50" s="142">
        <v>0</v>
      </c>
      <c r="F50" s="142">
        <v>0</v>
      </c>
      <c r="G50" s="142">
        <v>0</v>
      </c>
      <c r="H50" s="142">
        <v>0</v>
      </c>
      <c r="I50" s="142">
        <v>0</v>
      </c>
      <c r="J50" s="142">
        <v>0</v>
      </c>
      <c r="K50" s="142">
        <v>0</v>
      </c>
    </row>
    <row r="51" spans="1:11" x14ac:dyDescent="0.25">
      <c r="A51" s="141">
        <v>6</v>
      </c>
      <c r="B51" s="141" t="s">
        <v>859</v>
      </c>
      <c r="C51" s="140" t="s">
        <v>860</v>
      </c>
      <c r="D51" s="142">
        <v>0</v>
      </c>
      <c r="E51" s="142">
        <v>0</v>
      </c>
      <c r="F51" s="142">
        <v>0</v>
      </c>
      <c r="G51" s="142">
        <v>0</v>
      </c>
      <c r="H51" s="142">
        <v>0</v>
      </c>
      <c r="I51" s="142">
        <v>0</v>
      </c>
      <c r="J51" s="142">
        <v>0</v>
      </c>
      <c r="K51" s="142">
        <v>0</v>
      </c>
    </row>
    <row r="52" spans="1:11" x14ac:dyDescent="0.25">
      <c r="A52" s="141">
        <v>7</v>
      </c>
      <c r="B52" s="141" t="s">
        <v>861</v>
      </c>
      <c r="C52" s="140" t="s">
        <v>862</v>
      </c>
      <c r="D52" s="142">
        <v>0</v>
      </c>
      <c r="E52" s="142">
        <v>0</v>
      </c>
      <c r="F52" s="142">
        <v>0</v>
      </c>
      <c r="G52" s="142">
        <v>0</v>
      </c>
      <c r="H52" s="142">
        <v>0</v>
      </c>
      <c r="I52" s="142">
        <v>0</v>
      </c>
      <c r="J52" s="142">
        <v>0</v>
      </c>
      <c r="K52" s="142">
        <v>0</v>
      </c>
    </row>
    <row r="53" spans="1:11" x14ac:dyDescent="0.25">
      <c r="A53" s="141">
        <v>8</v>
      </c>
      <c r="B53" s="141" t="s">
        <v>863</v>
      </c>
      <c r="C53" s="140" t="s">
        <v>864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</row>
    <row r="54" spans="1:11" x14ac:dyDescent="0.25">
      <c r="A54" s="141" t="s">
        <v>865</v>
      </c>
      <c r="B54" s="141" t="s">
        <v>866</v>
      </c>
      <c r="C54" s="140" t="s">
        <v>867</v>
      </c>
      <c r="D54" s="142">
        <v>36816.85</v>
      </c>
      <c r="E54" s="142">
        <v>76.98</v>
      </c>
      <c r="F54" s="142">
        <v>36739.870000000003</v>
      </c>
      <c r="G54" s="142">
        <v>29993.16</v>
      </c>
      <c r="H54" s="142">
        <v>36817</v>
      </c>
      <c r="I54" s="142">
        <v>77</v>
      </c>
      <c r="J54" s="142">
        <v>36740</v>
      </c>
      <c r="K54" s="142">
        <v>29993</v>
      </c>
    </row>
    <row r="55" spans="1:11" x14ac:dyDescent="0.25">
      <c r="A55" s="141" t="s">
        <v>868</v>
      </c>
      <c r="B55" s="141" t="s">
        <v>869</v>
      </c>
      <c r="C55" s="140" t="s">
        <v>870</v>
      </c>
      <c r="D55" s="142">
        <v>36816.85</v>
      </c>
      <c r="E55" s="142">
        <v>76.98</v>
      </c>
      <c r="F55" s="142">
        <v>36739.870000000003</v>
      </c>
      <c r="G55" s="142">
        <v>29993.16</v>
      </c>
      <c r="H55" s="142">
        <v>36817</v>
      </c>
      <c r="I55" s="142">
        <v>77</v>
      </c>
      <c r="J55" s="142">
        <v>36740</v>
      </c>
      <c r="K55" s="142">
        <v>29993</v>
      </c>
    </row>
    <row r="56" spans="1:11" x14ac:dyDescent="0.25">
      <c r="A56" s="141" t="s">
        <v>842</v>
      </c>
      <c r="B56" s="141" t="s">
        <v>843</v>
      </c>
      <c r="C56" s="140" t="s">
        <v>871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</row>
    <row r="57" spans="1:11" x14ac:dyDescent="0.25">
      <c r="A57" s="141" t="s">
        <v>845</v>
      </c>
      <c r="B57" s="141" t="s">
        <v>846</v>
      </c>
      <c r="C57" s="140" t="s">
        <v>872</v>
      </c>
      <c r="D57" s="142">
        <v>0</v>
      </c>
      <c r="E57" s="142">
        <v>0</v>
      </c>
      <c r="F57" s="142">
        <v>0</v>
      </c>
      <c r="G57" s="142">
        <v>0</v>
      </c>
      <c r="H57" s="142">
        <v>0</v>
      </c>
      <c r="I57" s="142">
        <v>0</v>
      </c>
      <c r="J57" s="142">
        <v>0</v>
      </c>
      <c r="K57" s="142">
        <v>0</v>
      </c>
    </row>
    <row r="58" spans="1:11" x14ac:dyDescent="0.25">
      <c r="A58" s="141" t="s">
        <v>848</v>
      </c>
      <c r="B58" s="141" t="s">
        <v>849</v>
      </c>
      <c r="C58" s="140" t="s">
        <v>873</v>
      </c>
      <c r="D58" s="142">
        <v>36816.85</v>
      </c>
      <c r="E58" s="142">
        <v>76.98</v>
      </c>
      <c r="F58" s="142">
        <v>36739.870000000003</v>
      </c>
      <c r="G58" s="142">
        <v>29993.16</v>
      </c>
      <c r="H58" s="142">
        <v>36817</v>
      </c>
      <c r="I58" s="142">
        <v>77</v>
      </c>
      <c r="J58" s="142">
        <v>36740</v>
      </c>
      <c r="K58" s="142">
        <v>29993</v>
      </c>
    </row>
    <row r="59" spans="1:11" x14ac:dyDescent="0.25">
      <c r="A59" s="141">
        <v>2</v>
      </c>
      <c r="B59" s="141" t="s">
        <v>851</v>
      </c>
      <c r="C59" s="140" t="s">
        <v>874</v>
      </c>
      <c r="D59" s="142">
        <v>0</v>
      </c>
      <c r="E59" s="142">
        <v>0</v>
      </c>
      <c r="F59" s="142">
        <v>0</v>
      </c>
      <c r="G59" s="142">
        <v>0</v>
      </c>
      <c r="H59" s="142">
        <v>0</v>
      </c>
      <c r="I59" s="142">
        <v>0</v>
      </c>
      <c r="J59" s="142">
        <v>0</v>
      </c>
      <c r="K59" s="142">
        <v>0</v>
      </c>
    </row>
    <row r="60" spans="1:11" x14ac:dyDescent="0.25">
      <c r="A60" s="141">
        <v>3</v>
      </c>
      <c r="B60" s="141" t="s">
        <v>853</v>
      </c>
      <c r="C60" s="140" t="s">
        <v>875</v>
      </c>
      <c r="D60" s="142">
        <v>0</v>
      </c>
      <c r="E60" s="142">
        <v>0</v>
      </c>
      <c r="F60" s="142">
        <v>0</v>
      </c>
      <c r="G60" s="142">
        <v>0</v>
      </c>
      <c r="H60" s="142">
        <v>0</v>
      </c>
      <c r="I60" s="142">
        <v>0</v>
      </c>
      <c r="J60" s="142">
        <v>0</v>
      </c>
      <c r="K60" s="142">
        <v>0</v>
      </c>
    </row>
    <row r="61" spans="1:11" x14ac:dyDescent="0.25">
      <c r="A61" s="141">
        <v>4</v>
      </c>
      <c r="B61" s="141" t="s">
        <v>855</v>
      </c>
      <c r="C61" s="140" t="s">
        <v>876</v>
      </c>
      <c r="D61" s="142">
        <v>0</v>
      </c>
      <c r="E61" s="142">
        <v>0</v>
      </c>
      <c r="F61" s="142">
        <v>0</v>
      </c>
      <c r="G61" s="142">
        <v>0</v>
      </c>
      <c r="H61" s="142">
        <v>0</v>
      </c>
      <c r="I61" s="142">
        <v>0</v>
      </c>
      <c r="J61" s="142">
        <v>0</v>
      </c>
      <c r="K61" s="142">
        <v>0</v>
      </c>
    </row>
    <row r="62" spans="1:11" x14ac:dyDescent="0.25">
      <c r="A62" s="141">
        <v>5</v>
      </c>
      <c r="B62" s="141" t="s">
        <v>877</v>
      </c>
      <c r="C62" s="140" t="s">
        <v>878</v>
      </c>
      <c r="D62" s="142">
        <v>0</v>
      </c>
      <c r="E62" s="142">
        <v>0</v>
      </c>
      <c r="F62" s="142">
        <v>0</v>
      </c>
      <c r="G62" s="142">
        <v>0</v>
      </c>
      <c r="H62" s="142">
        <v>0</v>
      </c>
      <c r="I62" s="142">
        <v>0</v>
      </c>
      <c r="J62" s="142">
        <v>0</v>
      </c>
      <c r="K62" s="142">
        <v>0</v>
      </c>
    </row>
    <row r="63" spans="1:11" x14ac:dyDescent="0.25">
      <c r="A63" s="141" t="s">
        <v>879</v>
      </c>
      <c r="B63" s="141" t="s">
        <v>880</v>
      </c>
      <c r="C63" s="140" t="s">
        <v>881</v>
      </c>
      <c r="D63" s="142">
        <v>0</v>
      </c>
      <c r="E63" s="142">
        <v>0</v>
      </c>
      <c r="F63" s="142">
        <v>0</v>
      </c>
      <c r="G63" s="142">
        <v>0</v>
      </c>
      <c r="H63" s="142">
        <v>0</v>
      </c>
      <c r="I63" s="142">
        <v>0</v>
      </c>
      <c r="J63" s="142">
        <v>0</v>
      </c>
      <c r="K63" s="142">
        <v>0</v>
      </c>
    </row>
    <row r="64" spans="1:11" x14ac:dyDescent="0.25">
      <c r="A64" s="141">
        <v>7</v>
      </c>
      <c r="B64" s="141" t="s">
        <v>882</v>
      </c>
      <c r="C64" s="140" t="s">
        <v>883</v>
      </c>
      <c r="D64" s="142">
        <v>0</v>
      </c>
      <c r="E64" s="142">
        <v>0</v>
      </c>
      <c r="F64" s="142">
        <v>0</v>
      </c>
      <c r="G64" s="142">
        <v>0</v>
      </c>
      <c r="H64" s="142">
        <v>0</v>
      </c>
      <c r="I64" s="142">
        <v>0</v>
      </c>
      <c r="J64" s="142">
        <v>0</v>
      </c>
      <c r="K64" s="142">
        <v>0</v>
      </c>
    </row>
    <row r="65" spans="1:11" x14ac:dyDescent="0.25">
      <c r="A65" s="141">
        <v>8</v>
      </c>
      <c r="B65" s="141" t="s">
        <v>859</v>
      </c>
      <c r="C65" s="140" t="s">
        <v>884</v>
      </c>
      <c r="D65" s="142">
        <v>0</v>
      </c>
      <c r="E65" s="142">
        <v>0</v>
      </c>
      <c r="F65" s="142">
        <v>0</v>
      </c>
      <c r="G65" s="142">
        <v>0</v>
      </c>
      <c r="H65" s="142">
        <v>0</v>
      </c>
      <c r="I65" s="142">
        <v>0</v>
      </c>
      <c r="J65" s="142">
        <v>0</v>
      </c>
      <c r="K65" s="142">
        <v>0</v>
      </c>
    </row>
    <row r="66" spans="1:11" x14ac:dyDescent="0.25">
      <c r="A66" s="141">
        <v>9</v>
      </c>
      <c r="B66" s="141" t="s">
        <v>885</v>
      </c>
      <c r="C66" s="140" t="s">
        <v>886</v>
      </c>
      <c r="D66" s="142">
        <v>0</v>
      </c>
      <c r="E66" s="142">
        <v>0</v>
      </c>
      <c r="F66" s="142">
        <v>0</v>
      </c>
      <c r="G66" s="142">
        <v>0</v>
      </c>
      <c r="H66" s="142">
        <v>0</v>
      </c>
      <c r="I66" s="142">
        <v>0</v>
      </c>
      <c r="J66" s="142">
        <v>0</v>
      </c>
      <c r="K66" s="142">
        <v>0</v>
      </c>
    </row>
    <row r="67" spans="1:11" x14ac:dyDescent="0.25">
      <c r="A67" s="141" t="s">
        <v>887</v>
      </c>
      <c r="B67" s="141" t="s">
        <v>888</v>
      </c>
      <c r="C67" s="140" t="s">
        <v>889</v>
      </c>
      <c r="D67" s="142">
        <v>0</v>
      </c>
      <c r="E67" s="142">
        <v>0</v>
      </c>
      <c r="F67" s="142">
        <v>0</v>
      </c>
      <c r="G67" s="142">
        <v>0</v>
      </c>
      <c r="H67" s="142">
        <v>0</v>
      </c>
      <c r="I67" s="142">
        <v>0</v>
      </c>
      <c r="J67" s="142">
        <v>0</v>
      </c>
      <c r="K67" s="142">
        <v>0</v>
      </c>
    </row>
    <row r="68" spans="1:11" x14ac:dyDescent="0.25">
      <c r="A68" s="141" t="s">
        <v>890</v>
      </c>
      <c r="B68" s="141" t="s">
        <v>891</v>
      </c>
      <c r="C68" s="140" t="s">
        <v>892</v>
      </c>
      <c r="D68" s="142">
        <v>0</v>
      </c>
      <c r="E68" s="142">
        <v>0</v>
      </c>
      <c r="F68" s="142">
        <v>0</v>
      </c>
      <c r="G68" s="142">
        <v>0</v>
      </c>
      <c r="H68" s="142">
        <v>0</v>
      </c>
      <c r="I68" s="142">
        <v>0</v>
      </c>
      <c r="J68" s="142">
        <v>0</v>
      </c>
      <c r="K68" s="142">
        <v>0</v>
      </c>
    </row>
    <row r="69" spans="1:11" x14ac:dyDescent="0.25">
      <c r="A69" s="146">
        <v>2</v>
      </c>
      <c r="B69" s="146" t="s">
        <v>893</v>
      </c>
      <c r="C69" s="147" t="s">
        <v>894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  <c r="I69" s="148">
        <v>0</v>
      </c>
      <c r="J69" s="148">
        <v>0</v>
      </c>
      <c r="K69" s="148">
        <v>0</v>
      </c>
    </row>
    <row r="70" spans="1:11" x14ac:dyDescent="0.25">
      <c r="A70" s="146">
        <v>3</v>
      </c>
      <c r="B70" s="146" t="s">
        <v>895</v>
      </c>
      <c r="C70" s="147" t="s">
        <v>896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48">
        <v>0</v>
      </c>
    </row>
    <row r="71" spans="1:11" x14ac:dyDescent="0.25">
      <c r="A71" s="146">
        <v>4</v>
      </c>
      <c r="B71" s="146" t="s">
        <v>897</v>
      </c>
      <c r="C71" s="147" t="s">
        <v>898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</row>
    <row r="72" spans="1:11" x14ac:dyDescent="0.25">
      <c r="A72" s="146" t="s">
        <v>899</v>
      </c>
      <c r="B72" s="146" t="s">
        <v>900</v>
      </c>
      <c r="C72" s="147" t="s">
        <v>901</v>
      </c>
      <c r="D72" s="148">
        <v>51585.9</v>
      </c>
      <c r="E72" s="148">
        <v>0</v>
      </c>
      <c r="F72" s="148">
        <v>51585.9</v>
      </c>
      <c r="G72" s="148">
        <v>18584.169999999998</v>
      </c>
      <c r="H72" s="148">
        <v>51586</v>
      </c>
      <c r="I72" s="148">
        <v>0</v>
      </c>
      <c r="J72" s="148">
        <v>51586</v>
      </c>
      <c r="K72" s="148">
        <v>18584</v>
      </c>
    </row>
    <row r="73" spans="1:11" x14ac:dyDescent="0.25">
      <c r="A73" s="146" t="s">
        <v>902</v>
      </c>
      <c r="B73" s="146" t="s">
        <v>903</v>
      </c>
      <c r="C73" s="147" t="s">
        <v>904</v>
      </c>
      <c r="D73" s="148">
        <v>46103.5</v>
      </c>
      <c r="E73" s="148">
        <v>0</v>
      </c>
      <c r="F73" s="148">
        <v>46103.5</v>
      </c>
      <c r="G73" s="148">
        <v>14443.01</v>
      </c>
      <c r="H73" s="148">
        <v>46104</v>
      </c>
      <c r="I73" s="148">
        <v>0</v>
      </c>
      <c r="J73" s="148">
        <v>46104</v>
      </c>
      <c r="K73" s="148">
        <v>14443</v>
      </c>
    </row>
    <row r="74" spans="1:11" x14ac:dyDescent="0.25">
      <c r="A74" s="146">
        <v>2</v>
      </c>
      <c r="B74" s="146" t="s">
        <v>905</v>
      </c>
      <c r="C74" s="147" t="s">
        <v>906</v>
      </c>
      <c r="D74" s="148">
        <v>5482.4</v>
      </c>
      <c r="E74" s="148">
        <v>0</v>
      </c>
      <c r="F74" s="148">
        <v>5482.4</v>
      </c>
      <c r="G74" s="148">
        <v>4141.16</v>
      </c>
      <c r="H74" s="148">
        <v>5482</v>
      </c>
      <c r="I74" s="148">
        <v>0</v>
      </c>
      <c r="J74" s="148">
        <v>5482</v>
      </c>
      <c r="K74" s="148">
        <v>4141</v>
      </c>
    </row>
    <row r="75" spans="1:11" x14ac:dyDescent="0.25">
      <c r="A75" s="146" t="s">
        <v>618</v>
      </c>
      <c r="B75" s="146" t="s">
        <v>907</v>
      </c>
      <c r="C75" s="147" t="s">
        <v>908</v>
      </c>
      <c r="D75" s="148">
        <v>0</v>
      </c>
      <c r="E75" s="148">
        <v>0</v>
      </c>
      <c r="F75" s="148">
        <v>0</v>
      </c>
      <c r="G75" s="148">
        <v>3800</v>
      </c>
      <c r="H75" s="148">
        <v>0</v>
      </c>
      <c r="I75" s="148">
        <v>0</v>
      </c>
      <c r="J75" s="148">
        <v>0</v>
      </c>
      <c r="K75" s="148">
        <v>3800</v>
      </c>
    </row>
    <row r="76" spans="1:11" x14ac:dyDescent="0.25">
      <c r="A76" s="146" t="s">
        <v>909</v>
      </c>
      <c r="B76" s="146" t="s">
        <v>910</v>
      </c>
      <c r="C76" s="147" t="s">
        <v>911</v>
      </c>
      <c r="D76" s="148">
        <v>0</v>
      </c>
      <c r="E76" s="148">
        <v>0</v>
      </c>
      <c r="F76" s="148">
        <v>0</v>
      </c>
      <c r="G76" s="148">
        <v>0</v>
      </c>
      <c r="H76" s="148">
        <v>0</v>
      </c>
      <c r="I76" s="148">
        <v>0</v>
      </c>
      <c r="J76" s="148">
        <v>0</v>
      </c>
      <c r="K76" s="148">
        <v>0</v>
      </c>
    </row>
    <row r="77" spans="1:11" x14ac:dyDescent="0.25">
      <c r="A77" s="146">
        <v>2</v>
      </c>
      <c r="B77" s="146" t="s">
        <v>912</v>
      </c>
      <c r="C77" s="147" t="s">
        <v>913</v>
      </c>
      <c r="D77" s="148">
        <v>0</v>
      </c>
      <c r="E77" s="148">
        <v>0</v>
      </c>
      <c r="F77" s="148">
        <v>0</v>
      </c>
      <c r="G77" s="148">
        <v>0</v>
      </c>
      <c r="H77" s="148">
        <v>0</v>
      </c>
      <c r="I77" s="148">
        <v>0</v>
      </c>
      <c r="J77" s="148">
        <v>0</v>
      </c>
      <c r="K77" s="148">
        <v>0</v>
      </c>
    </row>
    <row r="78" spans="1:11" x14ac:dyDescent="0.25">
      <c r="A78" s="146">
        <v>3</v>
      </c>
      <c r="B78" s="146" t="s">
        <v>914</v>
      </c>
      <c r="C78" s="147" t="s">
        <v>915</v>
      </c>
      <c r="D78" s="148">
        <v>0</v>
      </c>
      <c r="E78" s="148">
        <v>0</v>
      </c>
      <c r="F78" s="148">
        <v>0</v>
      </c>
      <c r="G78" s="148">
        <v>0</v>
      </c>
      <c r="H78" s="148">
        <v>0</v>
      </c>
      <c r="I78" s="148">
        <v>0</v>
      </c>
      <c r="J78" s="148">
        <v>0</v>
      </c>
      <c r="K78" s="148">
        <v>0</v>
      </c>
    </row>
    <row r="79" spans="1:11" x14ac:dyDescent="0.25">
      <c r="A79" s="146">
        <v>4</v>
      </c>
      <c r="B79" s="146" t="s">
        <v>916</v>
      </c>
      <c r="C79" s="147" t="s">
        <v>917</v>
      </c>
      <c r="D79" s="148">
        <v>0</v>
      </c>
      <c r="E79" s="148">
        <v>0</v>
      </c>
      <c r="F79" s="148">
        <v>0</v>
      </c>
      <c r="G79" s="148">
        <v>3800</v>
      </c>
      <c r="H79" s="148">
        <v>0</v>
      </c>
      <c r="I79" s="148">
        <v>0</v>
      </c>
      <c r="J79" s="148">
        <v>0</v>
      </c>
      <c r="K79" s="148">
        <v>3800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zoomScaleNormal="100" workbookViewId="0">
      <selection activeCell="B6" sqref="B6"/>
    </sheetView>
  </sheetViews>
  <sheetFormatPr defaultColWidth="9.140625" defaultRowHeight="15" x14ac:dyDescent="0.25"/>
  <cols>
    <col min="1" max="1" width="29.28515625" style="138" customWidth="1"/>
    <col min="2" max="4" width="11.28515625" style="138" customWidth="1"/>
    <col min="5" max="5" width="12.5703125" style="138" customWidth="1"/>
    <col min="6" max="10" width="11.28515625" style="138" customWidth="1"/>
    <col min="11" max="16384" width="9.140625" style="138"/>
  </cols>
  <sheetData>
    <row r="1" spans="1:33" ht="16.5" x14ac:dyDescent="0.3">
      <c r="A1" s="174" t="s">
        <v>373</v>
      </c>
    </row>
    <row r="2" spans="1:33" ht="17.25" thickBot="1" x14ac:dyDescent="0.35">
      <c r="A2" s="175" t="s">
        <v>7</v>
      </c>
    </row>
    <row r="3" spans="1:33" ht="16.5" customHeight="1" thickTop="1" thickBot="1" x14ac:dyDescent="0.3">
      <c r="A3" s="283" t="s">
        <v>28</v>
      </c>
      <c r="B3" s="277" t="s">
        <v>2</v>
      </c>
      <c r="C3" s="278"/>
      <c r="D3" s="278"/>
      <c r="E3" s="278"/>
      <c r="F3" s="278"/>
      <c r="G3" s="278"/>
      <c r="H3" s="278"/>
      <c r="I3" s="278"/>
      <c r="J3" s="279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</row>
    <row r="4" spans="1:33" ht="62.25" customHeight="1" thickTop="1" thickBot="1" x14ac:dyDescent="0.3">
      <c r="A4" s="284"/>
      <c r="B4" s="166" t="s">
        <v>29</v>
      </c>
      <c r="C4" s="166" t="s">
        <v>30</v>
      </c>
      <c r="D4" s="166" t="s">
        <v>31</v>
      </c>
      <c r="E4" s="166" t="s">
        <v>298</v>
      </c>
      <c r="F4" s="166" t="s">
        <v>32</v>
      </c>
      <c r="G4" s="166" t="s">
        <v>33</v>
      </c>
      <c r="H4" s="166" t="s">
        <v>299</v>
      </c>
      <c r="I4" s="166" t="s">
        <v>34</v>
      </c>
      <c r="J4" s="166" t="s">
        <v>8</v>
      </c>
    </row>
    <row r="5" spans="1:33" ht="15" customHeight="1" thickTop="1" thickBot="1" x14ac:dyDescent="0.3">
      <c r="A5" s="177" t="s">
        <v>16</v>
      </c>
      <c r="B5" s="156"/>
      <c r="C5" s="156"/>
      <c r="D5" s="156"/>
      <c r="E5" s="156"/>
      <c r="F5" s="156"/>
      <c r="G5" s="156"/>
      <c r="H5" s="156"/>
      <c r="I5" s="156"/>
      <c r="J5" s="157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</row>
    <row r="6" spans="1:33" ht="24" thickTop="1" thickBot="1" x14ac:dyDescent="0.3">
      <c r="A6" s="178" t="s">
        <v>17</v>
      </c>
      <c r="B6" s="168">
        <f>SUMIF(HK!A:A,"031*",HK!C:C)-SUMIF(HK!A:A,"031*",HK!D:D)</f>
        <v>0</v>
      </c>
      <c r="C6" s="168">
        <f>SUMIF(HK!A:A,"021*",HK!C:C)-SUMIF(HK!A:A,"021*",HK!D:D)</f>
        <v>0</v>
      </c>
      <c r="D6" s="168">
        <f>SUMIF(HK!A:A,"022*",HK!C:C)-SUMIF(HK!A:A,"022*",HK!D:D)</f>
        <v>0</v>
      </c>
      <c r="E6" s="168">
        <f>SUMIF(HK!A:A,"025*",HK!C:C)-SUMIF(HK!A:A,"025*",HK!D:D)</f>
        <v>0</v>
      </c>
      <c r="F6" s="168">
        <f>SUMIF(HK!A:A,"026*",HK!C:C)-SUMIF(HK!A:A,"026*",HK!D:D)</f>
        <v>0</v>
      </c>
      <c r="G6" s="168">
        <f>SUMIF(HK!A:A,"029*",HK!C:C)-SUMIF(HK!A:A,"029*",HK!D:D)</f>
        <v>0</v>
      </c>
      <c r="H6" s="168">
        <f>SUMIF(HK!A:A,"042*",HK!C:C)-SUMIF(HK!A:A,"042*",HK!D:D)</f>
        <v>0</v>
      </c>
      <c r="I6" s="168">
        <f>SUMIF(HK!A:A,"052*",HK!C:C)-SUMIF(HK!A:A,"052*",HK!D:D)</f>
        <v>0</v>
      </c>
      <c r="J6" s="153">
        <f>SUM(B6:I6)</f>
        <v>0</v>
      </c>
      <c r="L6" s="154"/>
    </row>
    <row r="7" spans="1:33" ht="15" customHeight="1" thickBot="1" x14ac:dyDescent="0.3">
      <c r="A7" s="179" t="s">
        <v>18</v>
      </c>
      <c r="B7" s="132"/>
      <c r="C7" s="132"/>
      <c r="D7" s="132"/>
      <c r="E7" s="132"/>
      <c r="F7" s="133"/>
      <c r="G7" s="132"/>
      <c r="H7" s="132"/>
      <c r="I7" s="132"/>
      <c r="J7" s="153">
        <f t="shared" ref="J7:J9" si="0">SUM(B7:I7)</f>
        <v>0</v>
      </c>
    </row>
    <row r="8" spans="1:33" ht="15" customHeight="1" thickBot="1" x14ac:dyDescent="0.3">
      <c r="A8" s="179" t="s">
        <v>19</v>
      </c>
      <c r="B8" s="132"/>
      <c r="C8" s="132"/>
      <c r="D8" s="132"/>
      <c r="E8" s="132"/>
      <c r="F8" s="133"/>
      <c r="G8" s="132"/>
      <c r="H8" s="132"/>
      <c r="I8" s="132"/>
      <c r="J8" s="153">
        <f t="shared" si="0"/>
        <v>0</v>
      </c>
    </row>
    <row r="9" spans="1:33" ht="15" customHeight="1" thickBot="1" x14ac:dyDescent="0.3">
      <c r="A9" s="179" t="s">
        <v>20</v>
      </c>
      <c r="B9" s="132"/>
      <c r="C9" s="132"/>
      <c r="D9" s="132"/>
      <c r="E9" s="132"/>
      <c r="F9" s="133"/>
      <c r="G9" s="132"/>
      <c r="H9" s="132"/>
      <c r="I9" s="132"/>
      <c r="J9" s="153">
        <f t="shared" si="0"/>
        <v>0</v>
      </c>
    </row>
    <row r="10" spans="1:33" ht="15.75" thickBot="1" x14ac:dyDescent="0.3">
      <c r="A10" s="270" t="s">
        <v>21</v>
      </c>
      <c r="B10" s="168">
        <f>SUMIF(HK!A:A,"031*",HK!K:K)-SUMIF(HK!A:A,"031*",HK!L:L)</f>
        <v>0</v>
      </c>
      <c r="C10" s="168">
        <f>SUMIF(HK!A:A,"021*",HK!K:K)-SUMIF(HK!A:A,"021*",HK!L:L)</f>
        <v>0</v>
      </c>
      <c r="D10" s="168">
        <f>SUMIF(HK!A:A,"022*",HK!K:K)-SUMIF(HK!A:A,"022*",HK!L:L)</f>
        <v>0</v>
      </c>
      <c r="E10" s="168">
        <f>SUMIF(HK!A:A,"025*",HK!K:K)-SUMIF(HK!A:A,"025*",HK!L:L)</f>
        <v>0</v>
      </c>
      <c r="F10" s="168">
        <f>SUMIF(HK!A:A,"026*",HK!K:K)-SUMIF(HK!A:A,"026*",HK!L:L)</f>
        <v>0</v>
      </c>
      <c r="G10" s="168">
        <f>SUMIF(HK!A:A,"029*",HK!K:K)-SUMIF(HK!A:A,"029*",HK!L:L)</f>
        <v>0</v>
      </c>
      <c r="H10" s="168">
        <f>SUMIF(HK!A:A,"042*",HK!K:K)-SUMIF(HK!A:A,"042*",HK!L:L)</f>
        <v>0</v>
      </c>
      <c r="I10" s="168">
        <f>SUMIF(HK!A:A,"052*",HK!K:K)-SUMIF(HK!A:A,"052*",HK!L:L)</f>
        <v>0</v>
      </c>
      <c r="J10" s="155">
        <f>J6+J7-J8+J9</f>
        <v>0</v>
      </c>
      <c r="L10" s="154"/>
    </row>
    <row r="11" spans="1:33" ht="15" customHeight="1" thickTop="1" thickBot="1" x14ac:dyDescent="0.3">
      <c r="A11" s="264" t="s">
        <v>22</v>
      </c>
      <c r="B11" s="173"/>
      <c r="C11" s="173"/>
      <c r="D11" s="173"/>
      <c r="E11" s="173"/>
      <c r="F11" s="173"/>
      <c r="G11" s="173"/>
      <c r="H11" s="173"/>
      <c r="I11" s="173"/>
      <c r="J11" s="157"/>
    </row>
    <row r="12" spans="1:33" ht="23.25" thickBot="1" x14ac:dyDescent="0.3">
      <c r="A12" s="178" t="s">
        <v>23</v>
      </c>
      <c r="B12" s="132"/>
      <c r="C12" s="168">
        <f>SUMIF(HK!A:A,"081*",HK!D:D)-SUMIF(HK!A:A,"081*",HK!C:C)</f>
        <v>0</v>
      </c>
      <c r="D12" s="168">
        <f>SUMIF(HK!A:A,"082*",HK!D:D)-SUMIF(HK!A:A,"082*",HK!C:C)</f>
        <v>0</v>
      </c>
      <c r="E12" s="168">
        <f>SUMIF(HK!A:A,"085*",HK!D:D)-SUMIF(HK!A:A,"085*",HK!C:C)</f>
        <v>0</v>
      </c>
      <c r="F12" s="168">
        <f>SUMIF(HK!A:A,"086*",HK!D:D)-SUMIF(HK!A:A,"086*",HK!C:C)</f>
        <v>0</v>
      </c>
      <c r="G12" s="168">
        <f>SUMIF(HK!A:A,"089*",HK!D:D)-SUMIF(HK!A:A,"089*",HK!C:C)</f>
        <v>0</v>
      </c>
      <c r="H12" s="132"/>
      <c r="I12" s="132"/>
      <c r="J12" s="153">
        <f>SUM(B12:I12)</f>
        <v>0</v>
      </c>
      <c r="L12" s="154"/>
    </row>
    <row r="13" spans="1:33" ht="15" customHeight="1" thickBot="1" x14ac:dyDescent="0.3">
      <c r="A13" s="179" t="s">
        <v>18</v>
      </c>
      <c r="B13" s="132"/>
      <c r="C13" s="132"/>
      <c r="D13" s="132"/>
      <c r="E13" s="132"/>
      <c r="F13" s="132"/>
      <c r="G13" s="132"/>
      <c r="H13" s="132"/>
      <c r="I13" s="132"/>
      <c r="J13" s="153">
        <f t="shared" ref="J13:J14" si="1">SUM(B13:I13)</f>
        <v>0</v>
      </c>
    </row>
    <row r="14" spans="1:33" ht="15" customHeight="1" thickBot="1" x14ac:dyDescent="0.3">
      <c r="A14" s="179" t="s">
        <v>19</v>
      </c>
      <c r="B14" s="132"/>
      <c r="C14" s="132"/>
      <c r="D14" s="132"/>
      <c r="E14" s="132"/>
      <c r="F14" s="132"/>
      <c r="G14" s="132"/>
      <c r="H14" s="132"/>
      <c r="I14" s="132"/>
      <c r="J14" s="153">
        <f t="shared" si="1"/>
        <v>0</v>
      </c>
    </row>
    <row r="15" spans="1:33" ht="15" customHeight="1" thickBot="1" x14ac:dyDescent="0.3">
      <c r="A15" s="264" t="s">
        <v>20</v>
      </c>
      <c r="B15" s="261"/>
      <c r="C15" s="132"/>
      <c r="D15" s="132"/>
      <c r="E15" s="132"/>
      <c r="F15" s="132"/>
      <c r="G15" s="132"/>
      <c r="H15" s="261"/>
      <c r="I15" s="133"/>
      <c r="J15" s="256"/>
    </row>
    <row r="16" spans="1:33" ht="15.75" thickBot="1" x14ac:dyDescent="0.3">
      <c r="A16" s="180" t="s">
        <v>21</v>
      </c>
      <c r="B16" s="135"/>
      <c r="C16" s="168">
        <f>SUMIF(HK!A:A,"081*",HK!L:L)-SUMIF(HK!A:A,"081*",HK!K:K)</f>
        <v>0</v>
      </c>
      <c r="D16" s="168">
        <f>SUMIF(HK!A:A,"082*",HK!L:L)-SUMIF(HK!A:A,"082*",HK!K:K)</f>
        <v>0</v>
      </c>
      <c r="E16" s="168">
        <f>SUMIF(HK!A:A,"085*",HK!L:L)-SUMIF(HK!A:A,"085*",HK!K:K)</f>
        <v>0</v>
      </c>
      <c r="F16" s="168">
        <f>SUMIF(HK!A:A,"086*",HK!L:L)-SUMIF(HK!A:A,"086*",HK!K:K)</f>
        <v>0</v>
      </c>
      <c r="G16" s="168">
        <f>SUMIF(HK!A:A,"089*",HK!L:L)-SUMIF(HK!A:A,"089*",HK!K:K)</f>
        <v>0</v>
      </c>
      <c r="H16" s="135"/>
      <c r="I16" s="135"/>
      <c r="J16" s="155">
        <f>J12+J13-J14</f>
        <v>0</v>
      </c>
      <c r="L16" s="154"/>
    </row>
    <row r="17" spans="1:33" ht="15" customHeight="1" thickTop="1" thickBot="1" x14ac:dyDescent="0.3">
      <c r="A17" s="177" t="s">
        <v>24</v>
      </c>
      <c r="B17" s="173"/>
      <c r="C17" s="173"/>
      <c r="D17" s="173"/>
      <c r="E17" s="173"/>
      <c r="F17" s="173"/>
      <c r="G17" s="173"/>
      <c r="H17" s="173"/>
      <c r="I17" s="173"/>
      <c r="J17" s="157"/>
    </row>
    <row r="18" spans="1:33" ht="24" thickTop="1" thickBot="1" x14ac:dyDescent="0.3">
      <c r="A18" s="178" t="s">
        <v>23</v>
      </c>
      <c r="B18" s="132"/>
      <c r="C18" s="168"/>
      <c r="D18" s="168"/>
      <c r="E18" s="168"/>
      <c r="F18" s="168"/>
      <c r="G18" s="168"/>
      <c r="H18" s="168">
        <f>SUMIF(HK!A:A,"094*",HK!D:D)-SUMIF(HK!A:A,"094*",HK!C:C)</f>
        <v>0</v>
      </c>
      <c r="I18" s="168">
        <f>SUMIF(SUAM!C:C,"019",SUAM!E:E)</f>
        <v>0</v>
      </c>
      <c r="J18" s="153">
        <f>SUM(B18:I18)</f>
        <v>0</v>
      </c>
      <c r="L18" s="154"/>
      <c r="M18" s="154"/>
      <c r="N18" s="161"/>
    </row>
    <row r="19" spans="1:33" ht="15" customHeight="1" thickBot="1" x14ac:dyDescent="0.3">
      <c r="A19" s="179" t="s">
        <v>18</v>
      </c>
      <c r="B19" s="132"/>
      <c r="C19" s="132"/>
      <c r="D19" s="132"/>
      <c r="E19" s="132"/>
      <c r="F19" s="132"/>
      <c r="G19" s="132"/>
      <c r="H19" s="132"/>
      <c r="I19" s="132"/>
      <c r="J19" s="153">
        <f t="shared" ref="J19:J20" si="2">SUM(B19:I19)</f>
        <v>0</v>
      </c>
      <c r="N19" s="161"/>
    </row>
    <row r="20" spans="1:33" ht="15" customHeight="1" thickBot="1" x14ac:dyDescent="0.3">
      <c r="A20" s="179" t="s">
        <v>19</v>
      </c>
      <c r="B20" s="132"/>
      <c r="C20" s="132"/>
      <c r="D20" s="132"/>
      <c r="E20" s="132"/>
      <c r="F20" s="132"/>
      <c r="G20" s="132"/>
      <c r="H20" s="132"/>
      <c r="I20" s="132"/>
      <c r="J20" s="153">
        <f t="shared" si="2"/>
        <v>0</v>
      </c>
      <c r="N20" s="161"/>
    </row>
    <row r="21" spans="1:33" ht="15" customHeight="1" thickBot="1" x14ac:dyDescent="0.3">
      <c r="A21" s="265" t="s">
        <v>20</v>
      </c>
      <c r="B21" s="133"/>
      <c r="C21" s="132"/>
      <c r="D21" s="132"/>
      <c r="E21" s="132"/>
      <c r="F21" s="132"/>
      <c r="G21" s="132"/>
      <c r="H21" s="132"/>
      <c r="I21" s="132"/>
      <c r="J21" s="255"/>
      <c r="N21" s="161"/>
    </row>
    <row r="22" spans="1:33" ht="15.75" thickBot="1" x14ac:dyDescent="0.3">
      <c r="A22" s="180" t="s">
        <v>21</v>
      </c>
      <c r="B22" s="135"/>
      <c r="C22" s="168"/>
      <c r="D22" s="168"/>
      <c r="E22" s="168"/>
      <c r="F22" s="168"/>
      <c r="G22" s="168"/>
      <c r="H22" s="168">
        <f>SUMIF(HK!A:A,"094*",HK!L:L)-SUMIF(HK!A:A,"094*",HK!K:K)</f>
        <v>0</v>
      </c>
      <c r="I22" s="168">
        <f>SUMIF(SUA!C:C,"019",SUA!E:E)</f>
        <v>0</v>
      </c>
      <c r="J22" s="155">
        <f>J18+J19-J20</f>
        <v>0</v>
      </c>
      <c r="L22" s="154"/>
      <c r="M22" s="154"/>
      <c r="N22" s="161"/>
    </row>
    <row r="23" spans="1:33" ht="15" customHeight="1" thickTop="1" thickBot="1" x14ac:dyDescent="0.3">
      <c r="A23" s="177" t="s">
        <v>25</v>
      </c>
      <c r="B23" s="173"/>
      <c r="C23" s="173"/>
      <c r="D23" s="173"/>
      <c r="E23" s="173"/>
      <c r="F23" s="173"/>
      <c r="G23" s="173"/>
      <c r="H23" s="173"/>
      <c r="I23" s="173"/>
      <c r="J23" s="157"/>
    </row>
    <row r="24" spans="1:33" ht="15" customHeight="1" thickTop="1" thickBot="1" x14ac:dyDescent="0.3">
      <c r="A24" s="178" t="s">
        <v>23</v>
      </c>
      <c r="B24" s="132"/>
      <c r="C24" s="132"/>
      <c r="D24" s="132"/>
      <c r="E24" s="132"/>
      <c r="F24" s="132"/>
      <c r="G24" s="132"/>
      <c r="H24" s="132"/>
      <c r="I24" s="132"/>
      <c r="J24" s="153">
        <f t="shared" ref="J24" si="3">J6-J12-J18</f>
        <v>0</v>
      </c>
    </row>
    <row r="25" spans="1:33" ht="15" customHeight="1" thickBot="1" x14ac:dyDescent="0.3">
      <c r="A25" s="180" t="s">
        <v>21</v>
      </c>
      <c r="B25" s="135"/>
      <c r="C25" s="135"/>
      <c r="D25" s="135"/>
      <c r="E25" s="135"/>
      <c r="F25" s="135"/>
      <c r="G25" s="135"/>
      <c r="H25" s="135"/>
      <c r="I25" s="135"/>
      <c r="J25" s="155">
        <f t="shared" ref="J25" si="4">J10-J16-J22</f>
        <v>0</v>
      </c>
    </row>
    <row r="26" spans="1:33" ht="15.75" thickTop="1" x14ac:dyDescent="0.25">
      <c r="A26" s="163"/>
      <c r="B26" s="163"/>
      <c r="C26" s="163"/>
      <c r="D26" s="163"/>
      <c r="E26" s="163"/>
      <c r="F26" s="163"/>
      <c r="G26" s="163"/>
      <c r="H26" s="163"/>
      <c r="I26" s="163"/>
      <c r="J26" s="163"/>
    </row>
    <row r="27" spans="1:33" x14ac:dyDescent="0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</row>
    <row r="28" spans="1:33" ht="15.75" thickBot="1" x14ac:dyDescent="0.3">
      <c r="A28" s="181" t="s">
        <v>9</v>
      </c>
      <c r="B28" s="181"/>
      <c r="C28" s="181"/>
      <c r="D28" s="181"/>
      <c r="E28" s="181"/>
      <c r="F28" s="181"/>
      <c r="G28" s="181"/>
      <c r="H28" s="181"/>
      <c r="I28" s="181"/>
      <c r="J28" s="181"/>
    </row>
    <row r="29" spans="1:33" ht="16.5" customHeight="1" thickTop="1" thickBot="1" x14ac:dyDescent="0.3">
      <c r="A29" s="285" t="s">
        <v>28</v>
      </c>
      <c r="B29" s="287" t="s">
        <v>3</v>
      </c>
      <c r="C29" s="288"/>
      <c r="D29" s="288"/>
      <c r="E29" s="288"/>
      <c r="F29" s="288"/>
      <c r="G29" s="288"/>
      <c r="H29" s="288"/>
      <c r="I29" s="288"/>
      <c r="J29" s="289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</row>
    <row r="30" spans="1:33" ht="62.25" customHeight="1" thickTop="1" thickBot="1" x14ac:dyDescent="0.3">
      <c r="A30" s="286"/>
      <c r="B30" s="182" t="s">
        <v>29</v>
      </c>
      <c r="C30" s="182" t="s">
        <v>30</v>
      </c>
      <c r="D30" s="182" t="s">
        <v>31</v>
      </c>
      <c r="E30" s="182" t="s">
        <v>298</v>
      </c>
      <c r="F30" s="182" t="s">
        <v>32</v>
      </c>
      <c r="G30" s="182" t="s">
        <v>33</v>
      </c>
      <c r="H30" s="182" t="s">
        <v>299</v>
      </c>
      <c r="I30" s="182" t="s">
        <v>34</v>
      </c>
      <c r="J30" s="182" t="s">
        <v>8</v>
      </c>
    </row>
    <row r="31" spans="1:33" ht="15" customHeight="1" thickTop="1" thickBot="1" x14ac:dyDescent="0.3">
      <c r="A31" s="183" t="s">
        <v>16</v>
      </c>
      <c r="B31" s="134"/>
      <c r="C31" s="134"/>
      <c r="D31" s="134"/>
      <c r="E31" s="134"/>
      <c r="F31" s="134"/>
      <c r="G31" s="134"/>
      <c r="H31" s="134"/>
      <c r="I31" s="134"/>
      <c r="J31" s="184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</row>
    <row r="32" spans="1:33" ht="24" thickTop="1" thickBot="1" x14ac:dyDescent="0.3">
      <c r="A32" s="185" t="s">
        <v>17</v>
      </c>
      <c r="B32" s="168">
        <f>SUMIF(HKM!A:A,"031*",HKM!C:C)-SUMIF(HKM!A:A,"031*",HKM!D:D)</f>
        <v>0</v>
      </c>
      <c r="C32" s="168">
        <f>SUMIF(HKM!A:A,"021*",HKM!C:C)-SUMIF(HKM!A:A,"021*",HKM!D:D)</f>
        <v>0</v>
      </c>
      <c r="D32" s="168">
        <f>SUMIF(HKM!A:A,"022*",HKM!C:C)-SUMIF(HKM!A:A,"022*",HKM!D:D)</f>
        <v>0</v>
      </c>
      <c r="E32" s="168">
        <f>SUMIF(HKM!A:A,"025*",HKM!C:C)-SUMIF(HKM!A:A,"025*",HKM!D:D)</f>
        <v>0</v>
      </c>
      <c r="F32" s="168">
        <f>SUMIF(HKM!A:A,"026*",HKM!C:C)-SUMIF(HKM!A:A,"026*",HKM!D:D)</f>
        <v>0</v>
      </c>
      <c r="G32" s="168">
        <f>SUMIF(HKM!A:A,"029*",HKM!C:C)-SUMIF(HKM!A:A,"029*",HKM!D:D)</f>
        <v>0</v>
      </c>
      <c r="H32" s="168">
        <f>SUMIF(HKM!A:A,"042*",HKM!C:C)-SUMIF(HKM!A:A,"042*",HKM!D:D)</f>
        <v>0</v>
      </c>
      <c r="I32" s="168">
        <f>SUMIF(HKM!A:A,"052*",HKM!C:C)-SUMIF(HKM!A:A,"052*",HKM!D:D)</f>
        <v>0</v>
      </c>
      <c r="J32" s="186">
        <f>SUM(B32:I32)</f>
        <v>0</v>
      </c>
      <c r="L32" s="154"/>
    </row>
    <row r="33" spans="1:14" ht="15" customHeight="1" thickBot="1" x14ac:dyDescent="0.3">
      <c r="A33" s="187" t="s">
        <v>18</v>
      </c>
      <c r="B33" s="132"/>
      <c r="C33" s="132"/>
      <c r="D33" s="132"/>
      <c r="E33" s="132"/>
      <c r="F33" s="133"/>
      <c r="G33" s="132"/>
      <c r="H33" s="132"/>
      <c r="I33" s="132"/>
      <c r="J33" s="186">
        <f t="shared" ref="J33:J35" si="5">SUM(B33:I33)</f>
        <v>0</v>
      </c>
    </row>
    <row r="34" spans="1:14" ht="15" customHeight="1" thickBot="1" x14ac:dyDescent="0.3">
      <c r="A34" s="187" t="s">
        <v>19</v>
      </c>
      <c r="B34" s="132"/>
      <c r="C34" s="132"/>
      <c r="D34" s="132"/>
      <c r="E34" s="132"/>
      <c r="F34" s="133"/>
      <c r="G34" s="132"/>
      <c r="H34" s="132"/>
      <c r="I34" s="132"/>
      <c r="J34" s="186">
        <f t="shared" si="5"/>
        <v>0</v>
      </c>
    </row>
    <row r="35" spans="1:14" ht="15" customHeight="1" thickBot="1" x14ac:dyDescent="0.3">
      <c r="A35" s="187" t="s">
        <v>20</v>
      </c>
      <c r="B35" s="132"/>
      <c r="C35" s="132"/>
      <c r="D35" s="132"/>
      <c r="E35" s="132"/>
      <c r="F35" s="133"/>
      <c r="G35" s="132"/>
      <c r="H35" s="132"/>
      <c r="I35" s="132"/>
      <c r="J35" s="186">
        <f t="shared" si="5"/>
        <v>0</v>
      </c>
    </row>
    <row r="36" spans="1:14" ht="15.75" thickBot="1" x14ac:dyDescent="0.3">
      <c r="A36" s="188" t="s">
        <v>21</v>
      </c>
      <c r="B36" s="168">
        <f>SUMIF(HKM!A:A,"031*",HKM!K:K)-SUMIF(HKM!A:A,"031*",HKM!L:L)</f>
        <v>0</v>
      </c>
      <c r="C36" s="168">
        <f>SUMIF(HKM!A:A,"021*",HKM!K:K)-SUMIF(HKM!A:A,"021*",HKM!L:L)</f>
        <v>0</v>
      </c>
      <c r="D36" s="168">
        <f>SUMIF(HKM!A:A,"022*",HKM!K:K)-SUMIF(HKM!A:A,"022*",HKM!L:L)</f>
        <v>0</v>
      </c>
      <c r="E36" s="168">
        <f>SUMIF(HKM!A:A,"025*",HKM!K:K)-SUMIF(HKM!A:A,"025*",HKM!L:L)</f>
        <v>0</v>
      </c>
      <c r="F36" s="168">
        <f>SUMIF(HKM!A:A,"026*",HKM!K:K)-SUMIF(HKM!A:A,"026*",HKM!L:L)</f>
        <v>0</v>
      </c>
      <c r="G36" s="168">
        <f>SUMIF(HKM!A:A,"029*",HKM!K:K)-SUMIF(HKM!A:A,"029*",HKM!L:L)</f>
        <v>0</v>
      </c>
      <c r="H36" s="168">
        <f>SUMIF(HKM!A:A,"042*",HKM!K:K)-SUMIF(HKM!A:A,"042*",HKM!L:L)</f>
        <v>0</v>
      </c>
      <c r="I36" s="168">
        <f>SUMIF(HKM!A:A,"052*",HKM!K:K)-SUMIF(HKM!A:A,"052*",HKM!L:L)</f>
        <v>0</v>
      </c>
      <c r="J36" s="189">
        <f>J32+J33-J34+J35</f>
        <v>0</v>
      </c>
      <c r="L36" s="154"/>
    </row>
    <row r="37" spans="1:14" ht="15" customHeight="1" thickTop="1" thickBot="1" x14ac:dyDescent="0.3">
      <c r="A37" s="183" t="s">
        <v>22</v>
      </c>
      <c r="B37" s="173"/>
      <c r="C37" s="173"/>
      <c r="D37" s="173"/>
      <c r="E37" s="173"/>
      <c r="F37" s="173"/>
      <c r="G37" s="173"/>
      <c r="H37" s="173"/>
      <c r="I37" s="173"/>
      <c r="J37" s="184"/>
    </row>
    <row r="38" spans="1:14" ht="24" thickTop="1" thickBot="1" x14ac:dyDescent="0.3">
      <c r="A38" s="185" t="s">
        <v>23</v>
      </c>
      <c r="B38" s="132"/>
      <c r="C38" s="168">
        <f>SUMIF(HKM!A:A,"081*",HKM!D:D)-SUMIF(HKM!A:A,"081*",HKM!C:C)</f>
        <v>0</v>
      </c>
      <c r="D38" s="168">
        <f>SUMIF(HKM!A:A,"082*",HKM!D:D)-SUMIF(HKM!A:A,"082*",HKM!C:C)</f>
        <v>0</v>
      </c>
      <c r="E38" s="168">
        <f>SUMIF(HKM!A:A,"085*",HKM!D:D)-SUMIF(HKM!A:A,"085*",HKM!C:C)</f>
        <v>0</v>
      </c>
      <c r="F38" s="168">
        <f>SUMIF(HKM!A:A,"086*",HKM!D:D)-SUMIF(HKM!A:A,"086*",HKM!C:C)</f>
        <v>0</v>
      </c>
      <c r="G38" s="168">
        <f>SUMIF(HKM!A:A,"089*",HKM!D:D)-SUMIF(HKM!A:A,"089*",HKM!C:C)</f>
        <v>0</v>
      </c>
      <c r="H38" s="132"/>
      <c r="I38" s="132"/>
      <c r="J38" s="186">
        <f>SUM(B38:I38)</f>
        <v>0</v>
      </c>
      <c r="L38" s="154"/>
    </row>
    <row r="39" spans="1:14" ht="15" customHeight="1" thickBot="1" x14ac:dyDescent="0.3">
      <c r="A39" s="187" t="s">
        <v>18</v>
      </c>
      <c r="B39" s="132"/>
      <c r="C39" s="132"/>
      <c r="D39" s="132"/>
      <c r="E39" s="132"/>
      <c r="F39" s="132"/>
      <c r="G39" s="132"/>
      <c r="H39" s="132"/>
      <c r="I39" s="132"/>
      <c r="J39" s="186">
        <f t="shared" ref="J39:J40" si="6">SUM(B39:I39)</f>
        <v>0</v>
      </c>
    </row>
    <row r="40" spans="1:14" ht="15" customHeight="1" thickBot="1" x14ac:dyDescent="0.3">
      <c r="A40" s="187" t="s">
        <v>19</v>
      </c>
      <c r="B40" s="132"/>
      <c r="C40" s="132"/>
      <c r="D40" s="132"/>
      <c r="E40" s="132"/>
      <c r="F40" s="132"/>
      <c r="G40" s="132"/>
      <c r="H40" s="132"/>
      <c r="I40" s="132"/>
      <c r="J40" s="186">
        <f t="shared" si="6"/>
        <v>0</v>
      </c>
    </row>
    <row r="41" spans="1:14" ht="15" customHeight="1" thickBot="1" x14ac:dyDescent="0.3">
      <c r="A41" s="266" t="s">
        <v>20</v>
      </c>
      <c r="B41" s="133"/>
      <c r="C41" s="133"/>
      <c r="D41" s="133"/>
      <c r="E41" s="133"/>
      <c r="F41" s="133"/>
      <c r="G41" s="133"/>
      <c r="H41" s="133"/>
      <c r="I41" s="133"/>
      <c r="J41" s="133"/>
    </row>
    <row r="42" spans="1:14" ht="15.75" thickBot="1" x14ac:dyDescent="0.3">
      <c r="A42" s="188" t="s">
        <v>21</v>
      </c>
      <c r="B42" s="135"/>
      <c r="C42" s="168">
        <f>SUMIF(HKM!A:A,"081*",HKM!L:L)-SUMIF(HKM!A:A,"081*",HKM!K:K)</f>
        <v>0</v>
      </c>
      <c r="D42" s="168">
        <f>SUMIF(HKM!A:A,"082*",HKM!L:L)-SUMIF(HKM!A:A,"082*",HKM!K:K)</f>
        <v>0</v>
      </c>
      <c r="E42" s="168">
        <f>SUMIF(HKM!A:A,"085*",HKM!L:L)-SUMIF(HKM!A:A,"085*",HKM!K:K)</f>
        <v>0</v>
      </c>
      <c r="F42" s="168">
        <f>SUMIF(HKM!A:A,"086*",HKM!L:L)-SUMIF(HKM!A:A,"086*",HKM!K:K)</f>
        <v>0</v>
      </c>
      <c r="G42" s="168">
        <f>SUMIF(HKM!A:A,"089*",HKM!L:L)-SUMIF(HKM!A:A,"089*",HKM!K:K)</f>
        <v>0</v>
      </c>
      <c r="H42" s="135"/>
      <c r="I42" s="135"/>
      <c r="J42" s="189">
        <f>J38+J39-J40</f>
        <v>0</v>
      </c>
      <c r="L42" s="154"/>
    </row>
    <row r="43" spans="1:14" ht="15" customHeight="1" thickTop="1" thickBot="1" x14ac:dyDescent="0.3">
      <c r="A43" s="183" t="s">
        <v>24</v>
      </c>
      <c r="B43" s="173"/>
      <c r="C43" s="173"/>
      <c r="D43" s="173"/>
      <c r="E43" s="173"/>
      <c r="F43" s="173"/>
      <c r="G43" s="173"/>
      <c r="H43" s="173"/>
      <c r="I43" s="173"/>
      <c r="J43" s="184"/>
    </row>
    <row r="44" spans="1:14" ht="24" thickTop="1" thickBot="1" x14ac:dyDescent="0.3">
      <c r="A44" s="185" t="s">
        <v>23</v>
      </c>
      <c r="B44" s="132"/>
      <c r="C44" s="168"/>
      <c r="D44" s="168"/>
      <c r="E44" s="168"/>
      <c r="F44" s="168"/>
      <c r="G44" s="168"/>
      <c r="H44" s="168">
        <f>SUMIF(HKM!A:A,"094*",HKM!D:D)-SUMIF(HKM!A:A,"094*",HKM!C:C)</f>
        <v>0</v>
      </c>
      <c r="I44" s="168"/>
      <c r="J44" s="186">
        <f>SUM(B44:I44)</f>
        <v>0</v>
      </c>
      <c r="L44" s="154"/>
      <c r="M44" s="167"/>
      <c r="N44" s="161"/>
    </row>
    <row r="45" spans="1:14" ht="15" customHeight="1" thickBot="1" x14ac:dyDescent="0.3">
      <c r="A45" s="187" t="s">
        <v>18</v>
      </c>
      <c r="B45" s="132"/>
      <c r="C45" s="132"/>
      <c r="D45" s="132"/>
      <c r="E45" s="132"/>
      <c r="F45" s="132"/>
      <c r="G45" s="132"/>
      <c r="H45" s="132"/>
      <c r="I45" s="132"/>
      <c r="J45" s="186">
        <f t="shared" ref="J45:J46" si="7">SUM(B45:I45)</f>
        <v>0</v>
      </c>
      <c r="N45" s="161"/>
    </row>
    <row r="46" spans="1:14" ht="15" customHeight="1" thickBot="1" x14ac:dyDescent="0.3">
      <c r="A46" s="187" t="s">
        <v>19</v>
      </c>
      <c r="B46" s="132"/>
      <c r="C46" s="132"/>
      <c r="D46" s="132"/>
      <c r="E46" s="132"/>
      <c r="F46" s="132"/>
      <c r="G46" s="132"/>
      <c r="H46" s="132"/>
      <c r="I46" s="132"/>
      <c r="J46" s="186">
        <f t="shared" si="7"/>
        <v>0</v>
      </c>
      <c r="N46" s="161"/>
    </row>
    <row r="47" spans="1:14" ht="15" customHeight="1" thickBot="1" x14ac:dyDescent="0.3">
      <c r="A47" s="266" t="s">
        <v>20</v>
      </c>
      <c r="B47" s="133"/>
      <c r="C47" s="133"/>
      <c r="D47" s="133"/>
      <c r="E47" s="133"/>
      <c r="F47" s="133"/>
      <c r="G47" s="133"/>
      <c r="H47" s="133"/>
      <c r="I47" s="133"/>
      <c r="J47" s="133"/>
      <c r="N47" s="161"/>
    </row>
    <row r="48" spans="1:14" ht="15.75" thickBot="1" x14ac:dyDescent="0.3">
      <c r="A48" s="188" t="s">
        <v>21</v>
      </c>
      <c r="B48" s="135"/>
      <c r="C48" s="168"/>
      <c r="D48" s="168"/>
      <c r="E48" s="168"/>
      <c r="F48" s="168"/>
      <c r="G48" s="168"/>
      <c r="H48" s="168">
        <f>SUMIF(HKM!A:A,"094*",HKM!L:L)-SUMIF(HKM!A:A,"094*",HKM!K:K)</f>
        <v>0</v>
      </c>
      <c r="I48" s="168">
        <f>SUMIF(SUAM!C:C,"019",SUAM!E:E)</f>
        <v>0</v>
      </c>
      <c r="J48" s="189">
        <f>J44+J45-J46</f>
        <v>0</v>
      </c>
      <c r="L48" s="154"/>
      <c r="N48" s="161"/>
    </row>
    <row r="49" spans="1:10" ht="15" customHeight="1" thickTop="1" thickBot="1" x14ac:dyDescent="0.3">
      <c r="A49" s="183" t="s">
        <v>25</v>
      </c>
      <c r="B49" s="173"/>
      <c r="C49" s="173"/>
      <c r="D49" s="173"/>
      <c r="E49" s="173"/>
      <c r="F49" s="173"/>
      <c r="G49" s="173"/>
      <c r="H49" s="173"/>
      <c r="I49" s="173"/>
      <c r="J49" s="184"/>
    </row>
    <row r="50" spans="1:10" ht="15" customHeight="1" thickTop="1" thickBot="1" x14ac:dyDescent="0.3">
      <c r="A50" s="185" t="s">
        <v>23</v>
      </c>
      <c r="B50" s="132">
        <f>B32-B38-B44</f>
        <v>0</v>
      </c>
      <c r="C50" s="132">
        <f t="shared" ref="C50:J50" si="8">C32-C38-C44</f>
        <v>0</v>
      </c>
      <c r="D50" s="132">
        <f t="shared" si="8"/>
        <v>0</v>
      </c>
      <c r="E50" s="132">
        <f t="shared" si="8"/>
        <v>0</v>
      </c>
      <c r="F50" s="132">
        <f t="shared" si="8"/>
        <v>0</v>
      </c>
      <c r="G50" s="132">
        <f t="shared" si="8"/>
        <v>0</v>
      </c>
      <c r="H50" s="132">
        <f t="shared" si="8"/>
        <v>0</v>
      </c>
      <c r="I50" s="132">
        <f t="shared" si="8"/>
        <v>0</v>
      </c>
      <c r="J50" s="186">
        <f t="shared" si="8"/>
        <v>0</v>
      </c>
    </row>
    <row r="51" spans="1:10" ht="15" customHeight="1" thickBot="1" x14ac:dyDescent="0.3">
      <c r="A51" s="188" t="s">
        <v>21</v>
      </c>
      <c r="B51" s="135">
        <f>B36-B42-B48</f>
        <v>0</v>
      </c>
      <c r="C51" s="135">
        <f t="shared" ref="C51:J51" si="9">C36-C42-C48</f>
        <v>0</v>
      </c>
      <c r="D51" s="135">
        <f t="shared" si="9"/>
        <v>0</v>
      </c>
      <c r="E51" s="135">
        <f t="shared" si="9"/>
        <v>0</v>
      </c>
      <c r="F51" s="135">
        <f t="shared" si="9"/>
        <v>0</v>
      </c>
      <c r="G51" s="135">
        <f t="shared" si="9"/>
        <v>0</v>
      </c>
      <c r="H51" s="135">
        <f t="shared" si="9"/>
        <v>0</v>
      </c>
      <c r="I51" s="135">
        <f t="shared" si="9"/>
        <v>0</v>
      </c>
      <c r="J51" s="189">
        <f t="shared" si="9"/>
        <v>0</v>
      </c>
    </row>
    <row r="52" spans="1:10" ht="15.75" thickTop="1" x14ac:dyDescent="0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0" x14ac:dyDescent="0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workbookViewId="0">
      <selection activeCell="C19" sqref="C19"/>
    </sheetView>
  </sheetViews>
  <sheetFormatPr defaultColWidth="9.140625" defaultRowHeight="15" x14ac:dyDescent="0.25"/>
  <cols>
    <col min="1" max="1" width="9.140625" style="144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3.25" x14ac:dyDescent="0.25">
      <c r="B2" s="306" t="s">
        <v>918</v>
      </c>
      <c r="C2" s="143" t="s">
        <v>919</v>
      </c>
      <c r="D2" s="145">
        <v>101262.11</v>
      </c>
      <c r="E2" s="145">
        <v>67903.64</v>
      </c>
      <c r="F2" s="145">
        <v>101262</v>
      </c>
      <c r="G2" s="145">
        <v>67903</v>
      </c>
    </row>
    <row r="3" spans="1:7" x14ac:dyDescent="0.25">
      <c r="A3" s="144" t="s">
        <v>612</v>
      </c>
      <c r="B3" s="144" t="s">
        <v>920</v>
      </c>
      <c r="C3" s="143" t="s">
        <v>921</v>
      </c>
      <c r="D3" s="142">
        <v>-35553.11</v>
      </c>
      <c r="E3" s="142">
        <v>-29338.91</v>
      </c>
      <c r="F3" s="142">
        <v>-35553</v>
      </c>
      <c r="G3" s="142">
        <v>-29339</v>
      </c>
    </row>
    <row r="4" spans="1:7" x14ac:dyDescent="0.25">
      <c r="A4" s="144" t="s">
        <v>752</v>
      </c>
      <c r="B4" s="144" t="s">
        <v>922</v>
      </c>
      <c r="C4" s="143" t="s">
        <v>923</v>
      </c>
      <c r="D4" s="145">
        <v>0</v>
      </c>
      <c r="E4" s="145">
        <v>0</v>
      </c>
      <c r="F4" s="145">
        <v>0</v>
      </c>
      <c r="G4" s="145">
        <v>0</v>
      </c>
    </row>
    <row r="5" spans="1:7" x14ac:dyDescent="0.25">
      <c r="A5" s="144" t="s">
        <v>924</v>
      </c>
      <c r="B5" s="144" t="s">
        <v>925</v>
      </c>
      <c r="C5" s="143" t="s">
        <v>926</v>
      </c>
      <c r="D5" s="145">
        <v>0</v>
      </c>
      <c r="E5" s="145">
        <v>0</v>
      </c>
      <c r="F5" s="145">
        <v>0</v>
      </c>
      <c r="G5" s="145">
        <v>0</v>
      </c>
    </row>
    <row r="6" spans="1:7" x14ac:dyDescent="0.25">
      <c r="A6" s="144">
        <v>2</v>
      </c>
      <c r="B6" s="144" t="s">
        <v>927</v>
      </c>
      <c r="C6" s="143" t="s">
        <v>928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25">
      <c r="A7" s="144">
        <v>3</v>
      </c>
      <c r="B7" s="144" t="s">
        <v>929</v>
      </c>
      <c r="C7" s="143" t="s">
        <v>930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770</v>
      </c>
      <c r="B8" s="144" t="s">
        <v>931</v>
      </c>
      <c r="C8" s="143" t="s">
        <v>932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933</v>
      </c>
      <c r="B9" s="144" t="s">
        <v>934</v>
      </c>
      <c r="C9" s="143" t="s">
        <v>935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936</v>
      </c>
      <c r="B10" s="144" t="s">
        <v>937</v>
      </c>
      <c r="C10" s="143" t="s">
        <v>938</v>
      </c>
      <c r="D10" s="145">
        <v>0</v>
      </c>
      <c r="E10" s="145">
        <v>0</v>
      </c>
      <c r="F10" s="145">
        <v>0</v>
      </c>
      <c r="G10" s="145">
        <v>0</v>
      </c>
    </row>
    <row r="11" spans="1:7" x14ac:dyDescent="0.25">
      <c r="A11" s="144" t="s">
        <v>939</v>
      </c>
      <c r="B11" s="144" t="s">
        <v>940</v>
      </c>
      <c r="C11" s="143" t="s">
        <v>941</v>
      </c>
      <c r="D11" s="145">
        <v>0</v>
      </c>
      <c r="E11" s="145">
        <v>0</v>
      </c>
      <c r="F11" s="145">
        <v>0</v>
      </c>
      <c r="G11" s="145">
        <v>0</v>
      </c>
    </row>
    <row r="12" spans="1:7" x14ac:dyDescent="0.25">
      <c r="A12" s="144">
        <v>2</v>
      </c>
      <c r="B12" s="144" t="s">
        <v>942</v>
      </c>
      <c r="C12" s="143" t="s">
        <v>943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 t="s">
        <v>944</v>
      </c>
      <c r="B13" s="144" t="s">
        <v>945</v>
      </c>
      <c r="C13" s="143" t="s">
        <v>946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25">
      <c r="A14" s="144" t="s">
        <v>947</v>
      </c>
      <c r="B14" s="144" t="s">
        <v>948</v>
      </c>
      <c r="C14" s="143" t="s">
        <v>949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>
        <v>2</v>
      </c>
      <c r="B15" s="144" t="s">
        <v>950</v>
      </c>
      <c r="C15" s="143" t="s">
        <v>951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25">
      <c r="A16" s="144" t="s">
        <v>952</v>
      </c>
      <c r="B16" s="144" t="s">
        <v>953</v>
      </c>
      <c r="C16" s="143" t="s">
        <v>954</v>
      </c>
      <c r="D16" s="145">
        <v>0</v>
      </c>
      <c r="E16" s="145">
        <v>0</v>
      </c>
      <c r="F16" s="145">
        <v>0</v>
      </c>
      <c r="G16" s="145">
        <v>0</v>
      </c>
    </row>
    <row r="17" spans="1:7" x14ac:dyDescent="0.25">
      <c r="A17" s="144" t="s">
        <v>955</v>
      </c>
      <c r="B17" s="144" t="s">
        <v>956</v>
      </c>
      <c r="C17" s="143" t="s">
        <v>957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25">
      <c r="A18" s="144">
        <v>2</v>
      </c>
      <c r="B18" s="144" t="s">
        <v>958</v>
      </c>
      <c r="C18" s="143" t="s">
        <v>959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25">
      <c r="A19" s="144">
        <v>3</v>
      </c>
      <c r="B19" s="144" t="s">
        <v>960</v>
      </c>
      <c r="C19" s="143" t="s">
        <v>961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144" t="s">
        <v>962</v>
      </c>
      <c r="B20" s="144" t="s">
        <v>963</v>
      </c>
      <c r="C20" s="143" t="s">
        <v>964</v>
      </c>
      <c r="D20" s="145">
        <v>-29338.91</v>
      </c>
      <c r="E20" s="145">
        <v>-5714.39</v>
      </c>
      <c r="F20" s="145">
        <v>-29339</v>
      </c>
      <c r="G20" s="145">
        <v>-5714</v>
      </c>
    </row>
    <row r="21" spans="1:7" x14ac:dyDescent="0.25">
      <c r="A21" s="144" t="s">
        <v>965</v>
      </c>
      <c r="B21" s="144" t="s">
        <v>966</v>
      </c>
      <c r="C21" s="143" t="s">
        <v>967</v>
      </c>
      <c r="D21" s="145">
        <v>0</v>
      </c>
      <c r="E21" s="145">
        <v>0</v>
      </c>
      <c r="F21" s="145">
        <v>0</v>
      </c>
      <c r="G21" s="145">
        <v>0</v>
      </c>
    </row>
    <row r="22" spans="1:7" x14ac:dyDescent="0.25">
      <c r="A22" s="144">
        <v>2</v>
      </c>
      <c r="B22" s="144" t="s">
        <v>968</v>
      </c>
      <c r="C22" s="143" t="s">
        <v>969</v>
      </c>
      <c r="D22" s="145">
        <v>-29338.91</v>
      </c>
      <c r="E22" s="145">
        <v>-5714.39</v>
      </c>
      <c r="F22" s="145">
        <v>-29339</v>
      </c>
      <c r="G22" s="145">
        <v>-5714</v>
      </c>
    </row>
    <row r="23" spans="1:7" x14ac:dyDescent="0.25">
      <c r="A23" s="144" t="s">
        <v>970</v>
      </c>
      <c r="B23" s="144" t="s">
        <v>971</v>
      </c>
      <c r="C23" s="143" t="s">
        <v>972</v>
      </c>
      <c r="D23" s="145">
        <v>-6214.2</v>
      </c>
      <c r="E23" s="145">
        <v>-23624.52</v>
      </c>
      <c r="F23" s="145">
        <v>-6214</v>
      </c>
      <c r="G23" s="145">
        <v>-23625</v>
      </c>
    </row>
    <row r="24" spans="1:7" x14ac:dyDescent="0.25">
      <c r="A24" s="144" t="s">
        <v>615</v>
      </c>
      <c r="B24" s="144" t="s">
        <v>973</v>
      </c>
      <c r="C24" s="143" t="s">
        <v>974</v>
      </c>
      <c r="D24" s="145">
        <v>136815.22</v>
      </c>
      <c r="E24" s="145">
        <v>97242.55</v>
      </c>
      <c r="F24" s="145">
        <v>136815</v>
      </c>
      <c r="G24" s="145">
        <v>97242</v>
      </c>
    </row>
    <row r="25" spans="1:7" x14ac:dyDescent="0.25">
      <c r="A25" s="144" t="s">
        <v>820</v>
      </c>
      <c r="B25" s="144" t="s">
        <v>975</v>
      </c>
      <c r="C25" s="143" t="s">
        <v>976</v>
      </c>
      <c r="D25" s="145">
        <v>9325.74</v>
      </c>
      <c r="E25" s="145">
        <v>0</v>
      </c>
      <c r="F25" s="145">
        <v>9326</v>
      </c>
      <c r="G25" s="145">
        <v>0</v>
      </c>
    </row>
    <row r="26" spans="1:7" x14ac:dyDescent="0.25">
      <c r="A26" s="144" t="s">
        <v>823</v>
      </c>
      <c r="B26" s="144" t="s">
        <v>977</v>
      </c>
      <c r="C26" s="143" t="s">
        <v>978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 t="s">
        <v>842</v>
      </c>
      <c r="B27" s="144" t="s">
        <v>979</v>
      </c>
      <c r="C27" s="143" t="s">
        <v>980</v>
      </c>
      <c r="D27" s="145">
        <v>0</v>
      </c>
      <c r="E27" s="145">
        <v>0</v>
      </c>
      <c r="F27" s="145">
        <v>0</v>
      </c>
      <c r="G27" s="145">
        <v>0</v>
      </c>
    </row>
    <row r="28" spans="1:7" x14ac:dyDescent="0.25">
      <c r="A28" s="144" t="s">
        <v>845</v>
      </c>
      <c r="B28" s="144" t="s">
        <v>981</v>
      </c>
      <c r="C28" s="143" t="s">
        <v>982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25">
      <c r="A29" s="144" t="s">
        <v>848</v>
      </c>
      <c r="B29" s="144" t="s">
        <v>983</v>
      </c>
      <c r="C29" s="143" t="s">
        <v>984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25">
      <c r="A30" s="144">
        <v>2</v>
      </c>
      <c r="B30" s="144" t="s">
        <v>851</v>
      </c>
      <c r="C30" s="143" t="s">
        <v>985</v>
      </c>
      <c r="D30" s="145">
        <v>0</v>
      </c>
      <c r="E30" s="145">
        <v>0</v>
      </c>
      <c r="F30" s="145">
        <v>0</v>
      </c>
      <c r="G30" s="145">
        <v>0</v>
      </c>
    </row>
    <row r="31" spans="1:7" x14ac:dyDescent="0.25">
      <c r="A31" s="144">
        <v>3</v>
      </c>
      <c r="B31" s="144" t="s">
        <v>986</v>
      </c>
      <c r="C31" s="143" t="s">
        <v>987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>
        <v>4</v>
      </c>
      <c r="B32" s="144" t="s">
        <v>988</v>
      </c>
      <c r="C32" s="143" t="s">
        <v>989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>
        <v>5</v>
      </c>
      <c r="B33" s="144" t="s">
        <v>990</v>
      </c>
      <c r="C33" s="143" t="s">
        <v>991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6</v>
      </c>
      <c r="B34" s="144" t="s">
        <v>992</v>
      </c>
      <c r="C34" s="143" t="s">
        <v>993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7</v>
      </c>
      <c r="B35" s="144" t="s">
        <v>994</v>
      </c>
      <c r="C35" s="143" t="s">
        <v>995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>
        <v>8</v>
      </c>
      <c r="B36" s="144" t="s">
        <v>996</v>
      </c>
      <c r="C36" s="143" t="s">
        <v>997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>
        <v>9</v>
      </c>
      <c r="B37" s="144" t="s">
        <v>998</v>
      </c>
      <c r="C37" s="143" t="s">
        <v>999</v>
      </c>
      <c r="D37" s="145">
        <v>0</v>
      </c>
      <c r="E37" s="145">
        <v>0</v>
      </c>
      <c r="F37" s="145">
        <v>0</v>
      </c>
      <c r="G37" s="145">
        <v>0</v>
      </c>
    </row>
    <row r="38" spans="1:7" x14ac:dyDescent="0.25">
      <c r="A38" s="144">
        <v>10</v>
      </c>
      <c r="B38" s="144" t="s">
        <v>1000</v>
      </c>
      <c r="C38" s="143" t="s">
        <v>1001</v>
      </c>
      <c r="D38" s="145">
        <v>9325.74</v>
      </c>
      <c r="E38" s="145">
        <v>0</v>
      </c>
      <c r="F38" s="145">
        <v>9326</v>
      </c>
      <c r="G38" s="145">
        <v>0</v>
      </c>
    </row>
    <row r="39" spans="1:7" x14ac:dyDescent="0.25">
      <c r="A39" s="144">
        <v>11</v>
      </c>
      <c r="B39" s="144" t="s">
        <v>1002</v>
      </c>
      <c r="C39" s="143" t="s">
        <v>1003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>
        <v>12</v>
      </c>
      <c r="B40" s="144" t="s">
        <v>1004</v>
      </c>
      <c r="C40" s="143" t="s">
        <v>1005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 t="s">
        <v>1006</v>
      </c>
      <c r="B41" s="144" t="s">
        <v>1007</v>
      </c>
      <c r="C41" s="143" t="s">
        <v>1008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 t="s">
        <v>1009</v>
      </c>
      <c r="B42" s="144" t="s">
        <v>1010</v>
      </c>
      <c r="C42" s="143" t="s">
        <v>1011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25">
      <c r="A43" s="144">
        <v>2</v>
      </c>
      <c r="B43" s="144" t="s">
        <v>1012</v>
      </c>
      <c r="C43" s="143" t="s">
        <v>1013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1014</v>
      </c>
      <c r="B44" s="144" t="s">
        <v>1015</v>
      </c>
      <c r="C44" s="143" t="s">
        <v>1016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1017</v>
      </c>
      <c r="B45" s="144" t="s">
        <v>1018</v>
      </c>
      <c r="C45" s="143" t="s">
        <v>1019</v>
      </c>
      <c r="D45" s="145">
        <v>127489.48</v>
      </c>
      <c r="E45" s="145">
        <v>97242.55</v>
      </c>
      <c r="F45" s="145">
        <v>127489</v>
      </c>
      <c r="G45" s="145">
        <v>97242</v>
      </c>
    </row>
    <row r="46" spans="1:7" x14ac:dyDescent="0.25">
      <c r="A46" s="144" t="s">
        <v>1020</v>
      </c>
      <c r="B46" s="144" t="s">
        <v>1021</v>
      </c>
      <c r="C46" s="143" t="s">
        <v>1022</v>
      </c>
      <c r="D46" s="145">
        <v>88703.73</v>
      </c>
      <c r="E46" s="145">
        <v>61983.17</v>
      </c>
      <c r="F46" s="145">
        <v>88703</v>
      </c>
      <c r="G46" s="145">
        <v>61983</v>
      </c>
    </row>
    <row r="47" spans="1:7" x14ac:dyDescent="0.25">
      <c r="A47" s="144" t="s">
        <v>842</v>
      </c>
      <c r="B47" s="144" t="s">
        <v>1023</v>
      </c>
      <c r="C47" s="143" t="s">
        <v>1024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845</v>
      </c>
      <c r="B48" s="144" t="s">
        <v>1025</v>
      </c>
      <c r="C48" s="143" t="s">
        <v>1026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848</v>
      </c>
      <c r="B49" s="144" t="s">
        <v>1027</v>
      </c>
      <c r="C49" s="143" t="s">
        <v>1028</v>
      </c>
      <c r="D49" s="145">
        <v>88703.73</v>
      </c>
      <c r="E49" s="145">
        <v>61983.17</v>
      </c>
      <c r="F49" s="145">
        <v>88703</v>
      </c>
      <c r="G49" s="145">
        <v>61983</v>
      </c>
    </row>
    <row r="50" spans="1:7" x14ac:dyDescent="0.25">
      <c r="A50" s="144">
        <v>2</v>
      </c>
      <c r="B50" s="144" t="s">
        <v>851</v>
      </c>
      <c r="C50" s="143" t="s">
        <v>1029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25">
      <c r="A51" s="144">
        <v>3</v>
      </c>
      <c r="B51" s="144" t="s">
        <v>1030</v>
      </c>
      <c r="C51" s="143" t="s">
        <v>1031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4</v>
      </c>
      <c r="B52" s="144" t="s">
        <v>1032</v>
      </c>
      <c r="C52" s="143" t="s">
        <v>1033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25">
      <c r="A53" s="144">
        <v>5</v>
      </c>
      <c r="B53" s="144" t="s">
        <v>1034</v>
      </c>
      <c r="C53" s="143" t="s">
        <v>1035</v>
      </c>
      <c r="D53" s="145">
        <v>12500</v>
      </c>
      <c r="E53" s="145">
        <v>12500</v>
      </c>
      <c r="F53" s="145">
        <v>12500</v>
      </c>
      <c r="G53" s="145">
        <v>12500</v>
      </c>
    </row>
    <row r="54" spans="1:7" x14ac:dyDescent="0.25">
      <c r="A54" s="144">
        <v>6</v>
      </c>
      <c r="B54" s="144" t="s">
        <v>1036</v>
      </c>
      <c r="C54" s="143" t="s">
        <v>538</v>
      </c>
      <c r="D54" s="145">
        <v>0</v>
      </c>
      <c r="E54" s="145">
        <v>0</v>
      </c>
      <c r="F54" s="145">
        <v>0</v>
      </c>
      <c r="G54" s="145">
        <v>0</v>
      </c>
    </row>
    <row r="55" spans="1:7" x14ac:dyDescent="0.25">
      <c r="A55" s="144">
        <v>7</v>
      </c>
      <c r="B55" s="144" t="s">
        <v>1037</v>
      </c>
      <c r="C55" s="143" t="s">
        <v>539</v>
      </c>
      <c r="D55" s="145">
        <v>0</v>
      </c>
      <c r="E55" s="145">
        <v>0</v>
      </c>
      <c r="F55" s="145">
        <v>0</v>
      </c>
      <c r="G55" s="145">
        <v>0</v>
      </c>
    </row>
    <row r="56" spans="1:7" x14ac:dyDescent="0.25">
      <c r="A56" s="144">
        <v>8</v>
      </c>
      <c r="B56" s="144" t="s">
        <v>1038</v>
      </c>
      <c r="C56" s="143" t="s">
        <v>1039</v>
      </c>
      <c r="D56" s="145">
        <v>2486.75</v>
      </c>
      <c r="E56" s="145">
        <v>3005.4</v>
      </c>
      <c r="F56" s="145">
        <v>2487</v>
      </c>
      <c r="G56" s="145">
        <v>3005</v>
      </c>
    </row>
    <row r="57" spans="1:7" x14ac:dyDescent="0.25">
      <c r="A57" s="144">
        <v>9</v>
      </c>
      <c r="B57" s="144" t="s">
        <v>1040</v>
      </c>
      <c r="C57" s="143" t="s">
        <v>1041</v>
      </c>
      <c r="D57" s="145">
        <v>0</v>
      </c>
      <c r="E57" s="145">
        <v>0</v>
      </c>
      <c r="F57" s="145">
        <v>0</v>
      </c>
      <c r="G57" s="145">
        <v>0</v>
      </c>
    </row>
    <row r="58" spans="1:7" x14ac:dyDescent="0.25">
      <c r="A58" s="144">
        <v>10</v>
      </c>
      <c r="B58" s="144" t="s">
        <v>1042</v>
      </c>
      <c r="C58" s="143" t="s">
        <v>1043</v>
      </c>
      <c r="D58" s="145">
        <v>23799</v>
      </c>
      <c r="E58" s="145">
        <v>19753.98</v>
      </c>
      <c r="F58" s="145">
        <v>23799</v>
      </c>
      <c r="G58" s="145">
        <v>19754</v>
      </c>
    </row>
    <row r="59" spans="1:7" x14ac:dyDescent="0.25">
      <c r="A59" s="144" t="s">
        <v>899</v>
      </c>
      <c r="B59" s="144" t="s">
        <v>1044</v>
      </c>
      <c r="C59" s="143" t="s">
        <v>1045</v>
      </c>
      <c r="D59" s="145">
        <v>0</v>
      </c>
      <c r="E59" s="145">
        <v>0</v>
      </c>
      <c r="F59" s="145">
        <v>0</v>
      </c>
      <c r="G59" s="145">
        <v>0</v>
      </c>
    </row>
    <row r="60" spans="1:7" x14ac:dyDescent="0.25">
      <c r="A60" s="144" t="s">
        <v>902</v>
      </c>
      <c r="B60" s="144" t="s">
        <v>1046</v>
      </c>
      <c r="C60" s="143" t="s">
        <v>1047</v>
      </c>
      <c r="D60" s="145">
        <v>0</v>
      </c>
      <c r="E60" s="145">
        <v>0</v>
      </c>
      <c r="F60" s="145">
        <v>0</v>
      </c>
      <c r="G60" s="145">
        <v>0</v>
      </c>
    </row>
    <row r="61" spans="1:7" x14ac:dyDescent="0.25">
      <c r="A61" s="144">
        <v>2</v>
      </c>
      <c r="B61" s="144" t="s">
        <v>1048</v>
      </c>
      <c r="C61" s="143" t="s">
        <v>1049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1050</v>
      </c>
      <c r="B62" s="144" t="s">
        <v>1051</v>
      </c>
      <c r="C62" s="143" t="s">
        <v>1052</v>
      </c>
      <c r="D62" s="145">
        <v>0</v>
      </c>
      <c r="E62" s="145">
        <v>0</v>
      </c>
      <c r="F62" s="145">
        <v>0</v>
      </c>
      <c r="G62" s="145">
        <v>0</v>
      </c>
    </row>
    <row r="63" spans="1:7" x14ac:dyDescent="0.25">
      <c r="A63" s="144" t="s">
        <v>1053</v>
      </c>
      <c r="B63" s="144" t="s">
        <v>1054</v>
      </c>
      <c r="C63" s="143" t="s">
        <v>1055</v>
      </c>
      <c r="D63" s="145">
        <v>0</v>
      </c>
      <c r="E63" s="145">
        <v>0</v>
      </c>
      <c r="F63" s="145">
        <v>0</v>
      </c>
      <c r="G63" s="145">
        <v>0</v>
      </c>
    </row>
    <row r="64" spans="1:7" x14ac:dyDescent="0.25">
      <c r="A64" s="144" t="s">
        <v>618</v>
      </c>
      <c r="B64" s="144" t="s">
        <v>1056</v>
      </c>
      <c r="C64" s="143" t="s">
        <v>1057</v>
      </c>
      <c r="D64" s="145">
        <v>0</v>
      </c>
      <c r="E64" s="145">
        <v>0</v>
      </c>
      <c r="F64" s="145">
        <v>0</v>
      </c>
      <c r="G64" s="145">
        <v>0</v>
      </c>
    </row>
    <row r="65" spans="1:7" x14ac:dyDescent="0.25">
      <c r="A65" s="144" t="s">
        <v>909</v>
      </c>
      <c r="B65" s="144" t="s">
        <v>1058</v>
      </c>
      <c r="C65" s="143" t="s">
        <v>1059</v>
      </c>
      <c r="D65" s="145">
        <v>0</v>
      </c>
      <c r="E65" s="145">
        <v>0</v>
      </c>
      <c r="F65" s="145">
        <v>0</v>
      </c>
      <c r="G65" s="145">
        <v>0</v>
      </c>
    </row>
    <row r="66" spans="1:7" x14ac:dyDescent="0.25">
      <c r="A66" s="144">
        <v>2</v>
      </c>
      <c r="B66" s="144" t="s">
        <v>1060</v>
      </c>
      <c r="C66" s="143" t="s">
        <v>1061</v>
      </c>
      <c r="D66" s="145">
        <v>0</v>
      </c>
      <c r="E66" s="145">
        <v>0</v>
      </c>
      <c r="F66" s="145">
        <v>0</v>
      </c>
      <c r="G66" s="145">
        <v>0</v>
      </c>
    </row>
    <row r="67" spans="1:7" x14ac:dyDescent="0.25">
      <c r="A67" s="144">
        <v>3</v>
      </c>
      <c r="B67" s="144" t="s">
        <v>1062</v>
      </c>
      <c r="C67" s="143" t="s">
        <v>1063</v>
      </c>
      <c r="D67" s="145">
        <v>0</v>
      </c>
      <c r="E67" s="145">
        <v>0</v>
      </c>
      <c r="F67" s="145">
        <v>0</v>
      </c>
      <c r="G67" s="145">
        <v>0</v>
      </c>
    </row>
    <row r="68" spans="1:7" x14ac:dyDescent="0.25">
      <c r="A68" s="144">
        <v>4</v>
      </c>
      <c r="B68" s="144" t="s">
        <v>1064</v>
      </c>
      <c r="C68" s="143" t="s">
        <v>1065</v>
      </c>
      <c r="D68" s="145">
        <v>0</v>
      </c>
      <c r="E68" s="145">
        <v>0</v>
      </c>
      <c r="F68" s="145">
        <v>0</v>
      </c>
      <c r="G68" s="145">
        <v>0</v>
      </c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G20" sqref="G20"/>
    </sheetView>
  </sheetViews>
  <sheetFormatPr defaultColWidth="9.140625" defaultRowHeight="15" x14ac:dyDescent="0.25"/>
  <cols>
    <col min="1" max="1" width="8.28515625" style="144" bestFit="1" customWidth="1"/>
    <col min="2" max="2" width="63.5703125" style="144" bestFit="1" customWidth="1"/>
    <col min="3" max="3" width="4.42578125" style="143" bestFit="1" customWidth="1"/>
    <col min="4" max="11" width="15.28515625" style="145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25">
      <c r="B2" s="144" t="s">
        <v>748</v>
      </c>
      <c r="C2" s="143" t="s">
        <v>749</v>
      </c>
      <c r="D2" s="145">
        <v>67980.62</v>
      </c>
      <c r="E2" s="145">
        <v>76.98</v>
      </c>
      <c r="F2" s="145">
        <v>67903.64</v>
      </c>
      <c r="G2" s="145">
        <v>42778.93</v>
      </c>
      <c r="H2" s="145">
        <v>67980</v>
      </c>
      <c r="I2" s="145">
        <v>77</v>
      </c>
      <c r="J2" s="145">
        <v>67903</v>
      </c>
      <c r="K2" s="145">
        <v>42779</v>
      </c>
    </row>
    <row r="3" spans="1:11" x14ac:dyDescent="0.25">
      <c r="A3" s="144" t="s">
        <v>612</v>
      </c>
      <c r="B3" s="144" t="s">
        <v>750</v>
      </c>
      <c r="C3" s="143" t="s">
        <v>751</v>
      </c>
      <c r="D3" s="142">
        <v>0</v>
      </c>
      <c r="E3" s="142">
        <v>0</v>
      </c>
      <c r="F3" s="142">
        <v>0</v>
      </c>
      <c r="G3" s="142">
        <v>0</v>
      </c>
      <c r="H3" s="142">
        <v>0</v>
      </c>
      <c r="I3" s="142">
        <v>0</v>
      </c>
      <c r="J3" s="142">
        <v>0</v>
      </c>
      <c r="K3" s="142">
        <v>0</v>
      </c>
    </row>
    <row r="4" spans="1:11" x14ac:dyDescent="0.25">
      <c r="A4" s="144" t="s">
        <v>752</v>
      </c>
      <c r="B4" s="144" t="s">
        <v>753</v>
      </c>
      <c r="C4" s="143" t="s">
        <v>754</v>
      </c>
      <c r="D4" s="145">
        <v>0</v>
      </c>
      <c r="E4" s="145">
        <v>0</v>
      </c>
      <c r="F4" s="145">
        <v>0</v>
      </c>
      <c r="G4" s="145">
        <v>0</v>
      </c>
      <c r="H4" s="145">
        <v>0</v>
      </c>
      <c r="I4" s="145">
        <v>0</v>
      </c>
      <c r="J4" s="145">
        <v>0</v>
      </c>
      <c r="K4" s="145">
        <v>0</v>
      </c>
    </row>
    <row r="5" spans="1:11" x14ac:dyDescent="0.25">
      <c r="A5" s="144" t="s">
        <v>755</v>
      </c>
      <c r="B5" s="144" t="s">
        <v>756</v>
      </c>
      <c r="C5" s="143" t="s">
        <v>757</v>
      </c>
      <c r="D5" s="145">
        <v>0</v>
      </c>
      <c r="E5" s="145">
        <v>0</v>
      </c>
      <c r="F5" s="145">
        <v>0</v>
      </c>
      <c r="G5" s="145">
        <v>0</v>
      </c>
      <c r="H5" s="145">
        <v>0</v>
      </c>
      <c r="I5" s="145">
        <v>0</v>
      </c>
      <c r="J5" s="145">
        <v>0</v>
      </c>
      <c r="K5" s="145">
        <v>0</v>
      </c>
    </row>
    <row r="6" spans="1:11" x14ac:dyDescent="0.25">
      <c r="A6" s="144">
        <v>2</v>
      </c>
      <c r="B6" s="144" t="s">
        <v>758</v>
      </c>
      <c r="C6" s="143" t="s">
        <v>759</v>
      </c>
      <c r="D6" s="145">
        <v>0</v>
      </c>
      <c r="E6" s="145">
        <v>0</v>
      </c>
      <c r="F6" s="145">
        <v>0</v>
      </c>
      <c r="G6" s="145">
        <v>0</v>
      </c>
      <c r="H6" s="145">
        <v>0</v>
      </c>
      <c r="I6" s="145">
        <v>0</v>
      </c>
      <c r="J6" s="145">
        <v>0</v>
      </c>
      <c r="K6" s="145">
        <v>0</v>
      </c>
    </row>
    <row r="7" spans="1:11" x14ac:dyDescent="0.25">
      <c r="A7" s="144">
        <v>3</v>
      </c>
      <c r="B7" s="144" t="s">
        <v>760</v>
      </c>
      <c r="C7" s="143" t="s">
        <v>761</v>
      </c>
      <c r="D7" s="145">
        <v>0</v>
      </c>
      <c r="E7" s="145">
        <v>0</v>
      </c>
      <c r="F7" s="145">
        <v>0</v>
      </c>
      <c r="G7" s="145">
        <v>0</v>
      </c>
      <c r="H7" s="145">
        <v>0</v>
      </c>
      <c r="I7" s="145">
        <v>0</v>
      </c>
      <c r="J7" s="145">
        <v>0</v>
      </c>
      <c r="K7" s="145">
        <v>0</v>
      </c>
    </row>
    <row r="8" spans="1:11" x14ac:dyDescent="0.25">
      <c r="A8" s="144">
        <v>4</v>
      </c>
      <c r="B8" s="144" t="s">
        <v>762</v>
      </c>
      <c r="C8" s="143" t="s">
        <v>763</v>
      </c>
      <c r="D8" s="145">
        <v>0</v>
      </c>
      <c r="E8" s="145">
        <v>0</v>
      </c>
      <c r="F8" s="145">
        <v>0</v>
      </c>
      <c r="G8" s="145">
        <v>0</v>
      </c>
      <c r="H8" s="145">
        <v>0</v>
      </c>
      <c r="I8" s="145">
        <v>0</v>
      </c>
      <c r="J8" s="145">
        <v>0</v>
      </c>
      <c r="K8" s="145">
        <v>0</v>
      </c>
    </row>
    <row r="9" spans="1:11" x14ac:dyDescent="0.25">
      <c r="A9" s="144">
        <v>5</v>
      </c>
      <c r="B9" s="144" t="s">
        <v>764</v>
      </c>
      <c r="C9" s="143" t="s">
        <v>765</v>
      </c>
      <c r="D9" s="145">
        <v>0</v>
      </c>
      <c r="E9" s="145">
        <v>0</v>
      </c>
      <c r="F9" s="145">
        <v>0</v>
      </c>
      <c r="G9" s="145">
        <v>0</v>
      </c>
      <c r="H9" s="145">
        <v>0</v>
      </c>
      <c r="I9" s="145">
        <v>0</v>
      </c>
      <c r="J9" s="145">
        <v>0</v>
      </c>
      <c r="K9" s="145">
        <v>0</v>
      </c>
    </row>
    <row r="10" spans="1:11" x14ac:dyDescent="0.25">
      <c r="A10" s="144">
        <v>6</v>
      </c>
      <c r="B10" s="144" t="s">
        <v>766</v>
      </c>
      <c r="C10" s="143" t="s">
        <v>767</v>
      </c>
      <c r="D10" s="145">
        <v>0</v>
      </c>
      <c r="E10" s="145">
        <v>0</v>
      </c>
      <c r="F10" s="145">
        <v>0</v>
      </c>
      <c r="G10" s="145">
        <v>0</v>
      </c>
      <c r="H10" s="145">
        <v>0</v>
      </c>
      <c r="I10" s="145">
        <v>0</v>
      </c>
      <c r="J10" s="145">
        <v>0</v>
      </c>
      <c r="K10" s="145">
        <v>0</v>
      </c>
    </row>
    <row r="11" spans="1:11" x14ac:dyDescent="0.25">
      <c r="A11" s="144">
        <v>7</v>
      </c>
      <c r="B11" s="144" t="s">
        <v>768</v>
      </c>
      <c r="C11" s="143" t="s">
        <v>769</v>
      </c>
      <c r="D11" s="145">
        <v>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</row>
    <row r="12" spans="1:11" x14ac:dyDescent="0.25">
      <c r="A12" s="144" t="s">
        <v>770</v>
      </c>
      <c r="B12" s="144" t="s">
        <v>771</v>
      </c>
      <c r="C12" s="143" t="s">
        <v>772</v>
      </c>
      <c r="D12" s="145">
        <v>0</v>
      </c>
      <c r="E12" s="145">
        <v>0</v>
      </c>
      <c r="F12" s="145">
        <v>0</v>
      </c>
      <c r="G12" s="145">
        <v>0</v>
      </c>
      <c r="H12" s="145">
        <v>0</v>
      </c>
      <c r="I12" s="145">
        <v>0</v>
      </c>
      <c r="J12" s="145">
        <v>0</v>
      </c>
      <c r="K12" s="145">
        <v>0</v>
      </c>
    </row>
    <row r="13" spans="1:11" x14ac:dyDescent="0.25">
      <c r="A13" s="144" t="s">
        <v>773</v>
      </c>
      <c r="B13" s="144" t="s">
        <v>774</v>
      </c>
      <c r="C13" s="143" t="s">
        <v>775</v>
      </c>
      <c r="D13" s="145">
        <v>0</v>
      </c>
      <c r="E13" s="145">
        <v>0</v>
      </c>
      <c r="F13" s="145">
        <v>0</v>
      </c>
      <c r="G13" s="145">
        <v>0</v>
      </c>
      <c r="H13" s="145">
        <v>0</v>
      </c>
      <c r="I13" s="145">
        <v>0</v>
      </c>
      <c r="J13" s="145">
        <v>0</v>
      </c>
      <c r="K13" s="145">
        <v>0</v>
      </c>
    </row>
    <row r="14" spans="1:11" x14ac:dyDescent="0.25">
      <c r="A14" s="144">
        <v>2</v>
      </c>
      <c r="B14" s="144" t="s">
        <v>776</v>
      </c>
      <c r="C14" s="143" t="s">
        <v>777</v>
      </c>
      <c r="D14" s="145">
        <v>0</v>
      </c>
      <c r="E14" s="145">
        <v>0</v>
      </c>
      <c r="F14" s="145">
        <v>0</v>
      </c>
      <c r="G14" s="145">
        <v>0</v>
      </c>
      <c r="H14" s="145">
        <v>0</v>
      </c>
      <c r="I14" s="145">
        <v>0</v>
      </c>
      <c r="J14" s="145">
        <v>0</v>
      </c>
      <c r="K14" s="145">
        <v>0</v>
      </c>
    </row>
    <row r="15" spans="1:11" x14ac:dyDescent="0.25">
      <c r="A15" s="144">
        <v>3</v>
      </c>
      <c r="B15" s="144" t="s">
        <v>778</v>
      </c>
      <c r="C15" s="143" t="s">
        <v>779</v>
      </c>
      <c r="D15" s="145">
        <v>0</v>
      </c>
      <c r="E15" s="145">
        <v>0</v>
      </c>
      <c r="F15" s="145">
        <v>0</v>
      </c>
      <c r="G15" s="145">
        <v>0</v>
      </c>
      <c r="H15" s="145">
        <v>0</v>
      </c>
      <c r="I15" s="145">
        <v>0</v>
      </c>
      <c r="J15" s="145">
        <v>0</v>
      </c>
      <c r="K15" s="145">
        <v>0</v>
      </c>
    </row>
    <row r="16" spans="1:11" x14ac:dyDescent="0.25">
      <c r="A16" s="144">
        <v>4</v>
      </c>
      <c r="B16" s="144" t="s">
        <v>780</v>
      </c>
      <c r="C16" s="143" t="s">
        <v>781</v>
      </c>
      <c r="D16" s="145">
        <v>0</v>
      </c>
      <c r="E16" s="145">
        <v>0</v>
      </c>
      <c r="F16" s="145">
        <v>0</v>
      </c>
      <c r="G16" s="145">
        <v>0</v>
      </c>
      <c r="H16" s="145">
        <v>0</v>
      </c>
      <c r="I16" s="145">
        <v>0</v>
      </c>
      <c r="J16" s="145">
        <v>0</v>
      </c>
      <c r="K16" s="145">
        <v>0</v>
      </c>
    </row>
    <row r="17" spans="1:11" x14ac:dyDescent="0.25">
      <c r="A17" s="144">
        <v>5</v>
      </c>
      <c r="B17" s="144" t="s">
        <v>782</v>
      </c>
      <c r="C17" s="143" t="s">
        <v>783</v>
      </c>
      <c r="D17" s="145">
        <v>0</v>
      </c>
      <c r="E17" s="145">
        <v>0</v>
      </c>
      <c r="F17" s="145">
        <v>0</v>
      </c>
      <c r="G17" s="145">
        <v>0</v>
      </c>
      <c r="H17" s="145">
        <v>0</v>
      </c>
      <c r="I17" s="145">
        <v>0</v>
      </c>
      <c r="J17" s="145">
        <v>0</v>
      </c>
      <c r="K17" s="145">
        <v>0</v>
      </c>
    </row>
    <row r="18" spans="1:11" x14ac:dyDescent="0.25">
      <c r="A18" s="144">
        <v>6</v>
      </c>
      <c r="B18" s="144" t="s">
        <v>784</v>
      </c>
      <c r="C18" s="143" t="s">
        <v>785</v>
      </c>
      <c r="D18" s="145">
        <v>0</v>
      </c>
      <c r="E18" s="145">
        <v>0</v>
      </c>
      <c r="F18" s="145">
        <v>0</v>
      </c>
      <c r="G18" s="145">
        <v>0</v>
      </c>
      <c r="H18" s="145">
        <v>0</v>
      </c>
      <c r="I18" s="145">
        <v>0</v>
      </c>
      <c r="J18" s="145">
        <v>0</v>
      </c>
      <c r="K18" s="145">
        <v>0</v>
      </c>
    </row>
    <row r="19" spans="1:11" x14ac:dyDescent="0.25">
      <c r="A19" s="144">
        <v>7</v>
      </c>
      <c r="B19" s="144" t="s">
        <v>786</v>
      </c>
      <c r="C19" s="143" t="s">
        <v>787</v>
      </c>
      <c r="D19" s="145">
        <v>0</v>
      </c>
      <c r="E19" s="145">
        <v>0</v>
      </c>
      <c r="F19" s="145">
        <v>0</v>
      </c>
      <c r="G19" s="145">
        <v>0</v>
      </c>
      <c r="H19" s="145">
        <v>0</v>
      </c>
      <c r="I19" s="145">
        <v>0</v>
      </c>
      <c r="J19" s="145">
        <v>0</v>
      </c>
      <c r="K19" s="145">
        <v>0</v>
      </c>
    </row>
    <row r="20" spans="1:11" x14ac:dyDescent="0.25">
      <c r="A20" s="144">
        <v>8</v>
      </c>
      <c r="B20" s="144" t="s">
        <v>788</v>
      </c>
      <c r="C20" s="143" t="s">
        <v>789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</row>
    <row r="21" spans="1:11" x14ac:dyDescent="0.25">
      <c r="A21" s="144">
        <v>9</v>
      </c>
      <c r="B21" s="144" t="s">
        <v>790</v>
      </c>
      <c r="C21" s="143" t="s">
        <v>791</v>
      </c>
      <c r="D21" s="145">
        <v>0</v>
      </c>
      <c r="E21" s="145">
        <v>0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</row>
    <row r="22" spans="1:11" x14ac:dyDescent="0.25">
      <c r="A22" s="144" t="s">
        <v>792</v>
      </c>
      <c r="B22" s="144" t="s">
        <v>793</v>
      </c>
      <c r="C22" s="143" t="s">
        <v>794</v>
      </c>
      <c r="D22" s="145">
        <v>0</v>
      </c>
      <c r="E22" s="145">
        <v>0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</row>
    <row r="23" spans="1:11" x14ac:dyDescent="0.25">
      <c r="A23" s="144" t="s">
        <v>795</v>
      </c>
      <c r="B23" s="144" t="s">
        <v>796</v>
      </c>
      <c r="C23" s="143" t="s">
        <v>797</v>
      </c>
      <c r="D23" s="145">
        <v>0</v>
      </c>
      <c r="E23" s="145">
        <v>0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45">
        <v>0</v>
      </c>
    </row>
    <row r="24" spans="1:11" x14ac:dyDescent="0.25">
      <c r="A24" s="144">
        <v>2</v>
      </c>
      <c r="B24" s="144" t="s">
        <v>798</v>
      </c>
      <c r="C24" s="143" t="s">
        <v>799</v>
      </c>
      <c r="D24" s="145">
        <v>0</v>
      </c>
      <c r="E24" s="145">
        <v>0</v>
      </c>
      <c r="F24" s="145">
        <v>0</v>
      </c>
      <c r="G24" s="145">
        <v>0</v>
      </c>
      <c r="H24" s="145">
        <v>0</v>
      </c>
      <c r="I24" s="145">
        <v>0</v>
      </c>
      <c r="J24" s="145">
        <v>0</v>
      </c>
      <c r="K24" s="145">
        <v>0</v>
      </c>
    </row>
    <row r="25" spans="1:11" x14ac:dyDescent="0.25">
      <c r="A25" s="144">
        <v>3</v>
      </c>
      <c r="B25" s="144" t="s">
        <v>800</v>
      </c>
      <c r="C25" s="143" t="s">
        <v>801</v>
      </c>
      <c r="D25" s="145">
        <v>0</v>
      </c>
      <c r="E25" s="145">
        <v>0</v>
      </c>
      <c r="F25" s="145">
        <v>0</v>
      </c>
      <c r="G25" s="145">
        <v>0</v>
      </c>
      <c r="H25" s="145">
        <v>0</v>
      </c>
      <c r="I25" s="145">
        <v>0</v>
      </c>
      <c r="J25" s="145">
        <v>0</v>
      </c>
      <c r="K25" s="145">
        <v>0</v>
      </c>
    </row>
    <row r="26" spans="1:11" x14ac:dyDescent="0.25">
      <c r="A26" s="144">
        <v>4</v>
      </c>
      <c r="B26" s="144" t="s">
        <v>802</v>
      </c>
      <c r="C26" s="143" t="s">
        <v>803</v>
      </c>
      <c r="D26" s="145">
        <v>0</v>
      </c>
      <c r="E26" s="145">
        <v>0</v>
      </c>
      <c r="F26" s="145">
        <v>0</v>
      </c>
      <c r="G26" s="145">
        <v>0</v>
      </c>
      <c r="H26" s="145">
        <v>0</v>
      </c>
      <c r="I26" s="145">
        <v>0</v>
      </c>
      <c r="J26" s="145">
        <v>0</v>
      </c>
      <c r="K26" s="145">
        <v>0</v>
      </c>
    </row>
    <row r="27" spans="1:11" x14ac:dyDescent="0.25">
      <c r="A27" s="144">
        <v>5</v>
      </c>
      <c r="B27" s="144" t="s">
        <v>804</v>
      </c>
      <c r="C27" s="143" t="s">
        <v>805</v>
      </c>
      <c r="D27" s="145">
        <v>0</v>
      </c>
      <c r="E27" s="145">
        <v>0</v>
      </c>
      <c r="F27" s="145">
        <v>0</v>
      </c>
      <c r="G27" s="145">
        <v>0</v>
      </c>
      <c r="H27" s="145">
        <v>0</v>
      </c>
      <c r="I27" s="145">
        <v>0</v>
      </c>
      <c r="J27" s="145">
        <v>0</v>
      </c>
      <c r="K27" s="145">
        <v>0</v>
      </c>
    </row>
    <row r="28" spans="1:11" x14ac:dyDescent="0.25">
      <c r="A28" s="144">
        <v>6</v>
      </c>
      <c r="B28" s="144" t="s">
        <v>806</v>
      </c>
      <c r="C28" s="143" t="s">
        <v>807</v>
      </c>
      <c r="D28" s="145">
        <v>0</v>
      </c>
      <c r="E28" s="145">
        <v>0</v>
      </c>
      <c r="F28" s="145">
        <v>0</v>
      </c>
      <c r="G28" s="145">
        <v>0</v>
      </c>
      <c r="H28" s="145">
        <v>0</v>
      </c>
      <c r="I28" s="145">
        <v>0</v>
      </c>
      <c r="J28" s="145">
        <v>0</v>
      </c>
      <c r="K28" s="145">
        <v>0</v>
      </c>
    </row>
    <row r="29" spans="1:11" x14ac:dyDescent="0.25">
      <c r="A29" s="144">
        <v>7</v>
      </c>
      <c r="B29" s="144" t="s">
        <v>808</v>
      </c>
      <c r="C29" s="143" t="s">
        <v>809</v>
      </c>
      <c r="D29" s="145">
        <v>0</v>
      </c>
      <c r="E29" s="145">
        <v>0</v>
      </c>
      <c r="F29" s="145">
        <v>0</v>
      </c>
      <c r="G29" s="145">
        <v>0</v>
      </c>
      <c r="H29" s="145">
        <v>0</v>
      </c>
      <c r="I29" s="145">
        <v>0</v>
      </c>
      <c r="J29" s="145">
        <v>0</v>
      </c>
      <c r="K29" s="145">
        <v>0</v>
      </c>
    </row>
    <row r="30" spans="1:11" x14ac:dyDescent="0.25">
      <c r="A30" s="144">
        <v>8</v>
      </c>
      <c r="B30" s="144" t="s">
        <v>810</v>
      </c>
      <c r="C30" s="143" t="s">
        <v>811</v>
      </c>
      <c r="D30" s="145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</row>
    <row r="31" spans="1:11" x14ac:dyDescent="0.25">
      <c r="A31" s="144">
        <v>9</v>
      </c>
      <c r="B31" s="144" t="s">
        <v>812</v>
      </c>
      <c r="C31" s="143" t="s">
        <v>813</v>
      </c>
      <c r="D31" s="145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</row>
    <row r="32" spans="1:11" x14ac:dyDescent="0.25">
      <c r="A32" s="144">
        <v>10</v>
      </c>
      <c r="B32" s="144" t="s">
        <v>814</v>
      </c>
      <c r="C32" s="143" t="s">
        <v>815</v>
      </c>
      <c r="D32" s="145">
        <v>0</v>
      </c>
      <c r="E32" s="145">
        <v>0</v>
      </c>
      <c r="F32" s="145">
        <v>0</v>
      </c>
      <c r="G32" s="145">
        <v>0</v>
      </c>
      <c r="H32" s="145">
        <v>0</v>
      </c>
      <c r="I32" s="145">
        <v>0</v>
      </c>
      <c r="J32" s="145">
        <v>0</v>
      </c>
      <c r="K32" s="145">
        <v>0</v>
      </c>
    </row>
    <row r="33" spans="1:11" x14ac:dyDescent="0.25">
      <c r="A33" s="144">
        <v>11</v>
      </c>
      <c r="B33" s="144" t="s">
        <v>816</v>
      </c>
      <c r="C33" s="143" t="s">
        <v>817</v>
      </c>
      <c r="D33" s="145">
        <v>0</v>
      </c>
      <c r="E33" s="145">
        <v>0</v>
      </c>
      <c r="F33" s="145">
        <v>0</v>
      </c>
      <c r="G33" s="145">
        <v>0</v>
      </c>
      <c r="H33" s="145">
        <v>0</v>
      </c>
      <c r="I33" s="145">
        <v>0</v>
      </c>
      <c r="J33" s="145">
        <v>0</v>
      </c>
      <c r="K33" s="145">
        <v>0</v>
      </c>
    </row>
    <row r="34" spans="1:11" x14ac:dyDescent="0.25">
      <c r="A34" s="144" t="s">
        <v>615</v>
      </c>
      <c r="B34" s="144" t="s">
        <v>818</v>
      </c>
      <c r="C34" s="143" t="s">
        <v>819</v>
      </c>
      <c r="D34" s="145">
        <v>64180.62</v>
      </c>
      <c r="E34" s="145">
        <v>76.98</v>
      </c>
      <c r="F34" s="145">
        <v>64103.64</v>
      </c>
      <c r="G34" s="145">
        <v>42778.93</v>
      </c>
      <c r="H34" s="145">
        <v>64180</v>
      </c>
      <c r="I34" s="145">
        <v>77</v>
      </c>
      <c r="J34" s="145">
        <v>64103</v>
      </c>
      <c r="K34" s="145">
        <v>42779</v>
      </c>
    </row>
    <row r="35" spans="1:11" x14ac:dyDescent="0.25">
      <c r="A35" s="144" t="s">
        <v>820</v>
      </c>
      <c r="B35" s="144" t="s">
        <v>821</v>
      </c>
      <c r="C35" s="143" t="s">
        <v>822</v>
      </c>
      <c r="D35" s="145">
        <v>15526.31</v>
      </c>
      <c r="E35" s="145">
        <v>0</v>
      </c>
      <c r="F35" s="145">
        <v>15526.31</v>
      </c>
      <c r="G35" s="145">
        <v>13234.34</v>
      </c>
      <c r="H35" s="145">
        <v>15526</v>
      </c>
      <c r="I35" s="145">
        <v>0</v>
      </c>
      <c r="J35" s="145">
        <v>15526</v>
      </c>
      <c r="K35" s="145">
        <v>13234</v>
      </c>
    </row>
    <row r="36" spans="1:11" x14ac:dyDescent="0.25">
      <c r="A36" s="144" t="s">
        <v>823</v>
      </c>
      <c r="B36" s="144" t="s">
        <v>824</v>
      </c>
      <c r="C36" s="143" t="s">
        <v>825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</row>
    <row r="37" spans="1:11" x14ac:dyDescent="0.25">
      <c r="A37" s="144">
        <v>2</v>
      </c>
      <c r="B37" s="144" t="s">
        <v>826</v>
      </c>
      <c r="C37" s="143" t="s">
        <v>827</v>
      </c>
      <c r="D37" s="145">
        <v>0</v>
      </c>
      <c r="E37" s="145">
        <v>0</v>
      </c>
      <c r="F37" s="145">
        <v>0</v>
      </c>
      <c r="G37" s="145">
        <v>0</v>
      </c>
      <c r="H37" s="145">
        <v>0</v>
      </c>
      <c r="I37" s="145">
        <v>0</v>
      </c>
      <c r="J37" s="145">
        <v>0</v>
      </c>
      <c r="K37" s="145">
        <v>0</v>
      </c>
    </row>
    <row r="38" spans="1:11" x14ac:dyDescent="0.25">
      <c r="A38" s="144">
        <v>3</v>
      </c>
      <c r="B38" s="144" t="s">
        <v>828</v>
      </c>
      <c r="C38" s="143" t="s">
        <v>829</v>
      </c>
      <c r="D38" s="145">
        <v>0</v>
      </c>
      <c r="E38" s="145">
        <v>0</v>
      </c>
      <c r="F38" s="145">
        <v>0</v>
      </c>
      <c r="G38" s="145">
        <v>0</v>
      </c>
      <c r="H38" s="145">
        <v>0</v>
      </c>
      <c r="I38" s="145">
        <v>0</v>
      </c>
      <c r="J38" s="145">
        <v>0</v>
      </c>
      <c r="K38" s="145">
        <v>0</v>
      </c>
    </row>
    <row r="39" spans="1:11" x14ac:dyDescent="0.25">
      <c r="A39" s="144">
        <v>4</v>
      </c>
      <c r="B39" s="144" t="s">
        <v>830</v>
      </c>
      <c r="C39" s="143" t="s">
        <v>831</v>
      </c>
      <c r="D39" s="145">
        <v>0</v>
      </c>
      <c r="E39" s="145">
        <v>0</v>
      </c>
      <c r="F39" s="145">
        <v>0</v>
      </c>
      <c r="G39" s="145">
        <v>0</v>
      </c>
      <c r="H39" s="145">
        <v>0</v>
      </c>
      <c r="I39" s="145">
        <v>0</v>
      </c>
      <c r="J39" s="145">
        <v>0</v>
      </c>
      <c r="K39" s="145">
        <v>0</v>
      </c>
    </row>
    <row r="40" spans="1:11" x14ac:dyDescent="0.25">
      <c r="A40" s="144">
        <v>5</v>
      </c>
      <c r="B40" s="144" t="s">
        <v>832</v>
      </c>
      <c r="C40" s="143" t="s">
        <v>833</v>
      </c>
      <c r="D40" s="145">
        <v>15526.31</v>
      </c>
      <c r="E40" s="145">
        <v>0</v>
      </c>
      <c r="F40" s="145">
        <v>15526.31</v>
      </c>
      <c r="G40" s="145">
        <v>13234.34</v>
      </c>
      <c r="H40" s="145">
        <v>15526</v>
      </c>
      <c r="I40" s="145">
        <v>0</v>
      </c>
      <c r="J40" s="145">
        <v>15526</v>
      </c>
      <c r="K40" s="145">
        <v>13234</v>
      </c>
    </row>
    <row r="41" spans="1:11" x14ac:dyDescent="0.25">
      <c r="A41" s="144">
        <v>6</v>
      </c>
      <c r="B41" s="144" t="s">
        <v>834</v>
      </c>
      <c r="C41" s="143" t="s">
        <v>835</v>
      </c>
      <c r="D41" s="145">
        <v>0</v>
      </c>
      <c r="E41" s="145">
        <v>0</v>
      </c>
      <c r="F41" s="145">
        <v>0</v>
      </c>
      <c r="G41" s="145">
        <v>0</v>
      </c>
      <c r="H41" s="145">
        <v>0</v>
      </c>
      <c r="I41" s="145">
        <v>0</v>
      </c>
      <c r="J41" s="145">
        <v>0</v>
      </c>
      <c r="K41" s="145">
        <v>0</v>
      </c>
    </row>
    <row r="42" spans="1:11" x14ac:dyDescent="0.25">
      <c r="A42" s="144" t="s">
        <v>836</v>
      </c>
      <c r="B42" s="144" t="s">
        <v>837</v>
      </c>
      <c r="C42" s="143" t="s">
        <v>838</v>
      </c>
      <c r="D42" s="145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</row>
    <row r="43" spans="1:11" x14ac:dyDescent="0.25">
      <c r="A43" s="144" t="s">
        <v>839</v>
      </c>
      <c r="B43" s="144" t="s">
        <v>840</v>
      </c>
      <c r="C43" s="143" t="s">
        <v>841</v>
      </c>
      <c r="D43" s="145">
        <v>0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45">
        <v>0</v>
      </c>
    </row>
    <row r="44" spans="1:11" x14ac:dyDescent="0.25">
      <c r="A44" s="144" t="s">
        <v>842</v>
      </c>
      <c r="B44" s="144" t="s">
        <v>843</v>
      </c>
      <c r="C44" s="143" t="s">
        <v>844</v>
      </c>
      <c r="D44" s="145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0</v>
      </c>
    </row>
    <row r="45" spans="1:11" x14ac:dyDescent="0.25">
      <c r="A45" s="144" t="s">
        <v>845</v>
      </c>
      <c r="B45" s="144" t="s">
        <v>846</v>
      </c>
      <c r="C45" s="143" t="s">
        <v>847</v>
      </c>
      <c r="D45" s="145">
        <v>0</v>
      </c>
      <c r="E45" s="145">
        <v>0</v>
      </c>
      <c r="F45" s="145">
        <v>0</v>
      </c>
      <c r="G45" s="145">
        <v>0</v>
      </c>
      <c r="H45" s="145">
        <v>0</v>
      </c>
      <c r="I45" s="145">
        <v>0</v>
      </c>
      <c r="J45" s="145">
        <v>0</v>
      </c>
      <c r="K45" s="145">
        <v>0</v>
      </c>
    </row>
    <row r="46" spans="1:11" x14ac:dyDescent="0.25">
      <c r="A46" s="144" t="s">
        <v>848</v>
      </c>
      <c r="B46" s="144" t="s">
        <v>849</v>
      </c>
      <c r="C46" s="143" t="s">
        <v>850</v>
      </c>
      <c r="D46" s="145">
        <v>0</v>
      </c>
      <c r="E46" s="145">
        <v>0</v>
      </c>
      <c r="F46" s="145">
        <v>0</v>
      </c>
      <c r="G46" s="145">
        <v>0</v>
      </c>
      <c r="H46" s="145">
        <v>0</v>
      </c>
      <c r="I46" s="145">
        <v>0</v>
      </c>
      <c r="J46" s="145">
        <v>0</v>
      </c>
      <c r="K46" s="145">
        <v>0</v>
      </c>
    </row>
    <row r="47" spans="1:11" x14ac:dyDescent="0.25">
      <c r="A47" s="144">
        <v>2</v>
      </c>
      <c r="B47" s="144" t="s">
        <v>851</v>
      </c>
      <c r="C47" s="143" t="s">
        <v>852</v>
      </c>
      <c r="D47" s="145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</row>
    <row r="48" spans="1:11" x14ac:dyDescent="0.25">
      <c r="A48" s="144">
        <v>3</v>
      </c>
      <c r="B48" s="144" t="s">
        <v>853</v>
      </c>
      <c r="C48" s="143" t="s">
        <v>854</v>
      </c>
      <c r="D48" s="145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</row>
    <row r="49" spans="1:11" x14ac:dyDescent="0.25">
      <c r="A49" s="144">
        <v>4</v>
      </c>
      <c r="B49" s="144" t="s">
        <v>855</v>
      </c>
      <c r="C49" s="143" t="s">
        <v>856</v>
      </c>
      <c r="D49" s="145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</row>
    <row r="50" spans="1:11" x14ac:dyDescent="0.25">
      <c r="A50" s="144">
        <v>5</v>
      </c>
      <c r="B50" s="144" t="s">
        <v>857</v>
      </c>
      <c r="C50" s="143" t="s">
        <v>858</v>
      </c>
      <c r="D50" s="145">
        <v>0</v>
      </c>
      <c r="E50" s="145">
        <v>0</v>
      </c>
      <c r="F50" s="145">
        <v>0</v>
      </c>
      <c r="G50" s="145">
        <v>0</v>
      </c>
      <c r="H50" s="145">
        <v>0</v>
      </c>
      <c r="I50" s="145">
        <v>0</v>
      </c>
      <c r="J50" s="145">
        <v>0</v>
      </c>
      <c r="K50" s="145">
        <v>0</v>
      </c>
    </row>
    <row r="51" spans="1:11" x14ac:dyDescent="0.25">
      <c r="A51" s="144">
        <v>6</v>
      </c>
      <c r="B51" s="144" t="s">
        <v>859</v>
      </c>
      <c r="C51" s="143" t="s">
        <v>860</v>
      </c>
      <c r="D51" s="145">
        <v>0</v>
      </c>
      <c r="E51" s="145">
        <v>0</v>
      </c>
      <c r="F51" s="145">
        <v>0</v>
      </c>
      <c r="G51" s="145">
        <v>0</v>
      </c>
      <c r="H51" s="145">
        <v>0</v>
      </c>
      <c r="I51" s="145">
        <v>0</v>
      </c>
      <c r="J51" s="145">
        <v>0</v>
      </c>
      <c r="K51" s="145">
        <v>0</v>
      </c>
    </row>
    <row r="52" spans="1:11" x14ac:dyDescent="0.25">
      <c r="A52" s="144">
        <v>7</v>
      </c>
      <c r="B52" s="144" t="s">
        <v>861</v>
      </c>
      <c r="C52" s="143" t="s">
        <v>862</v>
      </c>
      <c r="D52" s="145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</row>
    <row r="53" spans="1:11" x14ac:dyDescent="0.25">
      <c r="A53" s="144">
        <v>8</v>
      </c>
      <c r="B53" s="144" t="s">
        <v>863</v>
      </c>
      <c r="C53" s="143" t="s">
        <v>864</v>
      </c>
      <c r="D53" s="145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</row>
    <row r="54" spans="1:11" x14ac:dyDescent="0.25">
      <c r="A54" s="144" t="s">
        <v>865</v>
      </c>
      <c r="B54" s="144" t="s">
        <v>866</v>
      </c>
      <c r="C54" s="143" t="s">
        <v>867</v>
      </c>
      <c r="D54" s="145">
        <v>30070.14</v>
      </c>
      <c r="E54" s="145">
        <v>76.98</v>
      </c>
      <c r="F54" s="145">
        <v>29993.16</v>
      </c>
      <c r="G54" s="145">
        <v>22547.96</v>
      </c>
      <c r="H54" s="145">
        <v>30070</v>
      </c>
      <c r="I54" s="145">
        <v>77</v>
      </c>
      <c r="J54" s="145">
        <v>29993</v>
      </c>
      <c r="K54" s="145">
        <v>22548</v>
      </c>
    </row>
    <row r="55" spans="1:11" x14ac:dyDescent="0.25">
      <c r="A55" s="144" t="s">
        <v>868</v>
      </c>
      <c r="B55" s="144" t="s">
        <v>869</v>
      </c>
      <c r="C55" s="143" t="s">
        <v>870</v>
      </c>
      <c r="D55" s="145">
        <v>30070.14</v>
      </c>
      <c r="E55" s="145">
        <v>76.98</v>
      </c>
      <c r="F55" s="145">
        <v>29993.16</v>
      </c>
      <c r="G55" s="145">
        <v>22547.96</v>
      </c>
      <c r="H55" s="145">
        <v>30070</v>
      </c>
      <c r="I55" s="145">
        <v>77</v>
      </c>
      <c r="J55" s="145">
        <v>29993</v>
      </c>
      <c r="K55" s="145">
        <v>22548</v>
      </c>
    </row>
    <row r="56" spans="1:11" x14ac:dyDescent="0.25">
      <c r="A56" s="144" t="s">
        <v>842</v>
      </c>
      <c r="B56" s="144" t="s">
        <v>843</v>
      </c>
      <c r="C56" s="143" t="s">
        <v>871</v>
      </c>
      <c r="D56" s="145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</row>
    <row r="57" spans="1:11" x14ac:dyDescent="0.25">
      <c r="A57" s="144" t="s">
        <v>845</v>
      </c>
      <c r="B57" s="144" t="s">
        <v>846</v>
      </c>
      <c r="C57" s="143" t="s">
        <v>872</v>
      </c>
      <c r="D57" s="145">
        <v>0</v>
      </c>
      <c r="E57" s="145">
        <v>0</v>
      </c>
      <c r="F57" s="145">
        <v>0</v>
      </c>
      <c r="G57" s="145">
        <v>0</v>
      </c>
      <c r="H57" s="145">
        <v>0</v>
      </c>
      <c r="I57" s="145">
        <v>0</v>
      </c>
      <c r="J57" s="145">
        <v>0</v>
      </c>
      <c r="K57" s="145">
        <v>0</v>
      </c>
    </row>
    <row r="58" spans="1:11" x14ac:dyDescent="0.25">
      <c r="A58" s="144" t="s">
        <v>848</v>
      </c>
      <c r="B58" s="144" t="s">
        <v>849</v>
      </c>
      <c r="C58" s="143" t="s">
        <v>873</v>
      </c>
      <c r="D58" s="145">
        <v>30070.14</v>
      </c>
      <c r="E58" s="145">
        <v>76.98</v>
      </c>
      <c r="F58" s="145">
        <v>29993.16</v>
      </c>
      <c r="G58" s="145">
        <v>22547.96</v>
      </c>
      <c r="H58" s="145">
        <v>30070</v>
      </c>
      <c r="I58" s="145">
        <v>77</v>
      </c>
      <c r="J58" s="145">
        <v>29993</v>
      </c>
      <c r="K58" s="145">
        <v>22548</v>
      </c>
    </row>
    <row r="59" spans="1:11" x14ac:dyDescent="0.25">
      <c r="A59" s="144">
        <v>2</v>
      </c>
      <c r="B59" s="144" t="s">
        <v>851</v>
      </c>
      <c r="C59" s="143" t="s">
        <v>874</v>
      </c>
      <c r="D59" s="145">
        <v>0</v>
      </c>
      <c r="E59" s="145">
        <v>0</v>
      </c>
      <c r="F59" s="145">
        <v>0</v>
      </c>
      <c r="G59" s="145">
        <v>0</v>
      </c>
      <c r="H59" s="145">
        <v>0</v>
      </c>
      <c r="I59" s="145">
        <v>0</v>
      </c>
      <c r="J59" s="145">
        <v>0</v>
      </c>
      <c r="K59" s="145">
        <v>0</v>
      </c>
    </row>
    <row r="60" spans="1:11" x14ac:dyDescent="0.25">
      <c r="A60" s="144">
        <v>3</v>
      </c>
      <c r="B60" s="144" t="s">
        <v>853</v>
      </c>
      <c r="C60" s="143" t="s">
        <v>875</v>
      </c>
      <c r="D60" s="145">
        <v>0</v>
      </c>
      <c r="E60" s="145">
        <v>0</v>
      </c>
      <c r="F60" s="145">
        <v>0</v>
      </c>
      <c r="G60" s="145">
        <v>0</v>
      </c>
      <c r="H60" s="145">
        <v>0</v>
      </c>
      <c r="I60" s="145">
        <v>0</v>
      </c>
      <c r="J60" s="145">
        <v>0</v>
      </c>
      <c r="K60" s="145">
        <v>0</v>
      </c>
    </row>
    <row r="61" spans="1:11" x14ac:dyDescent="0.25">
      <c r="A61" s="144">
        <v>4</v>
      </c>
      <c r="B61" s="144" t="s">
        <v>855</v>
      </c>
      <c r="C61" s="143" t="s">
        <v>876</v>
      </c>
      <c r="D61" s="145">
        <v>0</v>
      </c>
      <c r="E61" s="145">
        <v>0</v>
      </c>
      <c r="F61" s="145">
        <v>0</v>
      </c>
      <c r="G61" s="145">
        <v>0</v>
      </c>
      <c r="H61" s="145">
        <v>0</v>
      </c>
      <c r="I61" s="145">
        <v>0</v>
      </c>
      <c r="J61" s="145">
        <v>0</v>
      </c>
      <c r="K61" s="145">
        <v>0</v>
      </c>
    </row>
    <row r="62" spans="1:11" x14ac:dyDescent="0.25">
      <c r="A62" s="144">
        <v>5</v>
      </c>
      <c r="B62" s="144" t="s">
        <v>877</v>
      </c>
      <c r="C62" s="143" t="s">
        <v>878</v>
      </c>
      <c r="D62" s="145">
        <v>0</v>
      </c>
      <c r="E62" s="145">
        <v>0</v>
      </c>
      <c r="F62" s="145">
        <v>0</v>
      </c>
      <c r="G62" s="145">
        <v>0</v>
      </c>
      <c r="H62" s="145">
        <v>0</v>
      </c>
      <c r="I62" s="145">
        <v>0</v>
      </c>
      <c r="J62" s="145">
        <v>0</v>
      </c>
      <c r="K62" s="145">
        <v>0</v>
      </c>
    </row>
    <row r="63" spans="1:11" x14ac:dyDescent="0.25">
      <c r="A63" s="144" t="s">
        <v>879</v>
      </c>
      <c r="B63" s="144" t="s">
        <v>880</v>
      </c>
      <c r="C63" s="143" t="s">
        <v>881</v>
      </c>
      <c r="D63" s="145">
        <v>0</v>
      </c>
      <c r="E63" s="145">
        <v>0</v>
      </c>
      <c r="F63" s="145">
        <v>0</v>
      </c>
      <c r="G63" s="145">
        <v>0</v>
      </c>
      <c r="H63" s="145">
        <v>0</v>
      </c>
      <c r="I63" s="145">
        <v>0</v>
      </c>
      <c r="J63" s="145">
        <v>0</v>
      </c>
      <c r="K63" s="145">
        <v>0</v>
      </c>
    </row>
    <row r="64" spans="1:11" x14ac:dyDescent="0.25">
      <c r="A64" s="144">
        <v>7</v>
      </c>
      <c r="B64" s="144" t="s">
        <v>882</v>
      </c>
      <c r="C64" s="143" t="s">
        <v>883</v>
      </c>
      <c r="D64" s="145">
        <v>0</v>
      </c>
      <c r="E64" s="145">
        <v>0</v>
      </c>
      <c r="F64" s="145">
        <v>0</v>
      </c>
      <c r="G64" s="145">
        <v>0</v>
      </c>
      <c r="H64" s="145">
        <v>0</v>
      </c>
      <c r="I64" s="145">
        <v>0</v>
      </c>
      <c r="J64" s="145">
        <v>0</v>
      </c>
      <c r="K64" s="145">
        <v>0</v>
      </c>
    </row>
    <row r="65" spans="1:11" x14ac:dyDescent="0.25">
      <c r="A65" s="144">
        <v>8</v>
      </c>
      <c r="B65" s="144" t="s">
        <v>859</v>
      </c>
      <c r="C65" s="143" t="s">
        <v>884</v>
      </c>
      <c r="D65" s="145">
        <v>0</v>
      </c>
      <c r="E65" s="145">
        <v>0</v>
      </c>
      <c r="F65" s="145">
        <v>0</v>
      </c>
      <c r="G65" s="145">
        <v>0</v>
      </c>
      <c r="H65" s="145">
        <v>0</v>
      </c>
      <c r="I65" s="145">
        <v>0</v>
      </c>
      <c r="J65" s="145">
        <v>0</v>
      </c>
      <c r="K65" s="145">
        <v>0</v>
      </c>
    </row>
    <row r="66" spans="1:11" x14ac:dyDescent="0.25">
      <c r="A66" s="144">
        <v>9</v>
      </c>
      <c r="B66" s="144" t="s">
        <v>885</v>
      </c>
      <c r="C66" s="143" t="s">
        <v>886</v>
      </c>
      <c r="D66" s="145">
        <v>0</v>
      </c>
      <c r="E66" s="145">
        <v>0</v>
      </c>
      <c r="F66" s="145">
        <v>0</v>
      </c>
      <c r="G66" s="145">
        <v>0</v>
      </c>
      <c r="H66" s="145">
        <v>0</v>
      </c>
      <c r="I66" s="145">
        <v>0</v>
      </c>
      <c r="J66" s="145">
        <v>0</v>
      </c>
      <c r="K66" s="145">
        <v>0</v>
      </c>
    </row>
    <row r="67" spans="1:11" x14ac:dyDescent="0.25">
      <c r="A67" s="144" t="s">
        <v>887</v>
      </c>
      <c r="B67" s="144" t="s">
        <v>888</v>
      </c>
      <c r="C67" s="143" t="s">
        <v>889</v>
      </c>
      <c r="D67" s="145">
        <v>0</v>
      </c>
      <c r="E67" s="145">
        <v>0</v>
      </c>
      <c r="F67" s="145">
        <v>0</v>
      </c>
      <c r="G67" s="145">
        <v>0</v>
      </c>
      <c r="H67" s="145">
        <v>0</v>
      </c>
      <c r="I67" s="145">
        <v>0</v>
      </c>
      <c r="J67" s="145">
        <v>0</v>
      </c>
      <c r="K67" s="145">
        <v>0</v>
      </c>
    </row>
    <row r="68" spans="1:11" x14ac:dyDescent="0.25">
      <c r="A68" s="144" t="s">
        <v>890</v>
      </c>
      <c r="B68" s="144" t="s">
        <v>891</v>
      </c>
      <c r="C68" s="143" t="s">
        <v>892</v>
      </c>
      <c r="D68" s="145">
        <v>0</v>
      </c>
      <c r="E68" s="145">
        <v>0</v>
      </c>
      <c r="F68" s="145">
        <v>0</v>
      </c>
      <c r="G68" s="145">
        <v>0</v>
      </c>
      <c r="H68" s="145">
        <v>0</v>
      </c>
      <c r="I68" s="145">
        <v>0</v>
      </c>
      <c r="J68" s="145">
        <v>0</v>
      </c>
      <c r="K68" s="145">
        <v>0</v>
      </c>
    </row>
    <row r="69" spans="1:11" x14ac:dyDescent="0.25">
      <c r="A69" s="144">
        <v>2</v>
      </c>
      <c r="B69" s="144" t="s">
        <v>893</v>
      </c>
      <c r="C69" s="143" t="s">
        <v>894</v>
      </c>
      <c r="D69" s="145">
        <v>0</v>
      </c>
      <c r="E69" s="145">
        <v>0</v>
      </c>
      <c r="F69" s="145">
        <v>0</v>
      </c>
      <c r="G69" s="145">
        <v>0</v>
      </c>
      <c r="H69" s="145">
        <v>0</v>
      </c>
      <c r="I69" s="145">
        <v>0</v>
      </c>
      <c r="J69" s="145">
        <v>0</v>
      </c>
      <c r="K69" s="145">
        <v>0</v>
      </c>
    </row>
    <row r="70" spans="1:11" x14ac:dyDescent="0.25">
      <c r="A70" s="144">
        <v>3</v>
      </c>
      <c r="B70" s="144" t="s">
        <v>895</v>
      </c>
      <c r="C70" s="143" t="s">
        <v>896</v>
      </c>
      <c r="D70" s="145">
        <v>0</v>
      </c>
      <c r="E70" s="145">
        <v>0</v>
      </c>
      <c r="F70" s="145">
        <v>0</v>
      </c>
      <c r="G70" s="145">
        <v>0</v>
      </c>
      <c r="H70" s="145">
        <v>0</v>
      </c>
      <c r="I70" s="145">
        <v>0</v>
      </c>
      <c r="J70" s="145">
        <v>0</v>
      </c>
      <c r="K70" s="145">
        <v>0</v>
      </c>
    </row>
    <row r="71" spans="1:11" x14ac:dyDescent="0.25">
      <c r="A71" s="144">
        <v>4</v>
      </c>
      <c r="B71" s="144" t="s">
        <v>897</v>
      </c>
      <c r="C71" s="143" t="s">
        <v>898</v>
      </c>
      <c r="D71" s="145">
        <v>0</v>
      </c>
      <c r="E71" s="145">
        <v>0</v>
      </c>
      <c r="F71" s="145">
        <v>0</v>
      </c>
      <c r="G71" s="145">
        <v>0</v>
      </c>
      <c r="H71" s="145">
        <v>0</v>
      </c>
      <c r="I71" s="145">
        <v>0</v>
      </c>
      <c r="J71" s="145">
        <v>0</v>
      </c>
      <c r="K71" s="145">
        <v>0</v>
      </c>
    </row>
    <row r="72" spans="1:11" x14ac:dyDescent="0.25">
      <c r="A72" s="144" t="s">
        <v>899</v>
      </c>
      <c r="B72" s="144" t="s">
        <v>900</v>
      </c>
      <c r="C72" s="143" t="s">
        <v>901</v>
      </c>
      <c r="D72" s="145">
        <v>18584.169999999998</v>
      </c>
      <c r="E72" s="145">
        <v>0</v>
      </c>
      <c r="F72" s="145">
        <v>18584.169999999998</v>
      </c>
      <c r="G72" s="145">
        <v>6996.63</v>
      </c>
      <c r="H72" s="145">
        <v>18584</v>
      </c>
      <c r="I72" s="145">
        <v>0</v>
      </c>
      <c r="J72" s="145">
        <v>18584</v>
      </c>
      <c r="K72" s="145">
        <v>6997</v>
      </c>
    </row>
    <row r="73" spans="1:11" x14ac:dyDescent="0.25">
      <c r="A73" s="144" t="s">
        <v>902</v>
      </c>
      <c r="B73" s="144" t="s">
        <v>903</v>
      </c>
      <c r="C73" s="143" t="s">
        <v>904</v>
      </c>
      <c r="D73" s="145">
        <v>14443.01</v>
      </c>
      <c r="E73" s="145">
        <v>0</v>
      </c>
      <c r="F73" s="145">
        <v>14443.01</v>
      </c>
      <c r="G73" s="145">
        <v>4035.76</v>
      </c>
      <c r="H73" s="145">
        <v>14443</v>
      </c>
      <c r="I73" s="145">
        <v>0</v>
      </c>
      <c r="J73" s="145">
        <v>14443</v>
      </c>
      <c r="K73" s="145">
        <v>4036</v>
      </c>
    </row>
    <row r="74" spans="1:11" x14ac:dyDescent="0.25">
      <c r="A74" s="144">
        <v>2</v>
      </c>
      <c r="B74" s="144" t="s">
        <v>905</v>
      </c>
      <c r="C74" s="143" t="s">
        <v>906</v>
      </c>
      <c r="D74" s="145">
        <v>4141.16</v>
      </c>
      <c r="E74" s="145">
        <v>0</v>
      </c>
      <c r="F74" s="145">
        <v>4141.16</v>
      </c>
      <c r="G74" s="145">
        <v>2960.87</v>
      </c>
      <c r="H74" s="145">
        <v>4141</v>
      </c>
      <c r="I74" s="145">
        <v>0</v>
      </c>
      <c r="J74" s="145">
        <v>4141</v>
      </c>
      <c r="K74" s="145">
        <v>2961</v>
      </c>
    </row>
    <row r="75" spans="1:11" x14ac:dyDescent="0.25">
      <c r="A75" s="144" t="s">
        <v>618</v>
      </c>
      <c r="B75" s="144" t="s">
        <v>907</v>
      </c>
      <c r="C75" s="143" t="s">
        <v>908</v>
      </c>
      <c r="D75" s="145">
        <v>3800</v>
      </c>
      <c r="E75" s="145">
        <v>0</v>
      </c>
      <c r="F75" s="145">
        <v>3800</v>
      </c>
      <c r="G75" s="145">
        <v>0</v>
      </c>
      <c r="H75" s="145">
        <v>3800</v>
      </c>
      <c r="I75" s="145">
        <v>0</v>
      </c>
      <c r="J75" s="145">
        <v>3800</v>
      </c>
      <c r="K75" s="145">
        <v>0</v>
      </c>
    </row>
    <row r="76" spans="1:11" x14ac:dyDescent="0.25">
      <c r="A76" s="144" t="s">
        <v>909</v>
      </c>
      <c r="B76" s="144" t="s">
        <v>910</v>
      </c>
      <c r="C76" s="143" t="s">
        <v>911</v>
      </c>
      <c r="D76" s="145">
        <v>0</v>
      </c>
      <c r="E76" s="145">
        <v>0</v>
      </c>
      <c r="F76" s="145">
        <v>0</v>
      </c>
      <c r="G76" s="145">
        <v>0</v>
      </c>
      <c r="H76" s="145">
        <v>0</v>
      </c>
      <c r="I76" s="145">
        <v>0</v>
      </c>
      <c r="J76" s="145">
        <v>0</v>
      </c>
      <c r="K76" s="145">
        <v>0</v>
      </c>
    </row>
    <row r="77" spans="1:11" x14ac:dyDescent="0.25">
      <c r="A77" s="144">
        <v>2</v>
      </c>
      <c r="B77" s="144" t="s">
        <v>912</v>
      </c>
      <c r="C77" s="143" t="s">
        <v>913</v>
      </c>
      <c r="D77" s="145">
        <v>0</v>
      </c>
      <c r="E77" s="145">
        <v>0</v>
      </c>
      <c r="F77" s="145">
        <v>0</v>
      </c>
      <c r="G77" s="145">
        <v>0</v>
      </c>
      <c r="H77" s="145">
        <v>0</v>
      </c>
      <c r="I77" s="145">
        <v>0</v>
      </c>
      <c r="J77" s="145">
        <v>0</v>
      </c>
      <c r="K77" s="145">
        <v>0</v>
      </c>
    </row>
    <row r="78" spans="1:11" x14ac:dyDescent="0.25">
      <c r="A78" s="144">
        <v>3</v>
      </c>
      <c r="B78" s="144" t="s">
        <v>914</v>
      </c>
      <c r="C78" s="143" t="s">
        <v>915</v>
      </c>
      <c r="D78" s="145">
        <v>0</v>
      </c>
      <c r="E78" s="145">
        <v>0</v>
      </c>
      <c r="F78" s="145">
        <v>0</v>
      </c>
      <c r="G78" s="145">
        <v>0</v>
      </c>
      <c r="H78" s="145">
        <v>0</v>
      </c>
      <c r="I78" s="145">
        <v>0</v>
      </c>
      <c r="J78" s="145">
        <v>0</v>
      </c>
      <c r="K78" s="145">
        <v>0</v>
      </c>
    </row>
    <row r="79" spans="1:11" x14ac:dyDescent="0.25">
      <c r="A79" s="144">
        <v>4</v>
      </c>
      <c r="B79" s="144" t="s">
        <v>916</v>
      </c>
      <c r="C79" s="143" t="s">
        <v>917</v>
      </c>
      <c r="D79" s="145">
        <v>3800</v>
      </c>
      <c r="E79" s="145">
        <v>0</v>
      </c>
      <c r="F79" s="145">
        <v>3800</v>
      </c>
      <c r="G79" s="145">
        <v>0</v>
      </c>
      <c r="H79" s="145">
        <v>3800</v>
      </c>
      <c r="I79" s="145">
        <v>0</v>
      </c>
      <c r="J79" s="145">
        <v>3800</v>
      </c>
      <c r="K79" s="145">
        <v>0</v>
      </c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workbookViewId="0">
      <selection activeCell="B14" sqref="B14"/>
    </sheetView>
  </sheetViews>
  <sheetFormatPr defaultColWidth="9.140625" defaultRowHeight="15" x14ac:dyDescent="0.25"/>
  <cols>
    <col min="1" max="1" width="8.28515625" style="144" bestFit="1" customWidth="1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3.25" x14ac:dyDescent="0.25">
      <c r="B2" s="306" t="s">
        <v>918</v>
      </c>
      <c r="C2" s="143" t="s">
        <v>919</v>
      </c>
      <c r="D2" s="145">
        <v>67903.64</v>
      </c>
      <c r="E2" s="145">
        <v>42778.93</v>
      </c>
      <c r="F2" s="145">
        <v>67903</v>
      </c>
      <c r="G2" s="145">
        <v>42779</v>
      </c>
    </row>
    <row r="3" spans="1:7" x14ac:dyDescent="0.25">
      <c r="A3" s="144" t="s">
        <v>612</v>
      </c>
      <c r="B3" s="144" t="s">
        <v>920</v>
      </c>
      <c r="C3" s="143" t="s">
        <v>921</v>
      </c>
      <c r="D3" s="142">
        <v>-29338.91</v>
      </c>
      <c r="E3" s="142">
        <v>-5954.39</v>
      </c>
      <c r="F3" s="142">
        <v>-29339</v>
      </c>
      <c r="G3" s="142">
        <v>-5954</v>
      </c>
    </row>
    <row r="4" spans="1:7" x14ac:dyDescent="0.25">
      <c r="A4" s="144" t="s">
        <v>752</v>
      </c>
      <c r="B4" s="144" t="s">
        <v>922</v>
      </c>
      <c r="C4" s="143" t="s">
        <v>923</v>
      </c>
      <c r="D4" s="145">
        <v>0</v>
      </c>
      <c r="E4" s="145">
        <v>0</v>
      </c>
      <c r="F4" s="145">
        <v>0</v>
      </c>
      <c r="G4" s="145">
        <v>0</v>
      </c>
    </row>
    <row r="5" spans="1:7" x14ac:dyDescent="0.25">
      <c r="A5" s="144" t="s">
        <v>924</v>
      </c>
      <c r="B5" s="144" t="s">
        <v>925</v>
      </c>
      <c r="C5" s="143" t="s">
        <v>926</v>
      </c>
      <c r="D5" s="145">
        <v>0</v>
      </c>
      <c r="E5" s="145">
        <v>0</v>
      </c>
      <c r="F5" s="145">
        <v>0</v>
      </c>
      <c r="G5" s="145">
        <v>0</v>
      </c>
    </row>
    <row r="6" spans="1:7" x14ac:dyDescent="0.25">
      <c r="A6" s="144">
        <v>2</v>
      </c>
      <c r="B6" s="144" t="s">
        <v>927</v>
      </c>
      <c r="C6" s="143" t="s">
        <v>928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25">
      <c r="A7" s="144">
        <v>3</v>
      </c>
      <c r="B7" s="144" t="s">
        <v>929</v>
      </c>
      <c r="C7" s="143" t="s">
        <v>930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770</v>
      </c>
      <c r="B8" s="144" t="s">
        <v>931</v>
      </c>
      <c r="C8" s="143" t="s">
        <v>932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933</v>
      </c>
      <c r="B9" s="144" t="s">
        <v>934</v>
      </c>
      <c r="C9" s="143" t="s">
        <v>935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936</v>
      </c>
      <c r="B10" s="144" t="s">
        <v>937</v>
      </c>
      <c r="C10" s="143" t="s">
        <v>938</v>
      </c>
      <c r="D10" s="145">
        <v>0</v>
      </c>
      <c r="E10" s="145">
        <v>0</v>
      </c>
      <c r="F10" s="145">
        <v>0</v>
      </c>
      <c r="G10" s="145">
        <v>0</v>
      </c>
    </row>
    <row r="11" spans="1:7" x14ac:dyDescent="0.25">
      <c r="A11" s="144" t="s">
        <v>939</v>
      </c>
      <c r="B11" s="144" t="s">
        <v>940</v>
      </c>
      <c r="C11" s="143" t="s">
        <v>941</v>
      </c>
      <c r="D11" s="145">
        <v>0</v>
      </c>
      <c r="E11" s="145">
        <v>0</v>
      </c>
      <c r="F11" s="145">
        <v>0</v>
      </c>
      <c r="G11" s="145">
        <v>0</v>
      </c>
    </row>
    <row r="12" spans="1:7" x14ac:dyDescent="0.25">
      <c r="A12" s="144">
        <v>2</v>
      </c>
      <c r="B12" s="144" t="s">
        <v>942</v>
      </c>
      <c r="C12" s="143" t="s">
        <v>943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 t="s">
        <v>944</v>
      </c>
      <c r="B13" s="144" t="s">
        <v>945</v>
      </c>
      <c r="C13" s="143" t="s">
        <v>946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25">
      <c r="A14" s="144" t="s">
        <v>947</v>
      </c>
      <c r="B14" s="144" t="s">
        <v>948</v>
      </c>
      <c r="C14" s="143" t="s">
        <v>949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>
        <v>2</v>
      </c>
      <c r="B15" s="144" t="s">
        <v>950</v>
      </c>
      <c r="C15" s="143" t="s">
        <v>951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25">
      <c r="A16" s="144" t="s">
        <v>952</v>
      </c>
      <c r="B16" s="144" t="s">
        <v>953</v>
      </c>
      <c r="C16" s="143" t="s">
        <v>954</v>
      </c>
      <c r="D16" s="145">
        <v>0</v>
      </c>
      <c r="E16" s="145">
        <v>0</v>
      </c>
      <c r="F16" s="145">
        <v>0</v>
      </c>
      <c r="G16" s="145">
        <v>0</v>
      </c>
    </row>
    <row r="17" spans="1:7" x14ac:dyDescent="0.25">
      <c r="A17" s="144" t="s">
        <v>955</v>
      </c>
      <c r="B17" s="144" t="s">
        <v>956</v>
      </c>
      <c r="C17" s="143" t="s">
        <v>957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25">
      <c r="A18" s="144">
        <v>2</v>
      </c>
      <c r="B18" s="144" t="s">
        <v>958</v>
      </c>
      <c r="C18" s="143" t="s">
        <v>959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25">
      <c r="A19" s="144">
        <v>3</v>
      </c>
      <c r="B19" s="144" t="s">
        <v>960</v>
      </c>
      <c r="C19" s="143" t="s">
        <v>961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144" t="s">
        <v>962</v>
      </c>
      <c r="B20" s="144" t="s">
        <v>963</v>
      </c>
      <c r="C20" s="143" t="s">
        <v>964</v>
      </c>
      <c r="D20" s="145">
        <v>-5714.39</v>
      </c>
      <c r="E20" s="145">
        <v>0</v>
      </c>
      <c r="F20" s="145">
        <v>-5714</v>
      </c>
      <c r="G20" s="145">
        <v>0</v>
      </c>
    </row>
    <row r="21" spans="1:7" x14ac:dyDescent="0.25">
      <c r="A21" s="144" t="s">
        <v>965</v>
      </c>
      <c r="B21" s="144" t="s">
        <v>966</v>
      </c>
      <c r="C21" s="143" t="s">
        <v>967</v>
      </c>
      <c r="D21" s="145">
        <v>0</v>
      </c>
      <c r="E21" s="145">
        <v>0</v>
      </c>
      <c r="F21" s="145">
        <v>0</v>
      </c>
      <c r="G21" s="145">
        <v>0</v>
      </c>
    </row>
    <row r="22" spans="1:7" x14ac:dyDescent="0.25">
      <c r="A22" s="144">
        <v>2</v>
      </c>
      <c r="B22" s="144" t="s">
        <v>968</v>
      </c>
      <c r="C22" s="143" t="s">
        <v>969</v>
      </c>
      <c r="D22" s="145">
        <v>-5714.39</v>
      </c>
      <c r="E22" s="145">
        <v>0</v>
      </c>
      <c r="F22" s="145">
        <v>-5714</v>
      </c>
      <c r="G22" s="145">
        <v>0</v>
      </c>
    </row>
    <row r="23" spans="1:7" x14ac:dyDescent="0.25">
      <c r="A23" s="144" t="s">
        <v>970</v>
      </c>
      <c r="B23" s="144" t="s">
        <v>971</v>
      </c>
      <c r="C23" s="143" t="s">
        <v>972</v>
      </c>
      <c r="D23" s="145">
        <v>-23624.52</v>
      </c>
      <c r="E23" s="145">
        <v>-5954.39</v>
      </c>
      <c r="F23" s="145">
        <v>-23625</v>
      </c>
      <c r="G23" s="145">
        <v>-5954</v>
      </c>
    </row>
    <row r="24" spans="1:7" x14ac:dyDescent="0.25">
      <c r="A24" s="144" t="s">
        <v>615</v>
      </c>
      <c r="B24" s="144" t="s">
        <v>973</v>
      </c>
      <c r="C24" s="143" t="s">
        <v>974</v>
      </c>
      <c r="D24" s="145">
        <v>97242.55</v>
      </c>
      <c r="E24" s="145">
        <v>48733.32</v>
      </c>
      <c r="F24" s="145">
        <v>97242</v>
      </c>
      <c r="G24" s="145">
        <v>48733</v>
      </c>
    </row>
    <row r="25" spans="1:7" x14ac:dyDescent="0.25">
      <c r="A25" s="144" t="s">
        <v>820</v>
      </c>
      <c r="B25" s="144" t="s">
        <v>975</v>
      </c>
      <c r="C25" s="143" t="s">
        <v>976</v>
      </c>
      <c r="D25" s="145">
        <v>0</v>
      </c>
      <c r="E25" s="145">
        <v>0</v>
      </c>
      <c r="F25" s="145">
        <v>0</v>
      </c>
      <c r="G25" s="145">
        <v>0</v>
      </c>
    </row>
    <row r="26" spans="1:7" x14ac:dyDescent="0.25">
      <c r="A26" s="144" t="s">
        <v>823</v>
      </c>
      <c r="B26" s="144" t="s">
        <v>977</v>
      </c>
      <c r="C26" s="143" t="s">
        <v>978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 t="s">
        <v>842</v>
      </c>
      <c r="B27" s="144" t="s">
        <v>979</v>
      </c>
      <c r="C27" s="143" t="s">
        <v>980</v>
      </c>
      <c r="D27" s="145">
        <v>0</v>
      </c>
      <c r="E27" s="145">
        <v>0</v>
      </c>
      <c r="F27" s="145">
        <v>0</v>
      </c>
      <c r="G27" s="145">
        <v>0</v>
      </c>
    </row>
    <row r="28" spans="1:7" x14ac:dyDescent="0.25">
      <c r="A28" s="144" t="s">
        <v>845</v>
      </c>
      <c r="B28" s="144" t="s">
        <v>981</v>
      </c>
      <c r="C28" s="143" t="s">
        <v>982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25">
      <c r="A29" s="144" t="s">
        <v>848</v>
      </c>
      <c r="B29" s="144" t="s">
        <v>983</v>
      </c>
      <c r="C29" s="143" t="s">
        <v>984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25">
      <c r="A30" s="144">
        <v>2</v>
      </c>
      <c r="B30" s="144" t="s">
        <v>851</v>
      </c>
      <c r="C30" s="143" t="s">
        <v>985</v>
      </c>
      <c r="D30" s="145">
        <v>0</v>
      </c>
      <c r="E30" s="145">
        <v>0</v>
      </c>
      <c r="F30" s="145">
        <v>0</v>
      </c>
      <c r="G30" s="145">
        <v>0</v>
      </c>
    </row>
    <row r="31" spans="1:7" x14ac:dyDescent="0.25">
      <c r="A31" s="144">
        <v>3</v>
      </c>
      <c r="B31" s="144" t="s">
        <v>986</v>
      </c>
      <c r="C31" s="143" t="s">
        <v>987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>
        <v>4</v>
      </c>
      <c r="B32" s="144" t="s">
        <v>988</v>
      </c>
      <c r="C32" s="143" t="s">
        <v>989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>
        <v>5</v>
      </c>
      <c r="B33" s="144" t="s">
        <v>990</v>
      </c>
      <c r="C33" s="143" t="s">
        <v>991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6</v>
      </c>
      <c r="B34" s="144" t="s">
        <v>992</v>
      </c>
      <c r="C34" s="143" t="s">
        <v>993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7</v>
      </c>
      <c r="B35" s="144" t="s">
        <v>994</v>
      </c>
      <c r="C35" s="143" t="s">
        <v>995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>
        <v>8</v>
      </c>
      <c r="B36" s="144" t="s">
        <v>996</v>
      </c>
      <c r="C36" s="143" t="s">
        <v>997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>
        <v>9</v>
      </c>
      <c r="B37" s="144" t="s">
        <v>998</v>
      </c>
      <c r="C37" s="143" t="s">
        <v>999</v>
      </c>
      <c r="D37" s="145">
        <v>0</v>
      </c>
      <c r="E37" s="145">
        <v>0</v>
      </c>
      <c r="F37" s="145">
        <v>0</v>
      </c>
      <c r="G37" s="145">
        <v>0</v>
      </c>
    </row>
    <row r="38" spans="1:7" x14ac:dyDescent="0.25">
      <c r="A38" s="144">
        <v>10</v>
      </c>
      <c r="B38" s="144" t="s">
        <v>1000</v>
      </c>
      <c r="C38" s="143" t="s">
        <v>1001</v>
      </c>
      <c r="D38" s="145">
        <v>0</v>
      </c>
      <c r="E38" s="145">
        <v>0</v>
      </c>
      <c r="F38" s="145">
        <v>0</v>
      </c>
      <c r="G38" s="145">
        <v>0</v>
      </c>
    </row>
    <row r="39" spans="1:7" x14ac:dyDescent="0.25">
      <c r="A39" s="144">
        <v>11</v>
      </c>
      <c r="B39" s="144" t="s">
        <v>1002</v>
      </c>
      <c r="C39" s="143" t="s">
        <v>1003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>
        <v>12</v>
      </c>
      <c r="B40" s="144" t="s">
        <v>1004</v>
      </c>
      <c r="C40" s="143" t="s">
        <v>1005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 t="s">
        <v>1006</v>
      </c>
      <c r="B41" s="144" t="s">
        <v>1007</v>
      </c>
      <c r="C41" s="143" t="s">
        <v>1008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 t="s">
        <v>1009</v>
      </c>
      <c r="B42" s="144" t="s">
        <v>1010</v>
      </c>
      <c r="C42" s="143" t="s">
        <v>1011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25">
      <c r="A43" s="144">
        <v>2</v>
      </c>
      <c r="B43" s="144" t="s">
        <v>1012</v>
      </c>
      <c r="C43" s="143" t="s">
        <v>1013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1014</v>
      </c>
      <c r="B44" s="144" t="s">
        <v>1015</v>
      </c>
      <c r="C44" s="143" t="s">
        <v>1016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1017</v>
      </c>
      <c r="B45" s="144" t="s">
        <v>1018</v>
      </c>
      <c r="C45" s="143" t="s">
        <v>1019</v>
      </c>
      <c r="D45" s="145">
        <v>97242.55</v>
      </c>
      <c r="E45" s="145">
        <v>48733.32</v>
      </c>
      <c r="F45" s="145">
        <v>97242</v>
      </c>
      <c r="G45" s="145">
        <v>48733</v>
      </c>
    </row>
    <row r="46" spans="1:7" x14ac:dyDescent="0.25">
      <c r="A46" s="144" t="s">
        <v>1020</v>
      </c>
      <c r="B46" s="144" t="s">
        <v>1021</v>
      </c>
      <c r="C46" s="143" t="s">
        <v>1022</v>
      </c>
      <c r="D46" s="145">
        <v>61983.17</v>
      </c>
      <c r="E46" s="145">
        <v>19229.02</v>
      </c>
      <c r="F46" s="145">
        <v>61983</v>
      </c>
      <c r="G46" s="145">
        <v>19229</v>
      </c>
    </row>
    <row r="47" spans="1:7" x14ac:dyDescent="0.25">
      <c r="A47" s="144" t="s">
        <v>842</v>
      </c>
      <c r="B47" s="144" t="s">
        <v>1023</v>
      </c>
      <c r="C47" s="143" t="s">
        <v>1024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845</v>
      </c>
      <c r="B48" s="144" t="s">
        <v>1025</v>
      </c>
      <c r="C48" s="143" t="s">
        <v>1026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848</v>
      </c>
      <c r="B49" s="144" t="s">
        <v>1027</v>
      </c>
      <c r="C49" s="143" t="s">
        <v>1028</v>
      </c>
      <c r="D49" s="145">
        <v>61983.17</v>
      </c>
      <c r="E49" s="145">
        <v>19229.02</v>
      </c>
      <c r="F49" s="145">
        <v>61983</v>
      </c>
      <c r="G49" s="145">
        <v>19229</v>
      </c>
    </row>
    <row r="50" spans="1:7" x14ac:dyDescent="0.25">
      <c r="A50" s="144">
        <v>2</v>
      </c>
      <c r="B50" s="144" t="s">
        <v>851</v>
      </c>
      <c r="C50" s="143" t="s">
        <v>1029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25">
      <c r="A51" s="144">
        <v>3</v>
      </c>
      <c r="B51" s="144" t="s">
        <v>1030</v>
      </c>
      <c r="C51" s="143" t="s">
        <v>1031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4</v>
      </c>
      <c r="B52" s="144" t="s">
        <v>1032</v>
      </c>
      <c r="C52" s="143" t="s">
        <v>1033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25">
      <c r="A53" s="144">
        <v>5</v>
      </c>
      <c r="B53" s="144" t="s">
        <v>1034</v>
      </c>
      <c r="C53" s="143" t="s">
        <v>1035</v>
      </c>
      <c r="D53" s="145">
        <v>12500</v>
      </c>
      <c r="E53" s="145">
        <v>12500</v>
      </c>
      <c r="F53" s="145">
        <v>12500</v>
      </c>
      <c r="G53" s="145">
        <v>12500</v>
      </c>
    </row>
    <row r="54" spans="1:7" x14ac:dyDescent="0.25">
      <c r="A54" s="144">
        <v>6</v>
      </c>
      <c r="B54" s="144" t="s">
        <v>1036</v>
      </c>
      <c r="C54" s="143" t="s">
        <v>538</v>
      </c>
      <c r="D54" s="145">
        <v>0</v>
      </c>
      <c r="E54" s="145">
        <v>0</v>
      </c>
      <c r="F54" s="145">
        <v>0</v>
      </c>
      <c r="G54" s="145">
        <v>0</v>
      </c>
    </row>
    <row r="55" spans="1:7" x14ac:dyDescent="0.25">
      <c r="A55" s="144">
        <v>7</v>
      </c>
      <c r="B55" s="144" t="s">
        <v>1037</v>
      </c>
      <c r="C55" s="143" t="s">
        <v>539</v>
      </c>
      <c r="D55" s="145">
        <v>0</v>
      </c>
      <c r="E55" s="145">
        <v>0</v>
      </c>
      <c r="F55" s="145">
        <v>0</v>
      </c>
      <c r="G55" s="145">
        <v>0</v>
      </c>
    </row>
    <row r="56" spans="1:7" x14ac:dyDescent="0.25">
      <c r="A56" s="144">
        <v>8</v>
      </c>
      <c r="B56" s="144" t="s">
        <v>1038</v>
      </c>
      <c r="C56" s="143" t="s">
        <v>1039</v>
      </c>
      <c r="D56" s="145">
        <v>3005.4</v>
      </c>
      <c r="E56" s="145">
        <v>1265.18</v>
      </c>
      <c r="F56" s="145">
        <v>3005</v>
      </c>
      <c r="G56" s="145">
        <v>1265</v>
      </c>
    </row>
    <row r="57" spans="1:7" x14ac:dyDescent="0.25">
      <c r="A57" s="144">
        <v>9</v>
      </c>
      <c r="B57" s="144" t="s">
        <v>1040</v>
      </c>
      <c r="C57" s="143" t="s">
        <v>1041</v>
      </c>
      <c r="D57" s="145">
        <v>0</v>
      </c>
      <c r="E57" s="145">
        <v>0</v>
      </c>
      <c r="F57" s="145">
        <v>0</v>
      </c>
      <c r="G57" s="145">
        <v>0</v>
      </c>
    </row>
    <row r="58" spans="1:7" x14ac:dyDescent="0.25">
      <c r="A58" s="144">
        <v>10</v>
      </c>
      <c r="B58" s="144" t="s">
        <v>1042</v>
      </c>
      <c r="C58" s="143" t="s">
        <v>1043</v>
      </c>
      <c r="D58" s="145">
        <v>19753.98</v>
      </c>
      <c r="E58" s="145">
        <v>15739.12</v>
      </c>
      <c r="F58" s="145">
        <v>19754</v>
      </c>
      <c r="G58" s="145">
        <v>15739</v>
      </c>
    </row>
    <row r="59" spans="1:7" x14ac:dyDescent="0.25">
      <c r="A59" s="144" t="s">
        <v>899</v>
      </c>
      <c r="B59" s="144" t="s">
        <v>1044</v>
      </c>
      <c r="C59" s="143" t="s">
        <v>1045</v>
      </c>
      <c r="D59" s="145">
        <v>0</v>
      </c>
      <c r="E59" s="145">
        <v>0</v>
      </c>
      <c r="F59" s="145">
        <v>0</v>
      </c>
      <c r="G59" s="145">
        <v>0</v>
      </c>
    </row>
    <row r="60" spans="1:7" x14ac:dyDescent="0.25">
      <c r="A60" s="144" t="s">
        <v>902</v>
      </c>
      <c r="B60" s="144" t="s">
        <v>1046</v>
      </c>
      <c r="C60" s="143" t="s">
        <v>1047</v>
      </c>
      <c r="D60" s="145">
        <v>0</v>
      </c>
      <c r="E60" s="145">
        <v>0</v>
      </c>
      <c r="F60" s="145">
        <v>0</v>
      </c>
      <c r="G60" s="145">
        <v>0</v>
      </c>
    </row>
    <row r="61" spans="1:7" x14ac:dyDescent="0.25">
      <c r="A61" s="144">
        <v>2</v>
      </c>
      <c r="B61" s="144" t="s">
        <v>1048</v>
      </c>
      <c r="C61" s="143" t="s">
        <v>1049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1050</v>
      </c>
      <c r="B62" s="144" t="s">
        <v>1051</v>
      </c>
      <c r="C62" s="143" t="s">
        <v>1052</v>
      </c>
      <c r="D62" s="145">
        <v>0</v>
      </c>
      <c r="E62" s="145">
        <v>0</v>
      </c>
      <c r="F62" s="145">
        <v>0</v>
      </c>
      <c r="G62" s="145">
        <v>0</v>
      </c>
    </row>
    <row r="63" spans="1:7" x14ac:dyDescent="0.25">
      <c r="A63" s="144" t="s">
        <v>1053</v>
      </c>
      <c r="B63" s="144" t="s">
        <v>1054</v>
      </c>
      <c r="C63" s="143" t="s">
        <v>1055</v>
      </c>
      <c r="D63" s="145">
        <v>0</v>
      </c>
      <c r="E63" s="145">
        <v>0</v>
      </c>
      <c r="F63" s="145">
        <v>0</v>
      </c>
      <c r="G63" s="145">
        <v>0</v>
      </c>
    </row>
    <row r="64" spans="1:7" x14ac:dyDescent="0.25">
      <c r="A64" s="144" t="s">
        <v>618</v>
      </c>
      <c r="B64" s="144" t="s">
        <v>1056</v>
      </c>
      <c r="C64" s="143" t="s">
        <v>1057</v>
      </c>
      <c r="D64" s="145">
        <v>0</v>
      </c>
      <c r="E64" s="145">
        <v>0</v>
      </c>
      <c r="F64" s="145">
        <v>0</v>
      </c>
      <c r="G64" s="145">
        <v>0</v>
      </c>
    </row>
    <row r="65" spans="1:7" x14ac:dyDescent="0.25">
      <c r="A65" s="144" t="s">
        <v>909</v>
      </c>
      <c r="B65" s="144" t="s">
        <v>1058</v>
      </c>
      <c r="C65" s="143" t="s">
        <v>1059</v>
      </c>
      <c r="D65" s="145">
        <v>0</v>
      </c>
      <c r="E65" s="145">
        <v>0</v>
      </c>
      <c r="F65" s="145">
        <v>0</v>
      </c>
      <c r="G65" s="145">
        <v>0</v>
      </c>
    </row>
    <row r="66" spans="1:7" x14ac:dyDescent="0.25">
      <c r="A66" s="144">
        <v>2</v>
      </c>
      <c r="B66" s="144" t="s">
        <v>1060</v>
      </c>
      <c r="C66" s="143" t="s">
        <v>1061</v>
      </c>
      <c r="D66" s="145">
        <v>0</v>
      </c>
      <c r="E66" s="145">
        <v>0</v>
      </c>
      <c r="F66" s="145">
        <v>0</v>
      </c>
      <c r="G66" s="145">
        <v>0</v>
      </c>
    </row>
    <row r="67" spans="1:7" x14ac:dyDescent="0.25">
      <c r="A67" s="144">
        <v>3</v>
      </c>
      <c r="B67" s="144" t="s">
        <v>1062</v>
      </c>
      <c r="C67" s="143" t="s">
        <v>1063</v>
      </c>
      <c r="D67" s="145">
        <v>0</v>
      </c>
      <c r="E67" s="145">
        <v>0</v>
      </c>
      <c r="F67" s="145">
        <v>0</v>
      </c>
      <c r="G67" s="145">
        <v>0</v>
      </c>
    </row>
    <row r="68" spans="1:7" x14ac:dyDescent="0.25">
      <c r="A68" s="144">
        <v>4</v>
      </c>
      <c r="B68" s="144" t="s">
        <v>1064</v>
      </c>
      <c r="C68" s="143" t="s">
        <v>1065</v>
      </c>
      <c r="D68" s="145">
        <v>0</v>
      </c>
      <c r="E68" s="145">
        <v>0</v>
      </c>
      <c r="F68" s="145">
        <v>0</v>
      </c>
      <c r="G68" s="145">
        <v>0</v>
      </c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7" customWidth="1"/>
    <col min="2" max="2" width="24.85546875" style="17" customWidth="1"/>
  </cols>
  <sheetData>
    <row r="1" spans="1:2" x14ac:dyDescent="0.25">
      <c r="A1" s="152" t="s">
        <v>365</v>
      </c>
      <c r="B1" s="152" t="s">
        <v>45</v>
      </c>
    </row>
    <row r="2" spans="1:2" x14ac:dyDescent="0.25">
      <c r="A2" s="17" t="s">
        <v>1066</v>
      </c>
      <c r="B2" s="17" t="s">
        <v>1067</v>
      </c>
    </row>
    <row r="3" spans="1:2" x14ac:dyDescent="0.25">
      <c r="A3" s="17" t="s">
        <v>1068</v>
      </c>
      <c r="B3" s="17" t="s">
        <v>1069</v>
      </c>
    </row>
    <row r="4" spans="1:2" x14ac:dyDescent="0.25">
      <c r="A4" s="17" t="s">
        <v>1070</v>
      </c>
      <c r="B4" s="17" t="s">
        <v>1071</v>
      </c>
    </row>
    <row r="5" spans="1:2" x14ac:dyDescent="0.25">
      <c r="A5" s="17" t="s">
        <v>1072</v>
      </c>
      <c r="B5" s="17" t="s">
        <v>1073</v>
      </c>
    </row>
    <row r="6" spans="1:2" x14ac:dyDescent="0.25">
      <c r="A6" s="17" t="s">
        <v>1074</v>
      </c>
      <c r="B6" s="17" t="s">
        <v>1075</v>
      </c>
    </row>
    <row r="7" spans="1:2" x14ac:dyDescent="0.25">
      <c r="A7" s="17" t="s">
        <v>1076</v>
      </c>
      <c r="B7" s="17">
        <v>50249584</v>
      </c>
    </row>
    <row r="8" spans="1:2" x14ac:dyDescent="0.25">
      <c r="A8" s="17" t="s">
        <v>1077</v>
      </c>
      <c r="B8" s="17">
        <v>2120257392</v>
      </c>
    </row>
    <row r="9" spans="1:2" x14ac:dyDescent="0.25">
      <c r="A9" s="17" t="s">
        <v>1078</v>
      </c>
    </row>
    <row r="10" spans="1:2" x14ac:dyDescent="0.25">
      <c r="A10" s="17" t="s">
        <v>1079</v>
      </c>
      <c r="B10" s="17" t="s">
        <v>1080</v>
      </c>
    </row>
    <row r="11" spans="1:2" x14ac:dyDescent="0.25">
      <c r="A11" s="17" t="s">
        <v>1081</v>
      </c>
    </row>
    <row r="12" spans="1:2" x14ac:dyDescent="0.25">
      <c r="A12" s="17" t="s">
        <v>1082</v>
      </c>
      <c r="B12" s="17" t="s">
        <v>1083</v>
      </c>
    </row>
    <row r="13" spans="1:2" x14ac:dyDescent="0.25">
      <c r="A13" s="17" t="s">
        <v>1084</v>
      </c>
    </row>
    <row r="14" spans="1:2" x14ac:dyDescent="0.25">
      <c r="A14" s="17" t="s">
        <v>1085</v>
      </c>
      <c r="B14" s="17" t="s">
        <v>1086</v>
      </c>
    </row>
    <row r="15" spans="1:2" x14ac:dyDescent="0.25">
      <c r="A15" s="17" t="s">
        <v>1087</v>
      </c>
      <c r="B15" s="17" t="s">
        <v>1088</v>
      </c>
    </row>
    <row r="16" spans="1:2" x14ac:dyDescent="0.25">
      <c r="A16" s="17" t="s">
        <v>1089</v>
      </c>
    </row>
    <row r="17" spans="1:1" x14ac:dyDescent="0.25">
      <c r="A17" s="17" t="s">
        <v>1090</v>
      </c>
    </row>
    <row r="18" spans="1:1" x14ac:dyDescent="0.25">
      <c r="A18" s="17" t="s">
        <v>1091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372</v>
      </c>
    </row>
    <row r="2" spans="1:2" ht="21" customHeight="1" thickTop="1" thickBot="1" x14ac:dyDescent="0.3">
      <c r="A2" s="9" t="s">
        <v>28</v>
      </c>
      <c r="B2" s="10" t="s">
        <v>26</v>
      </c>
    </row>
    <row r="3" spans="1:2" ht="30" customHeight="1" thickTop="1" thickBot="1" x14ac:dyDescent="0.3">
      <c r="A3" s="11" t="s">
        <v>35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42"/>
  <sheetViews>
    <sheetView showGridLines="0" tabSelected="1" topLeftCell="A19" zoomScaleNormal="100" workbookViewId="0">
      <selection activeCell="I26" sqref="I26"/>
    </sheetView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1" t="s">
        <v>371</v>
      </c>
    </row>
    <row r="2" spans="1:33" ht="17.25" thickBot="1" x14ac:dyDescent="0.35">
      <c r="A2" s="2" t="s">
        <v>7</v>
      </c>
    </row>
    <row r="3" spans="1:33" ht="16.5" customHeight="1" thickTop="1" thickBot="1" x14ac:dyDescent="0.3">
      <c r="A3" s="275" t="s">
        <v>40</v>
      </c>
      <c r="B3" s="280" t="s">
        <v>2</v>
      </c>
      <c r="C3" s="281"/>
      <c r="D3" s="281"/>
      <c r="E3" s="281"/>
      <c r="F3" s="281"/>
      <c r="G3" s="281"/>
      <c r="H3" s="281"/>
      <c r="I3" s="281"/>
      <c r="J3" s="28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66.75" customHeight="1" thickTop="1" thickBot="1" x14ac:dyDescent="0.3">
      <c r="A4" s="276"/>
      <c r="B4" s="136" t="s">
        <v>36</v>
      </c>
      <c r="C4" s="137" t="s">
        <v>327</v>
      </c>
      <c r="D4" s="136" t="s">
        <v>37</v>
      </c>
      <c r="E4" s="137" t="s">
        <v>326</v>
      </c>
      <c r="F4" s="136" t="s">
        <v>38</v>
      </c>
      <c r="G4" s="136" t="s">
        <v>39</v>
      </c>
      <c r="H4" s="137" t="s">
        <v>300</v>
      </c>
      <c r="I4" s="136" t="s">
        <v>301</v>
      </c>
      <c r="J4" s="136" t="s">
        <v>8</v>
      </c>
    </row>
    <row r="5" spans="1:33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29"/>
      <c r="J5" s="30"/>
      <c r="K5" s="176"/>
      <c r="L5" s="176"/>
      <c r="M5" s="176"/>
      <c r="N5" s="176"/>
      <c r="O5" s="176"/>
      <c r="P5" s="176"/>
      <c r="Q5" s="176"/>
      <c r="R5" s="176"/>
      <c r="S5" s="3"/>
      <c r="T5" s="3"/>
      <c r="U5" s="3"/>
      <c r="V5" s="3"/>
      <c r="W5" s="3"/>
      <c r="X5" s="3"/>
      <c r="Y5" s="3"/>
    </row>
    <row r="6" spans="1:33" ht="24" thickTop="1" thickBot="1" x14ac:dyDescent="0.3">
      <c r="A6" s="31" t="s">
        <v>17</v>
      </c>
      <c r="B6" s="168">
        <f>SUMIF(HK!A:A,"061*",HK!C:C)-SUMIF(HK!A:A,"061*",HK!D:D)</f>
        <v>0</v>
      </c>
      <c r="C6" s="168">
        <f>SUMIF(HK!A:A,"062*",HK!C:C)-SUMIF(HK!A:A,"062*",HK!D:D)</f>
        <v>0</v>
      </c>
      <c r="D6" s="168">
        <f>SUMIF(HK!A:A,"063*",HK!C:C)-SUMIF(HK!A:A,"063*",HK!D:D)</f>
        <v>0</v>
      </c>
      <c r="E6" s="168">
        <f>SUMIF(HK!A:A,"066*",HK!C:C)-SUMIF(HK!A:A,"066*",HK!D:D)</f>
        <v>0</v>
      </c>
      <c r="F6" s="168">
        <f>SUMIF(HK!A:A,"067*",HK!C:C)-SUMIF(HK!A:A,"067*",HK!D:D)</f>
        <v>0</v>
      </c>
      <c r="G6" s="132"/>
      <c r="H6" s="168">
        <f>SUMIF(HK!A:A,"043*",HK!C:C)-SUMIF(HK!A:A,"043*",HK!D:D)</f>
        <v>0</v>
      </c>
      <c r="I6" s="168">
        <f>SUMIF(HK!A:A,"053*",HK!C:C)-SUMIF(HK!A:A,"053*",HK!D:D)</f>
        <v>0</v>
      </c>
      <c r="J6" s="14">
        <f>SUM(B6:I6)</f>
        <v>0</v>
      </c>
      <c r="K6" s="138"/>
      <c r="L6" s="154"/>
      <c r="M6" s="138"/>
      <c r="N6" s="138"/>
      <c r="O6" s="138"/>
      <c r="P6" s="138"/>
      <c r="Q6" s="138"/>
      <c r="R6" s="138"/>
    </row>
    <row r="7" spans="1:33" ht="15" customHeight="1" thickBot="1" x14ac:dyDescent="0.3">
      <c r="A7" s="13" t="s">
        <v>18</v>
      </c>
      <c r="B7" s="132"/>
      <c r="C7" s="132"/>
      <c r="D7" s="132"/>
      <c r="E7" s="132"/>
      <c r="F7" s="133"/>
      <c r="G7" s="132"/>
      <c r="H7" s="132"/>
      <c r="I7" s="132"/>
      <c r="J7" s="14">
        <f t="shared" ref="J7:J9" si="0">SUM(B7:I7)</f>
        <v>0</v>
      </c>
      <c r="K7" s="138"/>
      <c r="L7" s="138"/>
      <c r="M7" s="138"/>
      <c r="N7" s="138"/>
      <c r="O7" s="138"/>
      <c r="P7" s="138"/>
      <c r="Q7" s="138"/>
      <c r="R7" s="138"/>
    </row>
    <row r="8" spans="1:33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32"/>
      <c r="J8" s="14">
        <f t="shared" si="0"/>
        <v>0</v>
      </c>
      <c r="K8" s="138"/>
      <c r="L8" s="138"/>
      <c r="M8" s="138"/>
      <c r="N8" s="138"/>
      <c r="O8" s="138"/>
      <c r="P8" s="138"/>
      <c r="Q8" s="138"/>
      <c r="R8" s="138"/>
    </row>
    <row r="9" spans="1:33" ht="15" customHeight="1" thickBot="1" x14ac:dyDescent="0.3">
      <c r="A9" s="13" t="s">
        <v>20</v>
      </c>
      <c r="B9" s="132"/>
      <c r="C9" s="132"/>
      <c r="D9" s="132"/>
      <c r="E9" s="132"/>
      <c r="F9" s="133"/>
      <c r="G9" s="132"/>
      <c r="H9" s="132"/>
      <c r="I9" s="132"/>
      <c r="J9" s="14">
        <f t="shared" si="0"/>
        <v>0</v>
      </c>
      <c r="K9" s="138"/>
      <c r="L9" s="138"/>
      <c r="M9" s="138"/>
      <c r="N9" s="138"/>
      <c r="O9" s="138"/>
      <c r="P9" s="138"/>
      <c r="Q9" s="138"/>
      <c r="R9" s="138"/>
    </row>
    <row r="10" spans="1:33" ht="15.75" thickBot="1" x14ac:dyDescent="0.3">
      <c r="A10" s="22" t="s">
        <v>21</v>
      </c>
      <c r="B10" s="168">
        <f>SUMIF(HK!A:A,"061*",HK!K:K)-SUMIF(HK!A:A,"061*",HK!L:L)</f>
        <v>0</v>
      </c>
      <c r="C10" s="168">
        <f>SUMIF(HK!A:A,"062*",HK!K:K)-SUMIF(HK!A:A,"062*",HK!L:L)</f>
        <v>0</v>
      </c>
      <c r="D10" s="168">
        <f>SUMIF(HK!A:A,"063*",HK!K:K)-SUMIF(HK!A:A,"063*",HK!L:L)</f>
        <v>0</v>
      </c>
      <c r="E10" s="168">
        <f>SUMIF(HK!A:A,"066*",HK!K:K)-SUMIF(HK!A:A,"066*",HK!L:L)</f>
        <v>0</v>
      </c>
      <c r="F10" s="168">
        <f>SUMIF(HK!A:A,"067*",HK!K:K)-SUMIF(HK!A:A,"067*",HK!L:L)</f>
        <v>0</v>
      </c>
      <c r="G10" s="132"/>
      <c r="H10" s="168">
        <f>SUMIF(HK!A:A,"043*",HK!K:K)-SUMIF(HK!A:A,"043*",HK!L:L)</f>
        <v>0</v>
      </c>
      <c r="I10" s="168">
        <f>SUMIF(HK!A:A,"053*",HK!K:K)-SUMIF(HK!A:A,"053*",HK!L:L)</f>
        <v>0</v>
      </c>
      <c r="J10" s="16">
        <f>J6+J7-J8+J9</f>
        <v>0</v>
      </c>
      <c r="K10" s="138"/>
      <c r="L10" s="154"/>
      <c r="M10" s="138"/>
      <c r="N10" s="138"/>
      <c r="O10" s="138"/>
      <c r="P10" s="138"/>
      <c r="Q10" s="138"/>
      <c r="R10" s="138"/>
    </row>
    <row r="11" spans="1:33" ht="15" customHeight="1" thickTop="1" thickBot="1" x14ac:dyDescent="0.3">
      <c r="A11" s="28" t="s">
        <v>24</v>
      </c>
      <c r="B11" s="173"/>
      <c r="C11" s="173"/>
      <c r="D11" s="173"/>
      <c r="E11" s="173"/>
      <c r="F11" s="173"/>
      <c r="G11" s="173"/>
      <c r="H11" s="173"/>
      <c r="I11" s="173"/>
      <c r="J11" s="30"/>
      <c r="K11" s="138"/>
      <c r="L11" s="138"/>
      <c r="M11" s="138"/>
      <c r="N11" s="138"/>
      <c r="O11" s="138"/>
      <c r="P11" s="138"/>
      <c r="Q11" s="138"/>
      <c r="R11" s="138"/>
    </row>
    <row r="12" spans="1:33" ht="24" thickTop="1" thickBot="1" x14ac:dyDescent="0.3">
      <c r="A12" s="31" t="s">
        <v>23</v>
      </c>
      <c r="B12" s="168"/>
      <c r="C12" s="168"/>
      <c r="D12" s="168"/>
      <c r="E12" s="168"/>
      <c r="F12" s="168"/>
      <c r="G12" s="168"/>
      <c r="H12" s="168"/>
      <c r="I12" s="168">
        <f>SUMIF(SUAM!C:C,"032",SUAM!E:E)</f>
        <v>0</v>
      </c>
      <c r="J12" s="14">
        <f>SUM(B12:I12)</f>
        <v>0</v>
      </c>
      <c r="K12" s="138"/>
      <c r="L12" s="154"/>
      <c r="M12" s="138"/>
      <c r="N12" s="161"/>
      <c r="O12" s="138"/>
      <c r="P12" s="138"/>
      <c r="Q12" s="138"/>
      <c r="R12" s="138"/>
    </row>
    <row r="13" spans="1:33" ht="15" customHeight="1" thickBot="1" x14ac:dyDescent="0.3">
      <c r="A13" s="13" t="s">
        <v>18</v>
      </c>
      <c r="B13" s="132"/>
      <c r="C13" s="132"/>
      <c r="D13" s="132"/>
      <c r="E13" s="132"/>
      <c r="F13" s="132"/>
      <c r="G13" s="132"/>
      <c r="H13" s="132"/>
      <c r="I13" s="132"/>
      <c r="J13" s="14">
        <f>SUM(B13:I13)</f>
        <v>0</v>
      </c>
      <c r="K13" s="138"/>
      <c r="L13" s="138"/>
      <c r="M13" s="138"/>
      <c r="N13" s="138"/>
      <c r="O13" s="138"/>
      <c r="P13" s="138"/>
      <c r="Q13" s="138"/>
      <c r="R13" s="138"/>
    </row>
    <row r="14" spans="1:33" ht="15" customHeight="1" thickBot="1" x14ac:dyDescent="0.3">
      <c r="A14" s="13" t="s">
        <v>19</v>
      </c>
      <c r="B14" s="132"/>
      <c r="C14" s="132"/>
      <c r="D14" s="132"/>
      <c r="E14" s="132"/>
      <c r="F14" s="132"/>
      <c r="G14" s="132"/>
      <c r="H14" s="132"/>
      <c r="I14" s="132"/>
      <c r="J14" s="14">
        <f>SUM(B14:I14)</f>
        <v>0</v>
      </c>
      <c r="K14" s="138"/>
      <c r="L14" s="138"/>
      <c r="M14" s="138"/>
      <c r="N14" s="138"/>
      <c r="O14" s="138"/>
      <c r="P14" s="138"/>
      <c r="Q14" s="138"/>
      <c r="R14" s="138"/>
    </row>
    <row r="15" spans="1:33" ht="15" customHeight="1" thickBot="1" x14ac:dyDescent="0.3">
      <c r="A15" s="267" t="s">
        <v>20</v>
      </c>
      <c r="B15" s="133"/>
      <c r="C15" s="133"/>
      <c r="D15" s="133"/>
      <c r="E15" s="133"/>
      <c r="F15" s="133"/>
      <c r="G15" s="133"/>
      <c r="H15" s="133"/>
      <c r="I15" s="133"/>
      <c r="J15" s="268"/>
      <c r="K15" s="138"/>
      <c r="L15" s="138"/>
      <c r="M15" s="138"/>
      <c r="N15" s="138"/>
      <c r="O15" s="138"/>
      <c r="P15" s="138"/>
      <c r="Q15" s="138"/>
      <c r="R15" s="138"/>
    </row>
    <row r="16" spans="1:33" ht="15.75" thickBot="1" x14ac:dyDescent="0.3">
      <c r="A16" s="22" t="s">
        <v>21</v>
      </c>
      <c r="B16" s="168"/>
      <c r="C16" s="168"/>
      <c r="D16" s="168"/>
      <c r="E16" s="168"/>
      <c r="F16" s="168"/>
      <c r="G16" s="168"/>
      <c r="H16" s="168"/>
      <c r="I16" s="168">
        <f>SUMIF(SUA!C:C,"032",SUA!E:E)</f>
        <v>0</v>
      </c>
      <c r="J16" s="16">
        <f>J12+J13-J14</f>
        <v>0</v>
      </c>
      <c r="K16" s="138"/>
      <c r="L16" s="154"/>
      <c r="M16" s="138"/>
      <c r="N16" s="161"/>
      <c r="O16" s="138"/>
      <c r="P16" s="138"/>
      <c r="Q16" s="138"/>
      <c r="R16" s="138"/>
    </row>
    <row r="17" spans="1:33" ht="15" customHeight="1" thickTop="1" thickBot="1" x14ac:dyDescent="0.3">
      <c r="A17" s="28" t="s">
        <v>368</v>
      </c>
      <c r="B17" s="173"/>
      <c r="C17" s="173"/>
      <c r="D17" s="173"/>
      <c r="E17" s="173"/>
      <c r="F17" s="173"/>
      <c r="G17" s="173"/>
      <c r="H17" s="173"/>
      <c r="I17" s="173"/>
      <c r="J17" s="30"/>
      <c r="K17" s="138"/>
      <c r="L17" s="138"/>
      <c r="M17" s="138"/>
      <c r="N17" s="138"/>
      <c r="O17" s="138"/>
      <c r="P17" s="138"/>
      <c r="Q17" s="138"/>
      <c r="R17" s="138"/>
    </row>
    <row r="18" spans="1:33" ht="15" customHeight="1" thickTop="1" thickBot="1" x14ac:dyDescent="0.3">
      <c r="A18" s="31" t="s">
        <v>23</v>
      </c>
      <c r="B18" s="132"/>
      <c r="C18" s="132"/>
      <c r="D18" s="132"/>
      <c r="E18" s="132"/>
      <c r="F18" s="132"/>
      <c r="G18" s="132"/>
      <c r="H18" s="132"/>
      <c r="I18" s="132"/>
      <c r="J18" s="14"/>
    </row>
    <row r="19" spans="1:33" ht="15" customHeight="1" thickBot="1" x14ac:dyDescent="0.3">
      <c r="A19" s="22" t="s">
        <v>21</v>
      </c>
      <c r="B19" s="135"/>
      <c r="C19" s="135"/>
      <c r="D19" s="135"/>
      <c r="E19" s="135"/>
      <c r="F19" s="135"/>
      <c r="G19" s="135"/>
      <c r="H19" s="135"/>
      <c r="I19" s="135"/>
      <c r="J19" s="16"/>
    </row>
    <row r="20" spans="1:33" ht="15.75" thickTop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33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33" ht="15.75" thickBot="1" x14ac:dyDescent="0.3">
      <c r="A22" s="163" t="s">
        <v>9</v>
      </c>
      <c r="B22" s="163"/>
      <c r="C22" s="163"/>
      <c r="D22" s="163"/>
      <c r="E22" s="163"/>
      <c r="F22" s="163"/>
      <c r="G22" s="163"/>
      <c r="H22" s="163"/>
      <c r="I22" s="163"/>
      <c r="J22" s="163"/>
    </row>
    <row r="23" spans="1:33" ht="16.5" customHeight="1" thickTop="1" thickBot="1" x14ac:dyDescent="0.3">
      <c r="A23" s="283" t="s">
        <v>40</v>
      </c>
      <c r="B23" s="277" t="s">
        <v>3</v>
      </c>
      <c r="C23" s="278"/>
      <c r="D23" s="278"/>
      <c r="E23" s="278"/>
      <c r="F23" s="278"/>
      <c r="G23" s="278"/>
      <c r="H23" s="278"/>
      <c r="I23" s="278"/>
      <c r="J23" s="27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66.75" customHeight="1" thickTop="1" thickBot="1" x14ac:dyDescent="0.3">
      <c r="A24" s="284"/>
      <c r="B24" s="166" t="s">
        <v>36</v>
      </c>
      <c r="C24" s="165" t="s">
        <v>327</v>
      </c>
      <c r="D24" s="166" t="s">
        <v>37</v>
      </c>
      <c r="E24" s="165" t="s">
        <v>326</v>
      </c>
      <c r="F24" s="166" t="s">
        <v>38</v>
      </c>
      <c r="G24" s="166" t="s">
        <v>39</v>
      </c>
      <c r="H24" s="165" t="s">
        <v>300</v>
      </c>
      <c r="I24" s="166" t="s">
        <v>301</v>
      </c>
      <c r="J24" s="166" t="s">
        <v>8</v>
      </c>
    </row>
    <row r="25" spans="1:33" ht="15" customHeight="1" thickTop="1" thickBot="1" x14ac:dyDescent="0.3">
      <c r="A25" s="177" t="s">
        <v>16</v>
      </c>
      <c r="B25" s="156"/>
      <c r="C25" s="156"/>
      <c r="D25" s="156"/>
      <c r="E25" s="156"/>
      <c r="F25" s="156"/>
      <c r="G25" s="156"/>
      <c r="H25" s="156"/>
      <c r="I25" s="156"/>
      <c r="J25" s="15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33" ht="24" thickTop="1" thickBot="1" x14ac:dyDescent="0.3">
      <c r="A26" s="178" t="s">
        <v>17</v>
      </c>
      <c r="B26" s="168">
        <f>SUMIF(HKM!A:A,"061*",HKM!C:C)-SUMIF(HKM!A:A,"061*",HKM!D:D)</f>
        <v>0</v>
      </c>
      <c r="C26" s="168">
        <f>SUMIF(HKM!A:A,"062*",HKM!C:C)-SUMIF(HKM!A:A,"062*",HKM!D:D)</f>
        <v>0</v>
      </c>
      <c r="D26" s="168">
        <f>SUMIF(HKM!A:A,"063*",HKM!C:C)-SUMIF(HKM!A:A,"063*",HKM!D:D)</f>
        <v>0</v>
      </c>
      <c r="E26" s="168">
        <f>SUMIF(HKM!A:A,"066*",HKM!C:C)-SUMIF(HKM!A:A,"066*",HKM!D:D)</f>
        <v>0</v>
      </c>
      <c r="F26" s="168">
        <f>SUMIF(HKM!A:A,"067*",HKM!C:C)-SUMIF(HKM!A:A,"067*",HKM!D:D)</f>
        <v>0</v>
      </c>
      <c r="G26" s="132"/>
      <c r="H26" s="168">
        <f>SUMIF(HKM!A:A,"043*",HKM!C:C)-SUMIF(HKM!A:A,"043*",HKM!D:D)</f>
        <v>0</v>
      </c>
      <c r="I26" s="168">
        <f>SUMIF(HKM!A:A,"053*",HKM!C:C)-SUMIF(HKM!A:A,"053*",HKM!D:D)</f>
        <v>0</v>
      </c>
      <c r="J26" s="153">
        <f>SUM(B26:I26)</f>
        <v>0</v>
      </c>
      <c r="K26" s="138"/>
      <c r="L26" s="154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</row>
    <row r="27" spans="1:33" ht="15" customHeight="1" thickBot="1" x14ac:dyDescent="0.3">
      <c r="A27" s="179" t="s">
        <v>18</v>
      </c>
      <c r="B27" s="132"/>
      <c r="C27" s="132"/>
      <c r="D27" s="132"/>
      <c r="E27" s="132"/>
      <c r="F27" s="133"/>
      <c r="G27" s="132"/>
      <c r="H27" s="132"/>
      <c r="I27" s="132"/>
      <c r="J27" s="153">
        <f t="shared" ref="J27:J29" si="1">SUM(B27:I27)</f>
        <v>0</v>
      </c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</row>
    <row r="28" spans="1:33" ht="15" customHeight="1" thickBot="1" x14ac:dyDescent="0.3">
      <c r="A28" s="263" t="s">
        <v>19</v>
      </c>
      <c r="B28" s="191"/>
      <c r="C28" s="132"/>
      <c r="D28" s="132"/>
      <c r="E28" s="132"/>
      <c r="F28" s="133"/>
      <c r="G28" s="132"/>
      <c r="H28" s="132"/>
      <c r="I28" s="132"/>
      <c r="J28" s="153">
        <f t="shared" si="1"/>
        <v>0</v>
      </c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</row>
    <row r="29" spans="1:33" ht="15" customHeight="1" thickBot="1" x14ac:dyDescent="0.3">
      <c r="A29" s="265" t="s">
        <v>20</v>
      </c>
      <c r="B29" s="133"/>
      <c r="C29" s="132"/>
      <c r="D29" s="132"/>
      <c r="E29" s="132"/>
      <c r="F29" s="133"/>
      <c r="G29" s="132"/>
      <c r="H29" s="132"/>
      <c r="I29" s="132"/>
      <c r="J29" s="153">
        <f t="shared" si="1"/>
        <v>0</v>
      </c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</row>
    <row r="30" spans="1:33" ht="15.75" thickBot="1" x14ac:dyDescent="0.3">
      <c r="A30" s="180" t="s">
        <v>21</v>
      </c>
      <c r="B30" s="168">
        <f>SUMIF(HKM!A:A,"061*",HKM!K:K)-SUMIF(HKM!A:A,"061*",HKM!L:L)</f>
        <v>0</v>
      </c>
      <c r="C30" s="168">
        <f>SUMIF(HKM!A:A,"062*",HKM!K:K)-SUMIF(HKM!A:A,"062*",HKM!L:L)</f>
        <v>0</v>
      </c>
      <c r="D30" s="168">
        <f>SUMIF(HKM!A:A,"063*",HKM!K:K)-SUMIF(HKM!A:A,"063*",HKM!L:L)</f>
        <v>0</v>
      </c>
      <c r="E30" s="168">
        <f>SUMIF(HKM!A:A,"066*",HKM!K:K)-SUMIF(HKM!A:A,"066*",HKM!L:L)</f>
        <v>0</v>
      </c>
      <c r="F30" s="168">
        <f>SUMIF(HKM!A:A,"067*",HKM!K:K)-SUMIF(HKM!A:A,"067*",HKM!L:L)</f>
        <v>0</v>
      </c>
      <c r="G30" s="132"/>
      <c r="H30" s="168">
        <f>SUMIF(HKM!A:A,"043*",HKM!K:K)-SUMIF(HKM!A:A,"043*",HKM!L:L)</f>
        <v>0</v>
      </c>
      <c r="I30" s="168">
        <f>SUMIF(HKM!A:A,"053*",HKM!K:K)-SUMIF(HKM!A:A,"053*",HKM!L:L)</f>
        <v>0</v>
      </c>
      <c r="J30" s="155">
        <f>J26+J27-J28+J29</f>
        <v>0</v>
      </c>
      <c r="K30" s="138"/>
      <c r="L30" s="154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</row>
    <row r="31" spans="1:33" ht="15" customHeight="1" thickTop="1" thickBot="1" x14ac:dyDescent="0.3">
      <c r="A31" s="177" t="s">
        <v>24</v>
      </c>
      <c r="B31" s="169"/>
      <c r="C31" s="169"/>
      <c r="D31" s="169"/>
      <c r="E31" s="169"/>
      <c r="F31" s="169"/>
      <c r="G31" s="169"/>
      <c r="H31" s="169"/>
      <c r="I31" s="169"/>
      <c r="J31" s="157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</row>
    <row r="32" spans="1:33" ht="24" thickTop="1" thickBot="1" x14ac:dyDescent="0.3">
      <c r="A32" s="178" t="s">
        <v>23</v>
      </c>
      <c r="B32" s="168"/>
      <c r="C32" s="168"/>
      <c r="D32" s="168"/>
      <c r="E32" s="168"/>
      <c r="F32" s="168"/>
      <c r="G32" s="168"/>
      <c r="H32" s="168"/>
      <c r="I32" s="172"/>
      <c r="J32" s="153">
        <f>SUM(B32:I32)</f>
        <v>0</v>
      </c>
      <c r="K32" s="138"/>
      <c r="L32" s="154"/>
      <c r="M32" s="167"/>
      <c r="N32" s="161"/>
      <c r="O32" s="138"/>
      <c r="P32" s="138"/>
      <c r="Q32" s="138"/>
      <c r="R32" s="138"/>
      <c r="S32" s="138"/>
      <c r="T32" s="138"/>
      <c r="U32" s="138"/>
      <c r="V32" s="138"/>
      <c r="W32" s="138"/>
    </row>
    <row r="33" spans="1:23" ht="15" customHeight="1" thickBot="1" x14ac:dyDescent="0.3">
      <c r="A33" s="179" t="s">
        <v>18</v>
      </c>
      <c r="B33" s="132"/>
      <c r="C33" s="132"/>
      <c r="D33" s="132"/>
      <c r="E33" s="132"/>
      <c r="F33" s="132"/>
      <c r="G33" s="132"/>
      <c r="H33" s="132"/>
      <c r="I33" s="158"/>
      <c r="J33" s="153">
        <f t="shared" ref="J33:J34" si="2">SUM(B33:I33)</f>
        <v>0</v>
      </c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</row>
    <row r="34" spans="1:23" ht="15" customHeight="1" thickBot="1" x14ac:dyDescent="0.3">
      <c r="A34" s="179" t="s">
        <v>19</v>
      </c>
      <c r="B34" s="132"/>
      <c r="C34" s="132"/>
      <c r="D34" s="132"/>
      <c r="E34" s="132"/>
      <c r="F34" s="132"/>
      <c r="G34" s="132"/>
      <c r="H34" s="132"/>
      <c r="I34" s="158"/>
      <c r="J34" s="153">
        <f t="shared" si="2"/>
        <v>0</v>
      </c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</row>
    <row r="35" spans="1:23" ht="15" customHeight="1" thickBot="1" x14ac:dyDescent="0.3">
      <c r="A35" s="265" t="s">
        <v>20</v>
      </c>
      <c r="B35" s="133"/>
      <c r="C35" s="133"/>
      <c r="D35" s="133"/>
      <c r="E35" s="133"/>
      <c r="F35" s="133"/>
      <c r="G35" s="133"/>
      <c r="H35" s="133"/>
      <c r="I35" s="256"/>
      <c r="J35" s="256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</row>
    <row r="36" spans="1:23" ht="15.75" thickBot="1" x14ac:dyDescent="0.3">
      <c r="A36" s="180" t="s">
        <v>21</v>
      </c>
      <c r="B36" s="168"/>
      <c r="C36" s="168"/>
      <c r="D36" s="168"/>
      <c r="E36" s="168"/>
      <c r="F36" s="168"/>
      <c r="G36" s="168"/>
      <c r="H36" s="168"/>
      <c r="I36" s="168">
        <f>SUMIF(SUAM!C:C,"032",SUAM!E:E)</f>
        <v>0</v>
      </c>
      <c r="J36" s="155">
        <f>J32+J33-J34</f>
        <v>0</v>
      </c>
      <c r="K36" s="138"/>
      <c r="L36" s="154"/>
      <c r="M36" s="138"/>
      <c r="N36" s="161"/>
      <c r="O36" s="138"/>
      <c r="P36" s="138"/>
      <c r="Q36" s="138"/>
      <c r="R36" s="138"/>
      <c r="S36" s="138"/>
      <c r="T36" s="138"/>
      <c r="U36" s="138"/>
      <c r="V36" s="138"/>
      <c r="W36" s="138"/>
    </row>
    <row r="37" spans="1:23" ht="15" customHeight="1" thickTop="1" thickBot="1" x14ac:dyDescent="0.3">
      <c r="A37" s="177" t="s">
        <v>368</v>
      </c>
      <c r="B37" s="156"/>
      <c r="C37" s="156"/>
      <c r="D37" s="156"/>
      <c r="E37" s="156"/>
      <c r="F37" s="156"/>
      <c r="G37" s="156"/>
      <c r="H37" s="156"/>
      <c r="I37" s="156"/>
      <c r="J37" s="157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</row>
    <row r="38" spans="1:23" ht="15" customHeight="1" thickTop="1" thickBot="1" x14ac:dyDescent="0.3">
      <c r="A38" s="178" t="s">
        <v>23</v>
      </c>
      <c r="B38" s="158"/>
      <c r="C38" s="158"/>
      <c r="D38" s="158"/>
      <c r="E38" s="158"/>
      <c r="F38" s="158"/>
      <c r="G38" s="158"/>
      <c r="H38" s="158"/>
      <c r="I38" s="158"/>
      <c r="J38" s="153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</row>
    <row r="39" spans="1:23" ht="15" customHeight="1" thickBot="1" x14ac:dyDescent="0.3">
      <c r="A39" s="180" t="s">
        <v>21</v>
      </c>
      <c r="B39" s="159"/>
      <c r="C39" s="159"/>
      <c r="D39" s="159"/>
      <c r="E39" s="159"/>
      <c r="F39" s="159"/>
      <c r="G39" s="159"/>
      <c r="H39" s="159"/>
      <c r="I39" s="159"/>
      <c r="J39" s="155"/>
    </row>
    <row r="40" spans="1:23" ht="15.75" thickTop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23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23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370</v>
      </c>
    </row>
    <row r="2" spans="1:2" ht="21" customHeight="1" thickTop="1" thickBot="1" x14ac:dyDescent="0.3">
      <c r="A2" s="9" t="s">
        <v>40</v>
      </c>
      <c r="B2" s="10" t="s">
        <v>26</v>
      </c>
    </row>
    <row r="3" spans="1:2" ht="23.25" customHeight="1" thickTop="1" thickBot="1" x14ac:dyDescent="0.3">
      <c r="A3" s="11" t="s">
        <v>41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F7" sqref="F7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69" t="s">
        <v>396</v>
      </c>
    </row>
    <row r="2" spans="1:6" ht="16.5" customHeight="1" thickTop="1" thickBot="1" x14ac:dyDescent="0.3">
      <c r="A2" s="275" t="s">
        <v>42</v>
      </c>
      <c r="B2" s="291" t="s">
        <v>2</v>
      </c>
      <c r="C2" s="292"/>
      <c r="D2" s="292"/>
      <c r="E2" s="292"/>
      <c r="F2" s="293"/>
    </row>
    <row r="3" spans="1:6" ht="70.5" customHeight="1" thickBot="1" x14ac:dyDescent="0.3">
      <c r="A3" s="290"/>
      <c r="B3" s="42" t="s">
        <v>43</v>
      </c>
      <c r="C3" s="42" t="s">
        <v>44</v>
      </c>
      <c r="D3" s="27" t="s">
        <v>302</v>
      </c>
      <c r="E3" s="42" t="s">
        <v>303</v>
      </c>
      <c r="F3" s="42" t="s">
        <v>46</v>
      </c>
    </row>
    <row r="4" spans="1:6" ht="16.5" thickTop="1" thickBot="1" x14ac:dyDescent="0.3">
      <c r="A4" s="92" t="s">
        <v>47</v>
      </c>
      <c r="B4" s="38"/>
      <c r="C4" s="38"/>
      <c r="D4" s="38"/>
      <c r="E4" s="38"/>
      <c r="F4" s="39"/>
    </row>
    <row r="5" spans="1:6" ht="16.5" thickTop="1" thickBot="1" x14ac:dyDescent="0.3">
      <c r="A5" s="93"/>
      <c r="B5" s="40"/>
      <c r="C5" s="40"/>
      <c r="D5" s="21"/>
      <c r="E5" s="21"/>
      <c r="F5" s="14"/>
    </row>
    <row r="6" spans="1:6" ht="15.75" thickBot="1" x14ac:dyDescent="0.3">
      <c r="A6" s="93"/>
      <c r="B6" s="40"/>
      <c r="C6" s="40"/>
      <c r="D6" s="21"/>
      <c r="E6" s="21"/>
      <c r="F6" s="14"/>
    </row>
    <row r="7" spans="1:6" ht="15.75" thickBot="1" x14ac:dyDescent="0.3">
      <c r="A7" s="94"/>
      <c r="B7" s="41"/>
      <c r="C7" s="41"/>
      <c r="D7" s="23"/>
      <c r="E7" s="23"/>
      <c r="F7" s="168">
        <f>SUMIF(HK!A:A,"061*",HK!K:K)-SUMIF(HK!A:A,"061*",HK!L:L)</f>
        <v>0</v>
      </c>
    </row>
    <row r="8" spans="1:6" ht="16.5" thickTop="1" thickBot="1" x14ac:dyDescent="0.3">
      <c r="A8" s="92" t="s">
        <v>48</v>
      </c>
      <c r="B8" s="38"/>
      <c r="C8" s="38"/>
      <c r="D8" s="38"/>
      <c r="E8" s="38"/>
      <c r="F8" s="192"/>
    </row>
    <row r="9" spans="1:6" ht="16.5" thickTop="1" thickBot="1" x14ac:dyDescent="0.3">
      <c r="A9" s="93"/>
      <c r="B9" s="40"/>
      <c r="C9" s="40"/>
      <c r="D9" s="21"/>
      <c r="E9" s="21"/>
      <c r="F9" s="186"/>
    </row>
    <row r="10" spans="1:6" ht="15.75" thickBot="1" x14ac:dyDescent="0.3">
      <c r="A10" s="93"/>
      <c r="B10" s="40"/>
      <c r="C10" s="40"/>
      <c r="D10" s="21"/>
      <c r="E10" s="21"/>
      <c r="F10" s="186"/>
    </row>
    <row r="11" spans="1:6" ht="15.75" thickBot="1" x14ac:dyDescent="0.3">
      <c r="A11" s="94"/>
      <c r="B11" s="41"/>
      <c r="C11" s="41"/>
      <c r="D11" s="23"/>
      <c r="E11" s="23"/>
      <c r="F11" s="168">
        <f>SUMIF(HK!A:A,"062*",HK!K:K)-SUMIF(HK!A:A,"062*",HK!L:L)</f>
        <v>0</v>
      </c>
    </row>
    <row r="12" spans="1:6" ht="16.5" thickTop="1" thickBot="1" x14ac:dyDescent="0.3">
      <c r="A12" s="92" t="s">
        <v>49</v>
      </c>
      <c r="B12" s="38"/>
      <c r="C12" s="38"/>
      <c r="D12" s="38"/>
      <c r="E12" s="38"/>
      <c r="F12" s="192"/>
    </row>
    <row r="13" spans="1:6" ht="16.5" thickTop="1" thickBot="1" x14ac:dyDescent="0.3">
      <c r="A13" s="93"/>
      <c r="B13" s="40"/>
      <c r="C13" s="40"/>
      <c r="D13" s="21"/>
      <c r="E13" s="21"/>
      <c r="F13" s="186"/>
    </row>
    <row r="14" spans="1:6" ht="15.75" thickBot="1" x14ac:dyDescent="0.3">
      <c r="A14" s="93"/>
      <c r="B14" s="40"/>
      <c r="C14" s="40"/>
      <c r="D14" s="21"/>
      <c r="E14" s="21"/>
      <c r="F14" s="186"/>
    </row>
    <row r="15" spans="1:6" ht="15.75" thickBot="1" x14ac:dyDescent="0.3">
      <c r="A15" s="94"/>
      <c r="B15" s="41"/>
      <c r="C15" s="41"/>
      <c r="D15" s="23"/>
      <c r="E15" s="23"/>
      <c r="F15" s="168">
        <f>SUMIF(HK!A:A,"063*",HK!K:K)-SUMIF(HK!A:A,"063*",HK!L:L)</f>
        <v>0</v>
      </c>
    </row>
    <row r="16" spans="1:6" ht="16.5" thickTop="1" thickBot="1" x14ac:dyDescent="0.3">
      <c r="A16" s="92" t="s">
        <v>50</v>
      </c>
      <c r="B16" s="38"/>
      <c r="C16" s="38"/>
      <c r="D16" s="38"/>
      <c r="E16" s="38"/>
      <c r="F16" s="192"/>
    </row>
    <row r="17" spans="1:6" ht="16.5" thickTop="1" thickBot="1" x14ac:dyDescent="0.3">
      <c r="A17" s="95"/>
      <c r="B17" s="40"/>
      <c r="C17" s="40"/>
      <c r="D17" s="21"/>
      <c r="E17" s="21"/>
      <c r="F17" s="186"/>
    </row>
    <row r="18" spans="1:6" ht="15.75" thickBot="1" x14ac:dyDescent="0.3">
      <c r="A18" s="64"/>
      <c r="B18" s="41"/>
      <c r="C18" s="41"/>
      <c r="D18" s="106"/>
      <c r="E18" s="33"/>
      <c r="F18" s="168">
        <f>SUMIF(HK!A:A,"043*",HK!K:K)-SUMIF(HK!A:A,"043*",HK!L:L)</f>
        <v>0</v>
      </c>
    </row>
    <row r="19" spans="1:6" ht="24" thickTop="1" thickBot="1" x14ac:dyDescent="0.3">
      <c r="A19" s="22" t="s">
        <v>51</v>
      </c>
      <c r="B19" s="25" t="s">
        <v>10</v>
      </c>
      <c r="C19" s="25" t="s">
        <v>10</v>
      </c>
      <c r="D19" s="25" t="s">
        <v>10</v>
      </c>
      <c r="E19" s="25" t="s">
        <v>10</v>
      </c>
      <c r="F19" s="16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2019-04-23T09:33:16Z</dcterms:modified>
</cp:coreProperties>
</file>