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 firstSheet="5" activeTab="6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52511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C16" i="29"/>
  <c r="B16" i="29"/>
  <c r="C12" i="29"/>
  <c r="B12" i="29"/>
  <c r="B18" i="25"/>
  <c r="B4" i="25"/>
  <c r="F3" i="21"/>
  <c r="B3" i="21"/>
  <c r="F4" i="21"/>
  <c r="B4" i="21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F8" i="17"/>
  <c r="B8" i="17"/>
  <c r="F7" i="17"/>
  <c r="B7" i="17"/>
  <c r="F6" i="17"/>
  <c r="B6" i="17"/>
  <c r="F5" i="17"/>
  <c r="B5" i="17"/>
  <c r="F4" i="17"/>
  <c r="B4" i="17"/>
  <c r="C19" i="77" l="1"/>
  <c r="B19" i="77"/>
  <c r="C10" i="77"/>
  <c r="B10" i="77"/>
  <c r="D19" i="77" l="1"/>
  <c r="D10" i="77"/>
  <c r="G7" i="36"/>
  <c r="F7" i="36"/>
  <c r="E7" i="36"/>
  <c r="D7" i="36"/>
  <c r="C7" i="36"/>
  <c r="B7" i="36"/>
  <c r="C7" i="30"/>
  <c r="B7" i="30"/>
  <c r="B26" i="25"/>
  <c r="B14" i="25"/>
  <c r="G7" i="24"/>
  <c r="F7" i="24"/>
  <c r="E7" i="24"/>
  <c r="D7" i="24"/>
  <c r="C7" i="24"/>
  <c r="B7" i="24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E9" i="55"/>
  <c r="B10" i="55"/>
  <c r="B9" i="55"/>
  <c r="B7" i="55"/>
  <c r="B6" i="55"/>
  <c r="D6" i="56"/>
  <c r="B30" i="9"/>
  <c r="H10" i="9"/>
  <c r="H22" i="7"/>
  <c r="I18" i="7"/>
  <c r="I22" i="7"/>
  <c r="G33" i="5"/>
  <c r="C33" i="5"/>
  <c r="E12" i="5"/>
  <c r="E10" i="5"/>
  <c r="C10" i="5"/>
  <c r="E6" i="5"/>
  <c r="B9" i="17" l="1"/>
  <c r="B12" i="5"/>
  <c r="F12" i="38" l="1"/>
  <c r="E12" i="38"/>
  <c r="F29" i="27"/>
  <c r="B29" i="27"/>
  <c r="J12" i="9"/>
  <c r="I48" i="7"/>
  <c r="H49" i="5"/>
  <c r="H18" i="5"/>
  <c r="H22" i="5"/>
  <c r="F9" i="17" l="1"/>
  <c r="C6" i="40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E11" i="55"/>
  <c r="E10" i="55"/>
  <c r="E7" i="55"/>
  <c r="E6" i="55"/>
  <c r="B11" i="55"/>
  <c r="C4" i="56"/>
  <c r="B4" i="56"/>
  <c r="F9" i="14"/>
  <c r="F8" i="14"/>
  <c r="F7" i="14"/>
  <c r="F6" i="14"/>
  <c r="F5" i="14"/>
  <c r="B9" i="14"/>
  <c r="B8" i="14"/>
  <c r="B7" i="14"/>
  <c r="B6" i="14"/>
  <c r="B5" i="14"/>
  <c r="G7" i="12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D13" i="56"/>
  <c r="C13" i="56"/>
  <c r="B13" i="56"/>
  <c r="D12" i="55"/>
  <c r="C12" i="55"/>
  <c r="B12" i="55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E12" i="55"/>
  <c r="I52" i="5" l="1"/>
  <c r="I25" i="5"/>
  <c r="J51" i="7"/>
  <c r="C9" i="40"/>
  <c r="B9" i="40"/>
  <c r="C8" i="35"/>
  <c r="B8" i="35"/>
  <c r="E5" i="21"/>
  <c r="D5" i="21"/>
  <c r="C5" i="21"/>
  <c r="B5" i="21"/>
  <c r="F10" i="14"/>
  <c r="F11" i="14"/>
  <c r="C12" i="14"/>
  <c r="D12" i="14"/>
  <c r="E12" i="14"/>
  <c r="B12" i="14"/>
  <c r="E7" i="13"/>
  <c r="D7" i="13"/>
  <c r="C7" i="13"/>
  <c r="B7" i="13"/>
  <c r="F6" i="13"/>
  <c r="F5" i="13"/>
  <c r="F4" i="13"/>
  <c r="F3" i="13"/>
  <c r="G6" i="12"/>
  <c r="G5" i="12"/>
  <c r="G4" i="12"/>
  <c r="G3" i="12"/>
  <c r="F5" i="21" l="1"/>
  <c r="F12" i="14"/>
  <c r="F7" i="13"/>
</calcChain>
</file>

<file path=xl/sharedStrings.xml><?xml version="1.0" encoding="utf-8"?>
<sst xmlns="http://schemas.openxmlformats.org/spreadsheetml/2006/main" count="2314" uniqueCount="1424">
  <si>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</si>
  <si>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</si>
  <si>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</si>
  <si>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</si>
  <si>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</si>
  <si>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</si>
  <si>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</si>
  <si>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</si>
  <si>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</si>
  <si>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</si>
  <si>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</si>
  <si>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</si>
  <si>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</si>
  <si>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</si>
  <si>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</si>
  <si>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</si>
  <si>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</si>
  <si>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</si>
  <si>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</si>
  <si>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</si>
  <si>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</si>
  <si>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</si>
  <si>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</si>
  <si>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</si>
  <si>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</si>
  <si>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</si>
  <si>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</si>
  <si>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nehmotný majetok, na ktorý je zriadené záložné právo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</si>
  <si>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</si>
  <si>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</si>
  <si>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</si>
  <si>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</si>
  <si>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</si>
  <si>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</si>
  <si>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</si>
  <si>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Dlhodobý hmotný majetok, na ktorý je zriadené záložné právo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</si>
  <si>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</si>
  <si>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</si>
  <si>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</si>
  <si>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</si>
  <si>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</si>
  <si>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Dlhodobý finančný majetok, na ktorý je zriadené záložné právo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</si>
  <si>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</si>
  <si>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</si>
  <si>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</si>
  <si>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</si>
  <si>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</si>
  <si>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</si>
  <si>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</si>
  <si>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</si>
  <si>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</si>
  <si>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</si>
  <si>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</si>
  <si>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</si>
  <si>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</si>
  <si>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</si>
  <si>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</si>
  <si>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</si>
  <si>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</si>
  <si>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</si>
  <si>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</si>
  <si>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</si>
  <si>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</si>
  <si>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</si>
  <si>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</si>
  <si>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</si>
  <si>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</si>
  <si>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</si>
  <si>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</si>
  <si>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</si>
  <si>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</si>
  <si>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</si>
  <si>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</si>
  <si>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</si>
  <si>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</si>
  <si>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</si>
  <si>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</si>
  <si>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</si>
  <si>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Zásoby, na ktoré je zriadené záložné právo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</si>
  <si>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</si>
  <si>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</si>
  <si>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</si>
  <si>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</si>
  <si>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</si>
  <si>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</si>
  <si>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</si>
  <si>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</si>
  <si>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</si>
  <si>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</si>
  <si>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</si>
  <si>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</si>
  <si>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</si>
  <si>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</si>
  <si>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</si>
  <si>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</si>
  <si>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</si>
  <si>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</si>
  <si>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</si>
  <si>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</si>
  <si>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</si>
  <si>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</si>
  <si>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</si>
  <si>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</si>
  <si>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</si>
  <si>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</si>
  <si>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</si>
  <si>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</si>
  <si>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</si>
  <si>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</si>
  <si>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</si>
  <si>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</si>
  <si>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</si>
  <si>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</si>
  <si>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</si>
  <si>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</si>
  <si>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</si>
  <si>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</si>
  <si>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</si>
  <si>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</si>
  <si>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</si>
  <si>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</si>
  <si>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</si>
  <si>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</si>
  <si>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</si>
  <si>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</si>
  <si>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</si>
  <si>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</si>
  <si>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</si>
  <si>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</si>
  <si>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</si>
  <si>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</si>
  <si>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</si>
  <si>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</si>
  <si>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</si>
  <si>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</si>
  <si>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</si>
  <si>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</si>
  <si>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</si>
  <si>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</si>
  <si>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</si>
  <si>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Emisné kvóty (komodity)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</si>
  <si>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</si>
  <si>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</si>
  <si>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</si>
  <si>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</si>
  <si>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</si>
  <si>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</si>
  <si>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</si>
  <si>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</si>
  <si>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</si>
  <si>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</si>
  <si>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</si>
  <si>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</si>
  <si>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</si>
  <si>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</si>
  <si>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</si>
  <si>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</si>
  <si>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</si>
  <si>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</si>
  <si>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</si>
  <si>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</si>
  <si>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</si>
  <si>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</si>
  <si>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</si>
  <si>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</si>
  <si>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</si>
  <si>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</si>
  <si>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</si>
  <si>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</si>
  <si>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Záväzky po lehote splatnosti</t>
  </si>
  <si>
    <t>Krátkodobé záväzky spolu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</si>
  <si>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</si>
  <si>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</si>
  <si>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</si>
  <si>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</si>
  <si>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</si>
  <si>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</si>
  <si>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</si>
  <si>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</si>
  <si>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</si>
  <si>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</si>
  <si>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</si>
  <si>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</si>
  <si>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</si>
  <si>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</si>
  <si>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</si>
  <si>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</si>
  <si>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</si>
  <si>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</si>
  <si>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</si>
  <si>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</si>
  <si>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</si>
  <si>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</si>
  <si>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</si>
  <si>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</si>
  <si>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</si>
  <si>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</si>
  <si>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</si>
  <si>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</si>
  <si>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</si>
  <si>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</si>
  <si>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</si>
  <si>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</si>
  <si>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</si>
  <si>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</si>
  <si>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</si>
  <si>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</si>
  <si>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</si>
  <si>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</si>
  <si>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</si>
  <si>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</si>
  <si>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</si>
  <si>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</si>
  <si>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</si>
  <si>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</si>
  <si>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</si>
  <si>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</si>
  <si>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</si>
  <si>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</si>
  <si>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Finančný náklad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</si>
  <si>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</si>
  <si>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</si>
  <si>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</si>
  <si>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</si>
  <si>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</si>
  <si>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</si>
  <si>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</si>
  <si>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</si>
  <si>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</si>
  <si>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</si>
  <si>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</si>
  <si>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</si>
  <si>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</si>
  <si>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</si>
  <si>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</si>
  <si>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</si>
  <si>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</si>
  <si>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</si>
  <si>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</si>
  <si>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</si>
  <si>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</si>
  <si>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</si>
  <si>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</si>
  <si>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</si>
  <si>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</si>
  <si>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</si>
  <si>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</si>
  <si>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</si>
  <si>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</si>
  <si>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</si>
  <si>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</si>
  <si>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</si>
  <si>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</si>
  <si>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</si>
  <si>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</si>
  <si>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</si>
  <si>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</si>
  <si>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</si>
  <si>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Kód druhu obchodu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</si>
  <si>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</si>
  <si>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</si>
  <si>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</si>
  <si>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</si>
  <si>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</si>
  <si>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</si>
  <si>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</si>
  <si>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</si>
  <si>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</si>
  <si>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</si>
  <si>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</si>
  <si>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</si>
  <si>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</si>
  <si>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</si>
  <si>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</si>
  <si>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</si>
  <si>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</si>
  <si>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</si>
  <si>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</si>
  <si>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</si>
  <si>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</si>
  <si>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</si>
  <si>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</si>
  <si>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</si>
  <si>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</si>
  <si>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</si>
  <si>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</si>
  <si>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</si>
  <si>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</si>
  <si>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</si>
  <si>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</si>
  <si>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</si>
  <si>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</si>
  <si>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</si>
  <si>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</si>
  <si>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</si>
  <si>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</si>
  <si>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</si>
  <si>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</si>
  <si>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</si>
  <si>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</si>
  <si>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</si>
  <si>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</si>
  <si>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</si>
  <si>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</si>
  <si>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</si>
  <si>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</si>
  <si>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</si>
  <si>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</si>
  <si>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</si>
  <si>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</si>
  <si>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</si>
  <si>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</si>
  <si>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</si>
  <si>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Zvýšenie/ zníženie hodnoty (+/-)</t>
  </si>
  <si>
    <t>Vplyv ocenenia na výsledok hospodárenia bežného účtovného obdobia</t>
  </si>
  <si>
    <t>Vplyv ocenenia na vlastné imanie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</si>
  <si>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</si>
  <si>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</si>
  <si>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</si>
  <si>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</si>
  <si>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</si>
  <si>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</si>
  <si>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</si>
  <si>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</si>
  <si>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</si>
  <si>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</si>
  <si>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Pôžičky ÚJ 
v kons. celku</t>
  </si>
  <si>
    <t>Podielové CP a podiely 
v spoločnosti
s podstatným
vplyvom</t>
  </si>
  <si>
    <t>GL,PS,013,MD-D</t>
  </si>
  <si>
    <t>BS,015,B</t>
  </si>
  <si>
    <t>BS,110,S</t>
  </si>
  <si>
    <t>IS,020,S</t>
  </si>
  <si>
    <t>B,K,N,M</t>
  </si>
  <si>
    <t>S,M</t>
  </si>
  <si>
    <t>PS,Z,CO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</si>
  <si>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</si>
  <si>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</si>
  <si>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</si>
  <si>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</si>
  <si>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</si>
  <si>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</si>
  <si>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</si>
  <si>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</si>
  <si>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</si>
  <si>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</si>
  <si>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</si>
  <si>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</si>
  <si>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</si>
  <si>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</si>
  <si>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</si>
  <si>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</si>
  <si>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</si>
  <si>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</si>
  <si>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</si>
  <si>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</si>
  <si>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</si>
  <si>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</si>
  <si>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</si>
  <si>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</si>
  <si>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</si>
  <si>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</si>
  <si>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</si>
  <si>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</si>
  <si>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</si>
  <si>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</si>
  <si>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</si>
  <si>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</si>
  <si>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</si>
  <si>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</si>
  <si>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11. Informácie k časti F. písm. o) prílohy č. 3 o opravných položkách k zásobám</t>
  </si>
  <si>
    <t xml:space="preserve">7. Informácie k časti F. písm. m) prílohy č. 3 o dlhodobom finančnom majetku </t>
  </si>
  <si>
    <t>6. Informácie k časti F. písm. j) prílohy č. 3 o  dlhodobom finančnom majetku</t>
  </si>
  <si>
    <t xml:space="preserve">5. Informácie k časti F. písm. c) prílohy č. 3 o dlhodobom hmotnom majetku </t>
  </si>
  <si>
    <t>4.  Informácie k časti F. písm. a) prílohy č. 3 o dlhodobom hmotnom majetku</t>
  </si>
  <si>
    <t>3. Informácie k časti F. písm. c) prílohy č. 3 o dlhodobom nehmotnom majetku</t>
  </si>
  <si>
    <t>2. Informácie k časti F. písm. a) prílohy č. 3 o dlhodobom nehmotnom majetku</t>
  </si>
  <si>
    <t xml:space="preserve">12. Informácie k časti F. písm. p) prílohy č. 3 o zásobách, na ktoré je zriadené záložné právo </t>
  </si>
  <si>
    <t>13. Informácie k časti F. písm. q) prílohy č. 3 o zákazkovej výrobe a o zákazkovej výstavbe nehnuteľnosti určenej na predaj</t>
  </si>
  <si>
    <t>14. Informácie k časti F. písm. r) prílohy č. 3 o vývoji opravnej položky  k pohľadávkam</t>
  </si>
  <si>
    <t>15. Informácie k časti F. písm. s) prílohy č. 3 o  vekovej štruktúre pohľadávok</t>
  </si>
  <si>
    <t xml:space="preserve">16. Informácie k časti F. písm. t) a u) prílohy č. 3  o pohľadávkach zabezpečených záložným právom alebo inou formou zabezpečenia   </t>
  </si>
  <si>
    <t>17. Informácie k časti F. písm. w)  prílohy č. 3 o krátkodobom finančnom majetku</t>
  </si>
  <si>
    <t>18. Informácie k časti  F. písm. x) prílohy č. 3 o vývoji opravnej položky ku krátkodobému finančnému majetku</t>
  </si>
  <si>
    <t xml:space="preserve">19. Informácie k časti F. písm. y) prílohy č. 3 o krátkodobom finančnom majetku, na ktorý bolo zriadené záložné právo </t>
  </si>
  <si>
    <t>20. Informácie k časti F. písm.  za) prílohy č. 3 o ocenení krátkodobého finančného  majetku, ku dňu ku ktorému sa zostavuje účtovná závierka reálnou hodnotou</t>
  </si>
  <si>
    <t>21. Informácie k časti F. písm. zc) prílohy č. 3 o majetku prenajatom formou finančného prenájmu</t>
  </si>
  <si>
    <t xml:space="preserve">22. Informácie k časti G. písm. a) tretiemu bodu prílohy č. 3 o rozdelení účtovného zisku alebo o vysporiadaní účtovnej straty </t>
  </si>
  <si>
    <t>25. Informácie k časti F. písm. v) a časti G. písm. f) prílohy č. 3 o odloženej daňovej pohľadávke alebo o odloženom daňovom záväzku</t>
  </si>
  <si>
    <t>26. Informácie k časti G. písm. g) prílohy č. 3 o záväzkoch zo sociálneho fondu</t>
  </si>
  <si>
    <t>27. Informácie k časti G. písm. h) prílohy č. 3 o vydaných dlhopisoch</t>
  </si>
  <si>
    <t>28. Informácie k časti G. písm. i)  prílohy č. 3 o bankových úveroch, pôžičkách a krátkodobých finančných výpomociach</t>
  </si>
  <si>
    <t>29. Informácie k časti  G. písm. k) prílohy č. 3 o významných položkách derivátov za bežné účtovné obdobie</t>
  </si>
  <si>
    <t>30. Informácie k časti G. písm. l) prílohy č. 3 o položkách zabezpečených derivátmi</t>
  </si>
  <si>
    <t>31. Informácie k časti G. písm. m) prílohy č. 3 o majetku prenajatom formou finančného prenájmu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</si>
  <si>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</si>
  <si>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</si>
  <si>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</si>
  <si>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9. Informácie k časti F. písm. j) a l) prílohy č. 3 o dlhových CP držaných do splatnosti</t>
  </si>
  <si>
    <t>10. Informácie k časti F. písm. j) a l) prílohy č. 3 o poskytnutých dlhodobých pôžičkách</t>
  </si>
  <si>
    <t>Záväzky so zostatkovou dobou splatnosti 
jeden rok až päť rokov</t>
  </si>
  <si>
    <t>Záväzky so zostatkovou dobou splatnosti do jedneho roka vrátane</t>
  </si>
  <si>
    <t>24. Informácie k časti G. písm. c) a d) prílohy č. 3 o záväzkoch</t>
  </si>
  <si>
    <t>Zaúčtovaná  ako náklad</t>
  </si>
  <si>
    <t>34. Informácie k časti I. prílohy č. 3 o nákladoch voči audítorovi, audítorskej spoločnosti</t>
  </si>
  <si>
    <t>35. Informácie k časti J. písm. a) až e) prílohy č. 3 o daniach z príjmov</t>
  </si>
  <si>
    <t>36. Informácie k časti J.  písm. f) a g) prílohy č. 3 o daniach z príjmov</t>
  </si>
  <si>
    <t>23. Informácie k časti G. písm. b) prílohy č. 3 o rezervách</t>
  </si>
  <si>
    <t>Náklady voči audítorovi, audítorskej spoločnosti, z toho:</t>
  </si>
  <si>
    <t>013100</t>
  </si>
  <si>
    <t>Tangram</t>
  </si>
  <si>
    <t>021101</t>
  </si>
  <si>
    <t>Rekonštrukcia Rajská</t>
  </si>
  <si>
    <t>021102</t>
  </si>
  <si>
    <t>Rekonštrukcia Krížna</t>
  </si>
  <si>
    <t>021103</t>
  </si>
  <si>
    <t>Rekonštrukcia Obchodná</t>
  </si>
  <si>
    <t>021104</t>
  </si>
  <si>
    <t>Rekonštrukcia Račianska</t>
  </si>
  <si>
    <t>021105</t>
  </si>
  <si>
    <t>Rekonštrukcia Bajkalská</t>
  </si>
  <si>
    <t>021106</t>
  </si>
  <si>
    <t>Rekonštrukcia Miletičova</t>
  </si>
  <si>
    <t>022100</t>
  </si>
  <si>
    <t>Regálová zostava</t>
  </si>
  <si>
    <t>022101</t>
  </si>
  <si>
    <t>SHV Rajská</t>
  </si>
  <si>
    <t>022102</t>
  </si>
  <si>
    <t>SHV Krížna</t>
  </si>
  <si>
    <t>022103</t>
  </si>
  <si>
    <t>SHV Obchodná</t>
  </si>
  <si>
    <t>022104</t>
  </si>
  <si>
    <t>SHV Račianska</t>
  </si>
  <si>
    <t>022105</t>
  </si>
  <si>
    <t>SHV Bajkalská</t>
  </si>
  <si>
    <t>022106</t>
  </si>
  <si>
    <t>SHV Miletičova</t>
  </si>
  <si>
    <t>022910</t>
  </si>
  <si>
    <t>SHV CS</t>
  </si>
  <si>
    <t>041000</t>
  </si>
  <si>
    <t>Obstaranie dlhodobého nehmotného majetku</t>
  </si>
  <si>
    <t>042100</t>
  </si>
  <si>
    <t>Obstaranie dlhodobého hmotného majetku</t>
  </si>
  <si>
    <t>067100</t>
  </si>
  <si>
    <t>Poskytnutá pôžička Lib Stav</t>
  </si>
  <si>
    <t>067200</t>
  </si>
  <si>
    <t>Poskytnutá pôžička Mercado</t>
  </si>
  <si>
    <t>067300</t>
  </si>
  <si>
    <t>Postúpenie pohľ. rmc na grocery</t>
  </si>
  <si>
    <t>073100</t>
  </si>
  <si>
    <t>Oprávky tangram</t>
  </si>
  <si>
    <t>081101</t>
  </si>
  <si>
    <t>Oprávky rekonštrukcia Rajská</t>
  </si>
  <si>
    <t>081102</t>
  </si>
  <si>
    <t>Oprávky rekonštrukcia Krížna</t>
  </si>
  <si>
    <t>081103</t>
  </si>
  <si>
    <t>Oprávky rekonštrukcia Obchodná</t>
  </si>
  <si>
    <t>081104</t>
  </si>
  <si>
    <t>Oprávky rekonštrukcia Račianska</t>
  </si>
  <si>
    <t>081105</t>
  </si>
  <si>
    <t>Oprávky rekonštrukcia Bajkalská</t>
  </si>
  <si>
    <t>081106</t>
  </si>
  <si>
    <t>Oprávky rekonštrukcia Miletičova</t>
  </si>
  <si>
    <t>082100</t>
  </si>
  <si>
    <t>Oprávky regále</t>
  </si>
  <si>
    <t>082101</t>
  </si>
  <si>
    <t>Oprávky SHV Rajská</t>
  </si>
  <si>
    <t>082102</t>
  </si>
  <si>
    <t>Oprávky SHV Krížna</t>
  </si>
  <si>
    <t>082103</t>
  </si>
  <si>
    <t>Oprávky SHV Obchodná</t>
  </si>
  <si>
    <t>082104</t>
  </si>
  <si>
    <t>Oprávky SHV Račianska</t>
  </si>
  <si>
    <t>082105</t>
  </si>
  <si>
    <t>Oprávky SHV Bajkalská</t>
  </si>
  <si>
    <t>082106</t>
  </si>
  <si>
    <t>Oprávky SHV Miletičova</t>
  </si>
  <si>
    <t>082910</t>
  </si>
  <si>
    <t>Oprávky SHV CS</t>
  </si>
  <si>
    <t>131100</t>
  </si>
  <si>
    <t>Obstaranie tovaru</t>
  </si>
  <si>
    <t>132000</t>
  </si>
  <si>
    <t>Pracovné oblečenie</t>
  </si>
  <si>
    <t>132001</t>
  </si>
  <si>
    <t>Tašky</t>
  </si>
  <si>
    <t>132100</t>
  </si>
  <si>
    <t>Tovar na sklade a v predajniach</t>
  </si>
  <si>
    <t>132101</t>
  </si>
  <si>
    <t>Tovar Rájská</t>
  </si>
  <si>
    <t>132102</t>
  </si>
  <si>
    <t>Tovar Krížna</t>
  </si>
  <si>
    <t>132103</t>
  </si>
  <si>
    <t>Tovar Obchodná</t>
  </si>
  <si>
    <t>132104</t>
  </si>
  <si>
    <t>Tovar Račianska</t>
  </si>
  <si>
    <t>132105</t>
  </si>
  <si>
    <t>Tovar Bajkalská</t>
  </si>
  <si>
    <t>132106</t>
  </si>
  <si>
    <t>Tovar Miletičová</t>
  </si>
  <si>
    <t>139100</t>
  </si>
  <si>
    <t xml:space="preserve">Prevod tovaru </t>
  </si>
  <si>
    <t>211100</t>
  </si>
  <si>
    <t>Pokladnica Sklad</t>
  </si>
  <si>
    <t>211101</t>
  </si>
  <si>
    <t>Pokladňa Rajská</t>
  </si>
  <si>
    <t>211102</t>
  </si>
  <si>
    <t>Pokladňa Krížna</t>
  </si>
  <si>
    <t>211103</t>
  </si>
  <si>
    <t>Pokladňa Obchodná</t>
  </si>
  <si>
    <t>211104</t>
  </si>
  <si>
    <t>Pokladňa Račianska</t>
  </si>
  <si>
    <t>211105</t>
  </si>
  <si>
    <t>Pokladňa Bajkalská</t>
  </si>
  <si>
    <t>211106</t>
  </si>
  <si>
    <t>Pokladňa Miletičová</t>
  </si>
  <si>
    <t>213100</t>
  </si>
  <si>
    <t>Ceniny</t>
  </si>
  <si>
    <t>213101</t>
  </si>
  <si>
    <t>Stravné lístky Rajská</t>
  </si>
  <si>
    <t>213102</t>
  </si>
  <si>
    <t>Stravné lístky Krížna</t>
  </si>
  <si>
    <t>213103</t>
  </si>
  <si>
    <t>Stravné lístky Ochodná</t>
  </si>
  <si>
    <t>213104</t>
  </si>
  <si>
    <t>Stravné lístky Račianska</t>
  </si>
  <si>
    <t>213105</t>
  </si>
  <si>
    <t>Stravné lístky Bajkalská</t>
  </si>
  <si>
    <t>213106</t>
  </si>
  <si>
    <t>Stravné lístky Miletočová</t>
  </si>
  <si>
    <t>213200</t>
  </si>
  <si>
    <t>Poukážky darčekové</t>
  </si>
  <si>
    <t>221100</t>
  </si>
  <si>
    <t>TTB 2944024113/1100</t>
  </si>
  <si>
    <t>261001</t>
  </si>
  <si>
    <t>Odvod hotovosti</t>
  </si>
  <si>
    <t>261002</t>
  </si>
  <si>
    <t>Platba kartou</t>
  </si>
  <si>
    <t>261100</t>
  </si>
  <si>
    <t>Peniaze na ceste</t>
  </si>
  <si>
    <t>311100</t>
  </si>
  <si>
    <t>Odberatelia tuzemskí</t>
  </si>
  <si>
    <t>311200</t>
  </si>
  <si>
    <t>Odberatelia zahraniční</t>
  </si>
  <si>
    <t>314000</t>
  </si>
  <si>
    <t>Poskytnuté preddavky</t>
  </si>
  <si>
    <t>314001</t>
  </si>
  <si>
    <t>Zábezpeky na nájomné</t>
  </si>
  <si>
    <t>314100</t>
  </si>
  <si>
    <t>Poskytnuté preddavky tuzemsko</t>
  </si>
  <si>
    <t>314800</t>
  </si>
  <si>
    <t>Základ dane poskytnutých preddavkov do DPH</t>
  </si>
  <si>
    <t>314900</t>
  </si>
  <si>
    <t>Celková suma poskytnutých preddavkov do DPH</t>
  </si>
  <si>
    <t>314999</t>
  </si>
  <si>
    <t>Mylné platby</t>
  </si>
  <si>
    <t>315000</t>
  </si>
  <si>
    <t>Ostatné pohľadávky</t>
  </si>
  <si>
    <t>315001</t>
  </si>
  <si>
    <t>Callio</t>
  </si>
  <si>
    <t>315002</t>
  </si>
  <si>
    <t>Odvod Gastro</t>
  </si>
  <si>
    <t>321100</t>
  </si>
  <si>
    <t>Dodávatelia tuzemsko</t>
  </si>
  <si>
    <t>321200</t>
  </si>
  <si>
    <t>Dodávatelia zahraniční</t>
  </si>
  <si>
    <t>323000</t>
  </si>
  <si>
    <t>Krátkodobé rezervy</t>
  </si>
  <si>
    <t>325001</t>
  </si>
  <si>
    <t>Nájom Račianska-Hatala</t>
  </si>
  <si>
    <t>325002</t>
  </si>
  <si>
    <t>Nájom Ochodná</t>
  </si>
  <si>
    <t>325003</t>
  </si>
  <si>
    <t>Nájom Miletičova</t>
  </si>
  <si>
    <t>326000</t>
  </si>
  <si>
    <t>Nevyfakturované dodávky</t>
  </si>
  <si>
    <t>326100</t>
  </si>
  <si>
    <t>Nevyfakturované dodávky-tovar</t>
  </si>
  <si>
    <t>331000</t>
  </si>
  <si>
    <t>Zamestnanci</t>
  </si>
  <si>
    <t>331100</t>
  </si>
  <si>
    <t>HPP - Zamestnanci</t>
  </si>
  <si>
    <t>333000</t>
  </si>
  <si>
    <t>Ostatné záväzky voči zamestnancom</t>
  </si>
  <si>
    <t>335000</t>
  </si>
  <si>
    <t>Pohľadávky voči zamestnancom</t>
  </si>
  <si>
    <t>335100</t>
  </si>
  <si>
    <t>Záloha Ošust</t>
  </si>
  <si>
    <t>336000</t>
  </si>
  <si>
    <t>Zúčtovanie s org. soc. zabezpečenia a zdrav. poist</t>
  </si>
  <si>
    <t>336100</t>
  </si>
  <si>
    <t>Sociálna poisťovňa</t>
  </si>
  <si>
    <t>336200</t>
  </si>
  <si>
    <t>Zdravotná poisťovňa VŠZP</t>
  </si>
  <si>
    <t>336300</t>
  </si>
  <si>
    <t>Zdravotná poisťovňa Dôvera</t>
  </si>
  <si>
    <t>336400</t>
  </si>
  <si>
    <t>Zdravotná poisťovňa Union</t>
  </si>
  <si>
    <t>341000</t>
  </si>
  <si>
    <t>Daň z príjmov</t>
  </si>
  <si>
    <t>342000</t>
  </si>
  <si>
    <t>Ostatné priame dane</t>
  </si>
  <si>
    <t>342100</t>
  </si>
  <si>
    <t>Daň z príjmu zo závislej cinnosti</t>
  </si>
  <si>
    <t>343810</t>
  </si>
  <si>
    <t>DPH znížená Vstup tuzemsko</t>
  </si>
  <si>
    <t>343819</t>
  </si>
  <si>
    <t>DPH základná Vstup tuzemsko</t>
  </si>
  <si>
    <t>343822</t>
  </si>
  <si>
    <t>DPH základná Vstup EÚ</t>
  </si>
  <si>
    <t>343900</t>
  </si>
  <si>
    <t>Zúčtovanie s DÚ</t>
  </si>
  <si>
    <t>343919</t>
  </si>
  <si>
    <t>DPH základná Výstup tuzemsko</t>
  </si>
  <si>
    <t>343922</t>
  </si>
  <si>
    <t>DPH základná Výstup EÚ</t>
  </si>
  <si>
    <t>365100</t>
  </si>
  <si>
    <t>Vklad konateľa-Peter Seidner</t>
  </si>
  <si>
    <t>379000</t>
  </si>
  <si>
    <t>Iné záväzky</t>
  </si>
  <si>
    <t>379001</t>
  </si>
  <si>
    <t>Nákup kartou</t>
  </si>
  <si>
    <t>379002</t>
  </si>
  <si>
    <t>Poistenie majetku</t>
  </si>
  <si>
    <t>379008</t>
  </si>
  <si>
    <t>Pôžička Libai</t>
  </si>
  <si>
    <t>379100</t>
  </si>
  <si>
    <t>Pôžička Seidnerova J</t>
  </si>
  <si>
    <t>379101</t>
  </si>
  <si>
    <t>Pôžička Vrábel</t>
  </si>
  <si>
    <t>379111</t>
  </si>
  <si>
    <t>Pôžička RMC</t>
  </si>
  <si>
    <t>379112</t>
  </si>
  <si>
    <t>Pôžička Lib Stav</t>
  </si>
  <si>
    <t>379113</t>
  </si>
  <si>
    <t>Pôžička Nec</t>
  </si>
  <si>
    <t>381000</t>
  </si>
  <si>
    <t>Náklady budúcich období</t>
  </si>
  <si>
    <t>381222</t>
  </si>
  <si>
    <t>náklady budúcich období</t>
  </si>
  <si>
    <t>383000</t>
  </si>
  <si>
    <t>Výdavky budúcich období</t>
  </si>
  <si>
    <t>385000</t>
  </si>
  <si>
    <t>Príjmy budúcich období</t>
  </si>
  <si>
    <t>429000</t>
  </si>
  <si>
    <t>Neuhradená strata minulých rokov</t>
  </si>
  <si>
    <t>431000</t>
  </si>
  <si>
    <t>Výsledok hospodárenia v schvaľovaní</t>
  </si>
  <si>
    <t>472100</t>
  </si>
  <si>
    <t>Záväzky zo sociálneho fondu</t>
  </si>
  <si>
    <t>501001</t>
  </si>
  <si>
    <t>Drobný nákup</t>
  </si>
  <si>
    <t>501100</t>
  </si>
  <si>
    <t>Výdaj do spotreby</t>
  </si>
  <si>
    <t>501200</t>
  </si>
  <si>
    <t>Kancelárske poterby</t>
  </si>
  <si>
    <t>501600</t>
  </si>
  <si>
    <t>Spotreba HIM do 1700,-</t>
  </si>
  <si>
    <t>501999</t>
  </si>
  <si>
    <t>nedaňová PHM</t>
  </si>
  <si>
    <t>502200</t>
  </si>
  <si>
    <t xml:space="preserve">El.energia </t>
  </si>
  <si>
    <t>502300</t>
  </si>
  <si>
    <t>Spotreba plyn</t>
  </si>
  <si>
    <t>503100</t>
  </si>
  <si>
    <t>Vodne, stočné</t>
  </si>
  <si>
    <t>504000</t>
  </si>
  <si>
    <t>Predaný tovar</t>
  </si>
  <si>
    <t>504100</t>
  </si>
  <si>
    <t>504200</t>
  </si>
  <si>
    <t>Odpisy tovaru</t>
  </si>
  <si>
    <t>504300</t>
  </si>
  <si>
    <t>Výdaj vzorky</t>
  </si>
  <si>
    <t>504400</t>
  </si>
  <si>
    <t>cenový dobropis</t>
  </si>
  <si>
    <t>504999</t>
  </si>
  <si>
    <t>Cenové vyrovnanie</t>
  </si>
  <si>
    <t>513000</t>
  </si>
  <si>
    <t>Náklady na reprezentáciu</t>
  </si>
  <si>
    <t>518001</t>
  </si>
  <si>
    <t>Ostatné služby</t>
  </si>
  <si>
    <t>518100</t>
  </si>
  <si>
    <t>Nájomné</t>
  </si>
  <si>
    <t>518101</t>
  </si>
  <si>
    <t>Prevádzkové náklady</t>
  </si>
  <si>
    <t>518102</t>
  </si>
  <si>
    <t xml:space="preserve">Odvoz odpadu </t>
  </si>
  <si>
    <t>518103</t>
  </si>
  <si>
    <t>Monitorovanie</t>
  </si>
  <si>
    <t>518104</t>
  </si>
  <si>
    <t>Prenájom zariadenia</t>
  </si>
  <si>
    <t>518222</t>
  </si>
  <si>
    <t>IT podpora</t>
  </si>
  <si>
    <t>518223</t>
  </si>
  <si>
    <t>Doprava</t>
  </si>
  <si>
    <t>518224</t>
  </si>
  <si>
    <t>Doprava a skladovanie</t>
  </si>
  <si>
    <t>518225</t>
  </si>
  <si>
    <t>Preskladnenie tovaru</t>
  </si>
  <si>
    <t>518226</t>
  </si>
  <si>
    <t>Zvoz tovaru</t>
  </si>
  <si>
    <t>518300</t>
  </si>
  <si>
    <t>Hovorné+internet</t>
  </si>
  <si>
    <t>518301</t>
  </si>
  <si>
    <t>Parkovné</t>
  </si>
  <si>
    <t>518410</t>
  </si>
  <si>
    <t>Vedenie účtovníctva</t>
  </si>
  <si>
    <t>518430</t>
  </si>
  <si>
    <t>Reklama, inzercia , marketing. služby</t>
  </si>
  <si>
    <t>521000</t>
  </si>
  <si>
    <t>Mzdové náklady</t>
  </si>
  <si>
    <t>521100</t>
  </si>
  <si>
    <t>HPP - Mzdové náklady</t>
  </si>
  <si>
    <t>524000</t>
  </si>
  <si>
    <t>Zákonné sociálne poistenie</t>
  </si>
  <si>
    <t>524100</t>
  </si>
  <si>
    <t>Zákonné poistenie</t>
  </si>
  <si>
    <t>527000</t>
  </si>
  <si>
    <t>Zákonné sociálne náklady</t>
  </si>
  <si>
    <t>538500</t>
  </si>
  <si>
    <t>Správne poplatky</t>
  </si>
  <si>
    <t>544000</t>
  </si>
  <si>
    <t>Zmluvné pokuty, penále a úroky z omeškania</t>
  </si>
  <si>
    <t>545000</t>
  </si>
  <si>
    <t>Ostatné pokuty, penále a úroky z omeškania</t>
  </si>
  <si>
    <t>548100</t>
  </si>
  <si>
    <t>poistenie</t>
  </si>
  <si>
    <t>548999</t>
  </si>
  <si>
    <t>nedaňové náklady</t>
  </si>
  <si>
    <t>549100</t>
  </si>
  <si>
    <t>Inventarizačné rozdiely tovar</t>
  </si>
  <si>
    <t>551100</t>
  </si>
  <si>
    <t>Odpisy dlhodobého nehmotného a hmotného majetku</t>
  </si>
  <si>
    <t>562000</t>
  </si>
  <si>
    <t>Úroky</t>
  </si>
  <si>
    <t>568000</t>
  </si>
  <si>
    <t>Ostatné finančné náklady</t>
  </si>
  <si>
    <t>568001</t>
  </si>
  <si>
    <t>poplatky za POS</t>
  </si>
  <si>
    <t>568100</t>
  </si>
  <si>
    <t>bankové poplatky</t>
  </si>
  <si>
    <t>591000</t>
  </si>
  <si>
    <t>Splatná daň z príjmov z bežnej činnosti</t>
  </si>
  <si>
    <t>602000</t>
  </si>
  <si>
    <t>Tržby z predaja služieb</t>
  </si>
  <si>
    <t>602111</t>
  </si>
  <si>
    <t>Spätný bonus</t>
  </si>
  <si>
    <t>602112</t>
  </si>
  <si>
    <t>Prenájom priestorov</t>
  </si>
  <si>
    <t>602200</t>
  </si>
  <si>
    <t>Poradenstvo</t>
  </si>
  <si>
    <t>604100</t>
  </si>
  <si>
    <t>Tržby za tovar</t>
  </si>
  <si>
    <t>604200</t>
  </si>
  <si>
    <t>Tržby za tovar-fakturácia</t>
  </si>
  <si>
    <t>648000</t>
  </si>
  <si>
    <t>Ostatné výnosy z hospodárskej činnosti</t>
  </si>
  <si>
    <t>662000</t>
  </si>
  <si>
    <t>668000</t>
  </si>
  <si>
    <t>Ostatné finančné výnosy</t>
  </si>
  <si>
    <t>013</t>
  </si>
  <si>
    <t>Software</t>
  </si>
  <si>
    <t>021</t>
  </si>
  <si>
    <t>022</t>
  </si>
  <si>
    <t>Samost. hnuteľné veci a súbory hnuteľných vecí</t>
  </si>
  <si>
    <t>041</t>
  </si>
  <si>
    <t>042</t>
  </si>
  <si>
    <t>067</t>
  </si>
  <si>
    <t>Ostatné pôžičky</t>
  </si>
  <si>
    <t>073</t>
  </si>
  <si>
    <t>Oprávky k software</t>
  </si>
  <si>
    <t>081</t>
  </si>
  <si>
    <t>Oprávky k stavbám</t>
  </si>
  <si>
    <t>082</t>
  </si>
  <si>
    <t>Oprávky k samost. hnut. veciam a k súboru hn. vecí</t>
  </si>
  <si>
    <t>131</t>
  </si>
  <si>
    <t>132</t>
  </si>
  <si>
    <t>139</t>
  </si>
  <si>
    <t>Tovar na ceste</t>
  </si>
  <si>
    <t>211</t>
  </si>
  <si>
    <t>Pokladnica</t>
  </si>
  <si>
    <t>213</t>
  </si>
  <si>
    <t>221</t>
  </si>
  <si>
    <t>Bankové účty</t>
  </si>
  <si>
    <t>261</t>
  </si>
  <si>
    <t>311</t>
  </si>
  <si>
    <t>Odberatelia</t>
  </si>
  <si>
    <t>314</t>
  </si>
  <si>
    <t>315</t>
  </si>
  <si>
    <t>321</t>
  </si>
  <si>
    <t>Dodávatelia</t>
  </si>
  <si>
    <t>323</t>
  </si>
  <si>
    <t>325</t>
  </si>
  <si>
    <t>Ostatné záväzky</t>
  </si>
  <si>
    <t>326</t>
  </si>
  <si>
    <t>331</t>
  </si>
  <si>
    <t>333</t>
  </si>
  <si>
    <t>335</t>
  </si>
  <si>
    <t>336</t>
  </si>
  <si>
    <t>Zúčt so zamest. a org. soc. poist. a zdrav. poist</t>
  </si>
  <si>
    <t>341</t>
  </si>
  <si>
    <t>342</t>
  </si>
  <si>
    <t>343</t>
  </si>
  <si>
    <t>Daň z pridanej hodnoty</t>
  </si>
  <si>
    <t>365</t>
  </si>
  <si>
    <t>Ostatné záväzky voči spoločníkom a členom</t>
  </si>
  <si>
    <t>379</t>
  </si>
  <si>
    <t>381</t>
  </si>
  <si>
    <t>383</t>
  </si>
  <si>
    <t>385</t>
  </si>
  <si>
    <t>429</t>
  </si>
  <si>
    <t>431</t>
  </si>
  <si>
    <t>472</t>
  </si>
  <si>
    <t>501</t>
  </si>
  <si>
    <t>Spotreba materiálu</t>
  </si>
  <si>
    <t>502</t>
  </si>
  <si>
    <t>Spotreba energie</t>
  </si>
  <si>
    <t>503</t>
  </si>
  <si>
    <t>Spotreba ostatných neskladovateľných dodávok</t>
  </si>
  <si>
    <t>504</t>
  </si>
  <si>
    <t>513</t>
  </si>
  <si>
    <t>518</t>
  </si>
  <si>
    <t>521</t>
  </si>
  <si>
    <t>524</t>
  </si>
  <si>
    <t>527</t>
  </si>
  <si>
    <t>538</t>
  </si>
  <si>
    <t>Ostatné dane a poplatky</t>
  </si>
  <si>
    <t>544</t>
  </si>
  <si>
    <t>545</t>
  </si>
  <si>
    <t>548</t>
  </si>
  <si>
    <t>Ostatné náklady na hospodársku činnosť</t>
  </si>
  <si>
    <t>549</t>
  </si>
  <si>
    <t>Manká a škody</t>
  </si>
  <si>
    <t>551</t>
  </si>
  <si>
    <t>562</t>
  </si>
  <si>
    <t>568</t>
  </si>
  <si>
    <t>591</t>
  </si>
  <si>
    <t>602</t>
  </si>
  <si>
    <t>604</t>
  </si>
  <si>
    <t>648</t>
  </si>
  <si>
    <t>662</t>
  </si>
  <si>
    <t>668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</si>
  <si>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</si>
  <si>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</si>
  <si>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</si>
  <si>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</si>
  <si>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</si>
  <si>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</si>
  <si>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</si>
  <si>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</si>
  <si>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</si>
  <si>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</si>
  <si>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</si>
  <si>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</si>
  <si>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</si>
  <si>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</si>
  <si>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</si>
  <si>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</si>
  <si>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</si>
  <si>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</si>
  <si>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</si>
  <si>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</si>
  <si>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</si>
  <si>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</si>
  <si>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</si>
  <si>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</si>
  <si>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</si>
  <si>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</si>
  <si>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</si>
  <si>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</si>
  <si>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</si>
  <si>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</si>
  <si>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</si>
  <si>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</si>
  <si>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</si>
  <si>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</si>
  <si>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</si>
  <si>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</si>
  <si>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</si>
  <si>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</si>
  <si>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</si>
  <si>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</si>
  <si>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</si>
  <si>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</si>
  <si>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</si>
  <si>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</si>
  <si>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</si>
  <si>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</si>
  <si>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</si>
  <si>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</si>
  <si>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</si>
  <si>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</si>
  <si>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</si>
  <si>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</si>
  <si>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</si>
  <si>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</si>
  <si>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</si>
  <si>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</si>
  <si>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</si>
  <si>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</si>
  <si>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</si>
  <si>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</si>
  <si>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</si>
  <si>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</si>
  <si>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</si>
  <si>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</si>
  <si>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</si>
  <si>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</si>
  <si>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</si>
  <si>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</si>
  <si>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</si>
  <si>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</si>
  <si>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</si>
  <si>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</si>
  <si>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</si>
  <si>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</si>
  <si>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</si>
  <si>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</si>
  <si>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</si>
  <si>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</si>
  <si>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</si>
  <si>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</si>
  <si>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</si>
  <si>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</si>
  <si>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</si>
  <si>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</si>
  <si>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</si>
  <si>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</si>
  <si>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</si>
  <si>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</si>
  <si>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</si>
  <si>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</si>
  <si>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</si>
  <si>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</si>
  <si>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</si>
  <si>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</si>
  <si>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</si>
  <si>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</si>
  <si>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</si>
  <si>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</si>
  <si>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</si>
  <si>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</si>
  <si>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</si>
  <si>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</si>
  <si>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</si>
  <si>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</si>
  <si>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</si>
  <si>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</si>
  <si>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</si>
  <si>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</si>
  <si>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</si>
  <si>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</si>
  <si>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</si>
  <si>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</si>
  <si>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</si>
  <si>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</si>
  <si>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</si>
  <si>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</si>
  <si>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</si>
  <si>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</si>
  <si>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</si>
  <si>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</si>
  <si>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</si>
  <si>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</si>
  <si>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</si>
  <si>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</si>
  <si>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</si>
  <si>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</si>
  <si>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</si>
  <si>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</si>
  <si>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</si>
  <si>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</si>
  <si>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</si>
  <si>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</si>
  <si>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</si>
  <si>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</si>
  <si>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</si>
  <si>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</si>
  <si>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</si>
  <si>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</si>
  <si>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</si>
  <si>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</si>
  <si>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</si>
  <si>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</si>
  <si>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</si>
  <si>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</si>
  <si>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</si>
  <si>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</si>
  <si>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</si>
  <si>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</si>
  <si>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</si>
  <si>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</si>
  <si>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</si>
  <si>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</si>
  <si>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</si>
  <si>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</si>
  <si>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</si>
  <si>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</si>
  <si>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</si>
  <si>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</si>
  <si>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</si>
  <si>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</si>
  <si>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</si>
  <si>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</si>
  <si>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</si>
  <si>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</si>
  <si>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</si>
  <si>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</si>
  <si>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</si>
  <si>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</si>
  <si>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</si>
  <si>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</si>
  <si>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</si>
  <si>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</si>
  <si>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</si>
  <si>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</si>
  <si>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</si>
  <si>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</si>
  <si>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</si>
  <si>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</si>
  <si>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</si>
  <si>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</si>
  <si>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</si>
  <si>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</si>
  <si>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</si>
  <si>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</si>
  <si>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</si>
  <si>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</si>
  <si>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</si>
  <si>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</si>
  <si>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</si>
  <si>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</si>
  <si>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</si>
  <si>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</si>
  <si>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</si>
  <si>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</si>
  <si>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</si>
  <si>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014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</si>
  <si>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</si>
  <si>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</si>
  <si>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</si>
  <si>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</si>
  <si>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</si>
  <si>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</si>
  <si>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</si>
  <si>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</si>
  <si>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</si>
  <si>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</si>
  <si>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</si>
  <si>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</si>
  <si>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</si>
  <si>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</si>
  <si>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</si>
  <si>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</si>
  <si>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</si>
  <si>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</si>
  <si>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</si>
  <si>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</si>
  <si>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</si>
  <si>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</si>
  <si>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</si>
  <si>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026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</si>
  <si>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</si>
  <si>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</si>
  <si>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</si>
  <si>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</si>
  <si>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</si>
  <si>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029</t>
  </si>
  <si>
    <t>Účty v bankách s dobou viazanosti dhšou ako 1 rok (22XA)</t>
  </si>
  <si>
    <t>030</t>
  </si>
  <si>
    <t>Obstarávaný dlhodobý finančný majetok ( 043 ) - /096A/</t>
  </si>
  <si>
    <t>031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</si>
  <si>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</si>
  <si>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</si>
  <si>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</si>
  <si>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</si>
  <si>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</si>
  <si>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</si>
  <si>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</si>
  <si>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</si>
  <si>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</si>
  <si>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</si>
  <si>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</si>
  <si>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</si>
  <si>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</si>
  <si>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</si>
  <si>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</si>
  <si>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</si>
  <si>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</si>
  <si>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</si>
  <si>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</si>
  <si>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</si>
  <si>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</si>
  <si>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</si>
  <si>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</si>
  <si>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</si>
  <si>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</si>
  <si>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</si>
  <si>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043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</si>
  <si>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</si>
  <si>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</si>
  <si>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</si>
  <si>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</si>
  <si>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</si>
  <si>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</si>
  <si>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</si>
  <si>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</si>
  <si>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</si>
  <si>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</si>
  <si>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</si>
  <si>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</si>
  <si>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</si>
  <si>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</si>
  <si>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</si>
  <si>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</si>
  <si>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</si>
  <si>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</si>
  <si>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</si>
  <si>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</si>
  <si>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</si>
  <si>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</si>
  <si>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</si>
  <si>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</si>
  <si>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</si>
  <si>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</si>
  <si>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</si>
  <si>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</si>
  <si>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</si>
  <si>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</si>
  <si>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</si>
  <si>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</si>
  <si>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</si>
  <si>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061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</si>
  <si>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</si>
  <si>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</si>
  <si>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</si>
  <si>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</si>
  <si>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</si>
  <si>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</si>
  <si>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</si>
  <si>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</si>
  <si>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</si>
  <si>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</si>
  <si>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</si>
  <si>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</si>
  <si>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</si>
  <si>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</si>
  <si>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</si>
  <si>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</si>
  <si>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</si>
  <si>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</si>
  <si>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</si>
  <si>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</si>
  <si>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</si>
  <si>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</si>
  <si>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</si>
  <si>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</si>
  <si>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</si>
  <si>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</si>
  <si>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</si>
  <si>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074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</si>
  <si>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</si>
  <si>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</si>
  <si>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</si>
  <si>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</si>
  <si>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</si>
  <si>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</si>
  <si>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</si>
  <si>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</si>
  <si>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</si>
  <si>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</si>
  <si>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</si>
  <si>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</si>
  <si>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</si>
  <si>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</si>
  <si>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</si>
  <si>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</si>
  <si>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</si>
  <si>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</si>
  <si>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</si>
  <si>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</si>
  <si>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</si>
  <si>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</si>
  <si>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</si>
  <si>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</si>
  <si>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086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</si>
  <si>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</si>
  <si>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</si>
  <si>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</si>
  <si>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</si>
  <si>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</si>
  <si>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</si>
  <si>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</si>
  <si>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089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</si>
  <si>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</si>
  <si>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</si>
  <si>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</si>
  <si>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</si>
  <si>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</si>
  <si>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</si>
  <si>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</si>
  <si>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</si>
  <si>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</si>
  <si>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</si>
  <si>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</si>
  <si>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</si>
  <si>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</si>
  <si>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</si>
  <si>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</si>
  <si>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</si>
  <si>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</si>
  <si>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</si>
  <si>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</si>
  <si>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</si>
  <si>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</si>
  <si>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</si>
  <si>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</si>
  <si>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</si>
  <si>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</si>
  <si>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</si>
  <si>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</si>
  <si>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</si>
  <si>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</si>
  <si>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</si>
  <si>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</si>
  <si>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</si>
  <si>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</si>
  <si>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</si>
  <si>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</si>
  <si>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</si>
  <si>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</si>
  <si>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</si>
  <si>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</si>
  <si>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</si>
  <si>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</si>
  <si>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</si>
  <si>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</si>
  <si>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</si>
  <si>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</si>
  <si>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</si>
  <si>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</si>
  <si>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</si>
  <si>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</si>
  <si>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111</t>
  </si>
  <si>
    <t>Dlhodobé zmenky na úhradu (478A)</t>
  </si>
  <si>
    <t>112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</si>
  <si>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</si>
  <si>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</si>
  <si>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</si>
  <si>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</si>
  <si>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</si>
  <si>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</si>
  <si>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</si>
  <si>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</si>
  <si>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</si>
  <si>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</si>
  <si>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</si>
  <si>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</si>
  <si>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</si>
  <si>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</si>
  <si>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</si>
  <si>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</si>
  <si>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</si>
  <si>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</si>
  <si>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</si>
  <si>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</si>
  <si>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</si>
  <si>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</si>
  <si>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</si>
  <si>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</si>
  <si>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</si>
  <si>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</si>
  <si>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123</t>
  </si>
  <si>
    <t>Záväzky z obchodného styku voči prepojeným účtovným jednotkám (321A,322A,324A,325A,326A,32XA,475A,476A,478A,47XA)</t>
  </si>
  <si>
    <t>124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</si>
  <si>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</si>
  <si>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</si>
  <si>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</si>
  <si>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</si>
  <si>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</si>
  <si>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</si>
  <si>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</si>
  <si>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</si>
  <si>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</si>
  <si>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</si>
  <si>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</si>
  <si>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</si>
  <si>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</si>
  <si>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</si>
  <si>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</si>
  <si>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</si>
  <si>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</si>
  <si>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</si>
  <si>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</si>
  <si>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</si>
  <si>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</si>
  <si>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</si>
  <si>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</si>
  <si>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</si>
  <si>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</si>
  <si>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</si>
  <si>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</si>
  <si>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</si>
  <si>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</si>
  <si>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</si>
  <si>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</si>
  <si>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</si>
  <si>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</si>
  <si>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</si>
  <si>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</si>
  <si>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</si>
  <si>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</si>
  <si>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</si>
  <si>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</si>
  <si>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</si>
  <si>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Spolu majetok r. 002+ r. 030+ r. 061</t>
  </si>
  <si>
    <t>Neobežný majetok r. 003+ r. 011+ r. 021</t>
  </si>
  <si>
    <t>Dlhodobý nehmotný majetok súčet (r. 004 až 010)</t>
  </si>
  <si>
    <t>Obstarávaný dlhodobý nehmotný majetok (041) -093</t>
  </si>
  <si>
    <t>Poskytnuté preddavky na dlhodobý nehmotný majetok (051) - 095A</t>
  </si>
  <si>
    <t>Dlhodobý hmotný majetok súčet (r. 012 až 020)</t>
  </si>
  <si>
    <t>Pozemky (031) - 092A</t>
  </si>
  <si>
    <t>Obstarávaný dlhodobý hmotný majetok (042) - 094</t>
  </si>
  <si>
    <t>Poskytnuté preddavky na dlhodobý hmotný majetok (052) - 095A</t>
  </si>
  <si>
    <t>Dlhodobý finančný majetok súčet (r. 022 až 029)</t>
  </si>
  <si>
    <t>Podielové cenné papiere a podiely v dcérskej účtovnej jednotke (061) - 096A</t>
  </si>
  <si>
    <t>Podielové cenné papiere a podiely v spoločnosti s podstatným vplyvom (062) - 096A</t>
  </si>
  <si>
    <t>Ostatné dlhodobé cenné papiere a podiely (063,065) - 096A</t>
  </si>
  <si>
    <t>Pôžičky účtovnej jednotke v konsolidovanom celku (066A) - 096A</t>
  </si>
  <si>
    <t>Ostatný dlhodobý finančný majetok (067A,069,06XA) - 096A</t>
  </si>
  <si>
    <t>Pôžičky s dobou splatnosti najviac jeden rok (066A,067A,06XA) - 096A</t>
  </si>
  <si>
    <t>Obstarávaný dlhodobý finančný majetok (043) - 096A</t>
  </si>
  <si>
    <t>Poskytnuté preddavky na dlhodobý finančný majetok (053) - 095A</t>
  </si>
  <si>
    <t>Obežný majetok r. 031+ r. 038+ r. 046+ r. 055</t>
  </si>
  <si>
    <t>Zásoby súčet (r. 032 až 037)</t>
  </si>
  <si>
    <t>Nedokončená výroba a polotovary vlastnej výroby  (121,122,12X) - /192,193,19X/</t>
  </si>
  <si>
    <t>Výrobky (123) - 194</t>
  </si>
  <si>
    <t>Zvieratá (124) - 195</t>
  </si>
  <si>
    <t>Tovar (132,13X,139) - /196,19X/</t>
  </si>
  <si>
    <t>Poskytnuté preddavky na zásoby (314A) - 391A</t>
  </si>
  <si>
    <t>Dlhodobé pohľadávky súčet (r. 039 až 045)</t>
  </si>
  <si>
    <t>Pohľadávky z obchodného styku (311A,312A,313A,314A,315A,31XA) - 391A</t>
  </si>
  <si>
    <t>Pohľadávky voči dcérskej účtovnej jednotke a materskej účtovnej jednotke (351A) - 391A</t>
  </si>
  <si>
    <t>Ostatné pohľadávky v rámci konsolidovaného celku (351A) - 391A</t>
  </si>
  <si>
    <t>Pohľadávky voči spoločníkom, členom a združeniu (354A,355A,358A,35XA) - 391A</t>
  </si>
  <si>
    <t>Iné pohľadávky (335A,33XA,371A,373A,374A,375A,376A,378A) - 391A</t>
  </si>
  <si>
    <t>Krátkodobé pohľadávky súčet (r. 047 až 054)</t>
  </si>
  <si>
    <t>Pohľadávky voči spoločníkom, členom a združeniu (354A,355A,358A,35XA,398A) - 391A</t>
  </si>
  <si>
    <t>Sociálne poistenie (336) - 391A</t>
  </si>
  <si>
    <t>Finančné účty súčet (r. 056 až 060)</t>
  </si>
  <si>
    <t>Peniaze (211,213,21X)</t>
  </si>
  <si>
    <t>Účty v bankách (221A,22X +/-261)</t>
  </si>
  <si>
    <t>Účty v bankách s dobou viazanosti dlhšou ako jeden rok 22XA</t>
  </si>
  <si>
    <t>Krátkodobý finančný majetok (251,253,256,257,25X) - /291,29X/</t>
  </si>
  <si>
    <t>Obstarávaný krátkodobý finančný majetok (259, 314A) - 291</t>
  </si>
  <si>
    <t>Časové rozlíšenie súčet (r. 062 a r. 065)</t>
  </si>
  <si>
    <t>Kontrolné číslo súčet (r. 001 až r. 065)</t>
  </si>
  <si>
    <t>888</t>
  </si>
  <si>
    <t>Spolu vlastné imanie a záväky r. 067+ r. 088+ r. 121</t>
  </si>
  <si>
    <t>Vlastné imanie r. 068+ r. 073+ r. 080+ r. 084+ r. 087</t>
  </si>
  <si>
    <t>Základné imanie súčet (r. 069 až 072)</t>
  </si>
  <si>
    <t>Základné imanie (411 alebo +/-491)</t>
  </si>
  <si>
    <t>Vlastné akcie a vlastné obchodné podiely (/-/252)</t>
  </si>
  <si>
    <t>Kapitálové fondy súčet (r. 074 až 079)</t>
  </si>
  <si>
    <t>Zákonný rezervný fond (Nedeliteľný fond) z kapitálových vkladov (417,418)</t>
  </si>
  <si>
    <t>Fondy zo zisku súčet (r. 081 až 083)</t>
  </si>
  <si>
    <t>Zákonný rezervný fond (421)</t>
  </si>
  <si>
    <t>Nedeliteľný fond (422)</t>
  </si>
  <si>
    <t>Štatutárne fondy a ostatné fondy (423,427,42X)</t>
  </si>
  <si>
    <t>A.lV.</t>
  </si>
  <si>
    <t>Výsledok hospodárenia minulých rokov r. 085 a r. 086</t>
  </si>
  <si>
    <t>A.lV.1.</t>
  </si>
  <si>
    <t>Nerozdelený zisk minulých rokov (428)</t>
  </si>
  <si>
    <t>Výsledok hospodárenia za účtovné obdobie po zdanení /+-/ r.001- (r. 068+ r. 073+ r. 080+ r. 084+ r. 088+ r. 121)</t>
  </si>
  <si>
    <t>Záväzky z r. 089+ r. 094+ r. 106+ r. 117 + r. 118</t>
  </si>
  <si>
    <t>Rezervy súčet (r. 090 až 093)</t>
  </si>
  <si>
    <t>Rezervy zákonné dlhodobé (451A)</t>
  </si>
  <si>
    <t>Rezervy zákonné krátkodobé (323A, 451A)</t>
  </si>
  <si>
    <t>Ostatné dlhodobé rezervy (459 A,45XA)</t>
  </si>
  <si>
    <t>Ostatné krátkodobé rezervy (323A, 32X, 459A,45XA)</t>
  </si>
  <si>
    <t>Dlhodobé záväzky súčet (r. 095 až 105)</t>
  </si>
  <si>
    <t>Dlhodobé záväzky z obchodného styku (321A, 479A)</t>
  </si>
  <si>
    <t>Dlhodobé nevyfaktúrované dodávky (476A)</t>
  </si>
  <si>
    <t>Dlhodobé záväzky voči dcérskej  účtovnej jednotke a materskej účtovnej jednotke (471A)</t>
  </si>
  <si>
    <t>Ostatné dlhodobé záväzky v rámci konsolidovaného celku (471A)</t>
  </si>
  <si>
    <t>Ostatné dlhodobé záväzky (474A,479A,47XA,372A,373A,377A)</t>
  </si>
  <si>
    <t>Krátkodobé záväzky súčet (r. 107 až 116)</t>
  </si>
  <si>
    <t>B.lll.1</t>
  </si>
  <si>
    <t>Záväzky z obchodného styku (321,322,324,325,32X,475A,478A,479A,47XA)</t>
  </si>
  <si>
    <t>Nevyfakturované dodávky (326,476A)</t>
  </si>
  <si>
    <t>Záväzky voči dcérskej účtovnej jednotke a materskej účtovnej jednotke (361A,471A)</t>
  </si>
  <si>
    <t>Ostatné záväzky v rámci konsolidovaného celku (361A,36XA,471A,47XA)</t>
  </si>
  <si>
    <t>Záväzky voči spoločníkom a združeniu (364,365,366,367,368,398A,478A,479A)</t>
  </si>
  <si>
    <t>Záväzky voči zamestnancom (331,333,33X,479A)</t>
  </si>
  <si>
    <t>Záväzky zo sociálneho poistenia (336,479A)</t>
  </si>
  <si>
    <t>Daňové záväzky a dotácie (341,342,343,345,346,347,34X)</t>
  </si>
  <si>
    <t>Ostatné záväzky (372A,373A,377A,379A,474A,479A,47X)</t>
  </si>
  <si>
    <t>Bankové úvery (r. 119 + r. 120)</t>
  </si>
  <si>
    <t>Bankové úvery dlhodobé (461A,46XA)</t>
  </si>
  <si>
    <t>Časové rozlíšenie súčet (r. 122 až 125)</t>
  </si>
  <si>
    <t>Dátum zostavenia ÚZ</t>
  </si>
  <si>
    <t>23.06.2019</t>
  </si>
  <si>
    <t>Obdobie od</t>
  </si>
  <si>
    <t>01.01.2018</t>
  </si>
  <si>
    <t>Obdobie do</t>
  </si>
  <si>
    <t>31.12.2018</t>
  </si>
  <si>
    <t>Bezprostredne predchádzajúce obdobie od</t>
  </si>
  <si>
    <t>01.01.2017</t>
  </si>
  <si>
    <t>Bezprostredne predchádzajúce obdobie do</t>
  </si>
  <si>
    <t>31.12.2017</t>
  </si>
  <si>
    <t>IČO</t>
  </si>
  <si>
    <t>DIČ</t>
  </si>
  <si>
    <t>Kód SK NACE</t>
  </si>
  <si>
    <t>Názov1</t>
  </si>
  <si>
    <t>PRACLÍK s.r.o.</t>
  </si>
  <si>
    <t>Názov2</t>
  </si>
  <si>
    <t>Ulica</t>
  </si>
  <si>
    <t>Za kasárňou</t>
  </si>
  <si>
    <t>Číslo</t>
  </si>
  <si>
    <t>PSČ</t>
  </si>
  <si>
    <t>Názov obce</t>
  </si>
  <si>
    <t>Bratislava</t>
  </si>
  <si>
    <t>Číslo telefónu</t>
  </si>
  <si>
    <t>Číslo faxu</t>
  </si>
  <si>
    <t>E-mail</t>
  </si>
  <si>
    <t>uctovnik@praclik.eu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</si>
</sst>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30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0" fillId="0" borderId="37" xfId="0" applyBorder="1" applyAlignment="1">
      <alignment horizontal="center"/>
    </xf>
    <xf numFmtId="0" fontId="0" fillId="0" borderId="37" xfId="0" applyBorder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6" fillId="0" borderId="16" xfId="0" applyNumberFormat="1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4" xfId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3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5" fillId="0" borderId="1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32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9" fontId="6" fillId="0" borderId="13" xfId="1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9" fontId="6" fillId="0" borderId="14" xfId="1" applyFont="1" applyBorder="1" applyAlignment="1">
      <alignment horizontal="right" vertical="center"/>
    </xf>
    <xf numFmtId="9" fontId="6" fillId="0" borderId="6" xfId="1" applyFont="1" applyBorder="1" applyAlignment="1">
      <alignment horizontal="right" vertical="center"/>
    </xf>
    <xf numFmtId="0" fontId="6" fillId="0" borderId="34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6" fillId="0" borderId="16" xfId="0" applyNumberFormat="1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39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6" fillId="0" borderId="2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9" fontId="6" fillId="0" borderId="8" xfId="1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0" borderId="3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3" fontId="6" fillId="0" borderId="13" xfId="0" applyNumberFormat="1" applyFont="1" applyBorder="1" applyAlignment="1">
      <alignment horizontal="center" vertical="center" wrapText="1"/>
    </xf>
    <xf numFmtId="0" fontId="9" fillId="0" borderId="0" xfId="0" applyFont="1"/>
    <xf numFmtId="0" fontId="6" fillId="0" borderId="22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3" fontId="5" fillId="0" borderId="38" xfId="0" applyNumberFormat="1" applyFont="1" applyBorder="1" applyAlignment="1">
      <alignment horizontal="right" vertical="center" wrapText="1"/>
    </xf>
    <xf numFmtId="0" fontId="11" fillId="0" borderId="0" xfId="0" applyFont="1"/>
    <xf numFmtId="3" fontId="5" fillId="0" borderId="38" xfId="0" applyNumberFormat="1" applyFont="1" applyBorder="1" applyAlignment="1">
      <alignment horizontal="right" vertical="center"/>
    </xf>
    <xf numFmtId="3" fontId="5" fillId="0" borderId="43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9" fontId="6" fillId="0" borderId="16" xfId="1" applyFont="1" applyBorder="1" applyAlignment="1">
      <alignment horizontal="right" vertical="center"/>
    </xf>
    <xf numFmtId="14" fontId="6" fillId="0" borderId="16" xfId="0" applyNumberFormat="1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right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10" fillId="0" borderId="0" xfId="0" applyFont="1"/>
    <xf numFmtId="3" fontId="14" fillId="2" borderId="13" xfId="0" applyNumberFormat="1" applyFont="1" applyFill="1" applyBorder="1" applyAlignment="1">
      <alignment horizontal="right" vertical="center" wrapText="1"/>
    </xf>
    <xf numFmtId="3" fontId="14" fillId="2" borderId="17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164" fontId="14" fillId="0" borderId="0" xfId="0" applyNumberFormat="1" applyFont="1" applyBorder="1" applyAlignment="1">
      <alignment horizontal="right" vertical="top"/>
    </xf>
    <xf numFmtId="49" fontId="6" fillId="0" borderId="0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0" fontId="16" fillId="0" borderId="0" xfId="0" applyFont="1" applyBorder="1"/>
    <xf numFmtId="49" fontId="16" fillId="0" borderId="0" xfId="0" applyNumberFormat="1" applyFont="1" applyBorder="1"/>
    <xf numFmtId="164" fontId="16" fillId="0" borderId="0" xfId="0" applyNumberFormat="1" applyFont="1" applyBorder="1"/>
    <xf numFmtId="49" fontId="15" fillId="3" borderId="37" xfId="0" applyNumberFormat="1" applyFont="1" applyFill="1" applyBorder="1" applyAlignment="1">
      <alignment horizontal="left" vertical="top" wrapText="1"/>
    </xf>
    <xf numFmtId="0" fontId="15" fillId="3" borderId="37" xfId="0" applyFont="1" applyFill="1" applyBorder="1" applyAlignment="1">
      <alignment horizontal="left" vertical="top" wrapText="1"/>
    </xf>
    <xf numFmtId="164" fontId="15" fillId="3" borderId="37" xfId="0" applyNumberFormat="1" applyFont="1" applyFill="1" applyBorder="1" applyAlignment="1">
      <alignment horizontal="right" vertical="top" wrapText="1"/>
    </xf>
    <xf numFmtId="0" fontId="6" fillId="3" borderId="37" xfId="0" applyFont="1" applyFill="1" applyBorder="1"/>
    <xf numFmtId="3" fontId="6" fillId="2" borderId="6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center"/>
    </xf>
    <xf numFmtId="3" fontId="6" fillId="2" borderId="8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horizontal="center"/>
    </xf>
    <xf numFmtId="0" fontId="9" fillId="2" borderId="0" xfId="0" applyFont="1" applyFill="1"/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3" fontId="13" fillId="2" borderId="13" xfId="0" applyNumberFormat="1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1" fontId="13" fillId="2" borderId="35" xfId="0" applyNumberFormat="1" applyFont="1" applyFill="1" applyBorder="1" applyAlignment="1">
      <alignment horizontal="right" vertical="center" wrapText="1"/>
    </xf>
    <xf numFmtId="3" fontId="8" fillId="2" borderId="13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6" fillId="2" borderId="1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vertical="center" wrapText="1"/>
    </xf>
    <xf numFmtId="3" fontId="14" fillId="2" borderId="6" xfId="0" applyNumberFormat="1" applyFont="1" applyFill="1" applyBorder="1" applyAlignment="1">
      <alignment horizontal="right" vertical="center" wrapText="1"/>
    </xf>
    <xf numFmtId="0" fontId="14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3" fontId="14" fillId="2" borderId="8" xfId="0" applyNumberFormat="1" applyFont="1" applyFill="1" applyBorder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3" fillId="2" borderId="10" xfId="0" applyFont="1" applyFill="1" applyBorder="1" applyAlignment="1">
      <alignment horizontal="right" vertical="center" wrapText="1"/>
    </xf>
    <xf numFmtId="3" fontId="8" fillId="2" borderId="0" xfId="0" applyNumberFormat="1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3" fontId="14" fillId="0" borderId="13" xfId="0" applyNumberFormat="1" applyFont="1" applyBorder="1" applyAlignment="1">
      <alignment horizontal="right" vertical="center" wrapText="1"/>
    </xf>
    <xf numFmtId="3" fontId="13" fillId="2" borderId="35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 wrapText="1"/>
    </xf>
    <xf numFmtId="3" fontId="13" fillId="2" borderId="0" xfId="0" applyNumberFormat="1" applyFont="1" applyFill="1" applyBorder="1" applyAlignment="1">
      <alignment horizontal="right" vertical="center" wrapText="1"/>
    </xf>
    <xf numFmtId="3" fontId="13" fillId="2" borderId="46" xfId="0" applyNumberFormat="1" applyFont="1" applyFill="1" applyBorder="1" applyAlignment="1">
      <alignment horizontal="right" vertical="center" wrapText="1"/>
    </xf>
    <xf numFmtId="0" fontId="17" fillId="2" borderId="0" xfId="0" applyFont="1" applyFill="1"/>
    <xf numFmtId="3" fontId="13" fillId="2" borderId="6" xfId="0" applyNumberFormat="1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right"/>
    </xf>
    <xf numFmtId="3" fontId="13" fillId="2" borderId="43" xfId="0" applyNumberFormat="1" applyFont="1" applyFill="1" applyBorder="1" applyAlignment="1">
      <alignment horizontal="right" vertical="center" wrapText="1"/>
    </xf>
    <xf numFmtId="3" fontId="13" fillId="2" borderId="44" xfId="0" applyNumberFormat="1" applyFont="1" applyFill="1" applyBorder="1" applyAlignment="1">
      <alignment horizontal="right" vertical="center" wrapText="1"/>
    </xf>
    <xf numFmtId="3" fontId="13" fillId="2" borderId="30" xfId="0" applyNumberFormat="1" applyFont="1" applyFill="1" applyBorder="1" applyAlignment="1">
      <alignment horizontal="right" vertical="center" wrapText="1"/>
    </xf>
    <xf numFmtId="3" fontId="13" fillId="2" borderId="31" xfId="0" applyNumberFormat="1" applyFont="1" applyFill="1" applyBorder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right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4" fillId="2" borderId="30" xfId="0" applyNumberFormat="1" applyFont="1" applyFill="1" applyBorder="1" applyAlignment="1">
      <alignment horizontal="right" vertical="center"/>
    </xf>
    <xf numFmtId="3" fontId="14" fillId="2" borderId="38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right" vertical="center"/>
    </xf>
    <xf numFmtId="3" fontId="14" fillId="2" borderId="8" xfId="0" applyNumberFormat="1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right" vertical="center"/>
    </xf>
    <xf numFmtId="3" fontId="14" fillId="2" borderId="45" xfId="0" applyNumberFormat="1" applyFont="1" applyFill="1" applyBorder="1" applyAlignment="1">
      <alignment horizontal="right" vertical="center"/>
    </xf>
    <xf numFmtId="3" fontId="14" fillId="2" borderId="16" xfId="0" applyNumberFormat="1" applyFont="1" applyFill="1" applyBorder="1" applyAlignment="1">
      <alignment horizontal="right" vertical="center"/>
    </xf>
    <xf numFmtId="3" fontId="14" fillId="2" borderId="31" xfId="0" applyNumberFormat="1" applyFont="1" applyFill="1" applyBorder="1" applyAlignment="1">
      <alignment horizontal="right" vertical="center"/>
    </xf>
    <xf numFmtId="3" fontId="14" fillId="2" borderId="17" xfId="0" applyNumberFormat="1" applyFont="1" applyFill="1" applyBorder="1" applyAlignment="1">
      <alignment horizontal="right" vertical="center"/>
    </xf>
    <xf numFmtId="3" fontId="14" fillId="2" borderId="14" xfId="0" applyNumberFormat="1" applyFont="1" applyFill="1" applyBorder="1" applyAlignment="1">
      <alignment horizontal="right" vertical="center"/>
    </xf>
    <xf numFmtId="3" fontId="14" fillId="2" borderId="18" xfId="0" applyNumberFormat="1" applyFont="1" applyFill="1" applyBorder="1" applyAlignment="1">
      <alignment horizontal="right" vertical="center"/>
    </xf>
    <xf numFmtId="3" fontId="14" fillId="2" borderId="39" xfId="0" applyNumberFormat="1" applyFont="1" applyFill="1" applyBorder="1" applyAlignment="1">
      <alignment horizontal="right" vertical="center"/>
    </xf>
    <xf numFmtId="3" fontId="13" fillId="2" borderId="10" xfId="0" applyNumberFormat="1" applyFont="1" applyFill="1" applyBorder="1" applyAlignment="1">
      <alignment horizontal="right" vertical="center"/>
    </xf>
    <xf numFmtId="3" fontId="13" fillId="2" borderId="38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/>
    </xf>
    <xf numFmtId="3" fontId="13" fillId="2" borderId="13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right"/>
    </xf>
    <xf numFmtId="3" fontId="13" fillId="2" borderId="14" xfId="0" applyNumberFormat="1" applyFont="1" applyFill="1" applyBorder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13" fillId="2" borderId="27" xfId="0" applyFont="1" applyFill="1" applyBorder="1" applyAlignment="1">
      <alignment horizontal="right" vertical="center"/>
    </xf>
    <xf numFmtId="0" fontId="13" fillId="2" borderId="2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9" fontId="14" fillId="2" borderId="6" xfId="1" applyFont="1" applyFill="1" applyBorder="1" applyAlignment="1">
      <alignment horizontal="right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 wrapText="1"/>
    </xf>
    <xf numFmtId="3" fontId="6" fillId="2" borderId="35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3" fontId="6" fillId="2" borderId="47" xfId="0" applyNumberFormat="1" applyFont="1" applyFill="1" applyBorder="1" applyAlignment="1">
      <alignment horizontal="right" vertical="center" wrapText="1"/>
    </xf>
    <xf numFmtId="3" fontId="14" fillId="2" borderId="29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4" fillId="2" borderId="35" xfId="0" applyNumberFormat="1" applyFont="1" applyFill="1" applyBorder="1" applyAlignment="1">
      <alignment horizontal="right" vertical="center" wrapText="1"/>
    </xf>
    <xf numFmtId="0" fontId="6" fillId="0" borderId="35" xfId="0" applyFont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 wrapText="1"/>
    </xf>
    <xf numFmtId="0" fontId="14" fillId="2" borderId="47" xfId="0" applyFont="1" applyFill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3" fontId="6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5" fillId="2" borderId="9" xfId="0" applyFont="1" applyFill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vertical="center" wrapText="1"/>
    </xf>
    <xf numFmtId="0" fontId="0" fillId="0" borderId="35" xfId="0" applyBorder="1"/>
    <xf numFmtId="0" fontId="1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wrapText="1"/>
    </xf>
    <xf numFmtId="0" fontId="6" fillId="0" borderId="0" xfId="0" applyFont="1" applyBorder="1" applyAlignment="1">
      <alignment wrapText="1"/>
    </xf>
  </cellXfs>
  <cellStyles count="3">
    <cellStyle name="Normálna 2" xfId="2"/>
    <cellStyle name="Normálne" xfId="0" builtinId="0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showGridLines="0" topLeftCell="A31" workbookViewId="0">
      <selection activeCell="F15" sqref="F15"/>
    </sheetView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259</v>
      </c>
    </row>
    <row r="2" spans="1:2" x14ac:dyDescent="0.25">
      <c r="A2" t="s">
        <v>260</v>
      </c>
    </row>
    <row r="3" spans="1:2" x14ac:dyDescent="0.25">
      <c r="A3" t="s">
        <v>261</v>
      </c>
    </row>
    <row r="4" spans="1:2" x14ac:dyDescent="0.25">
      <c r="A4" t="s">
        <v>262</v>
      </c>
    </row>
    <row r="5" spans="1:2" x14ac:dyDescent="0.25">
      <c r="A5" t="s">
        <v>263</v>
      </c>
    </row>
    <row r="6" spans="1:2" x14ac:dyDescent="0.25">
      <c r="A6" t="s">
        <v>264</v>
      </c>
    </row>
    <row r="7" spans="1:2" x14ac:dyDescent="0.25">
      <c r="A7" t="s">
        <v>265</v>
      </c>
    </row>
    <row r="8" spans="1:2" x14ac:dyDescent="0.25">
      <c r="A8" t="s">
        <v>266</v>
      </c>
    </row>
    <row r="9" spans="1:2" x14ac:dyDescent="0.25">
      <c r="A9" t="s">
        <v>267</v>
      </c>
    </row>
    <row r="10" spans="1:2" x14ac:dyDescent="0.25">
      <c r="A10" t="s">
        <v>268</v>
      </c>
    </row>
    <row r="11" spans="1:2" x14ac:dyDescent="0.25">
      <c r="A11" s="8" t="s">
        <v>258</v>
      </c>
      <c r="B11" s="8" t="s">
        <v>269</v>
      </c>
    </row>
    <row r="12" spans="1:2" x14ac:dyDescent="0.25">
      <c r="A12" s="6">
        <v>1</v>
      </c>
      <c r="B12" s="7" t="s">
        <v>270</v>
      </c>
    </row>
    <row r="13" spans="1:2" x14ac:dyDescent="0.25">
      <c r="A13" s="6">
        <v>2</v>
      </c>
      <c r="B13" s="7" t="s">
        <v>271</v>
      </c>
    </row>
    <row r="14" spans="1:2" x14ac:dyDescent="0.25">
      <c r="A14" s="6">
        <v>3</v>
      </c>
      <c r="B14" s="7" t="s">
        <v>272</v>
      </c>
    </row>
    <row r="15" spans="1:2" x14ac:dyDescent="0.25">
      <c r="A15" s="6">
        <v>4</v>
      </c>
      <c r="B15" s="7" t="s">
        <v>273</v>
      </c>
    </row>
    <row r="16" spans="1:2" x14ac:dyDescent="0.25">
      <c r="A16" s="6">
        <v>5</v>
      </c>
      <c r="B16" s="7" t="s">
        <v>274</v>
      </c>
    </row>
    <row r="17" spans="1:2" x14ac:dyDescent="0.25">
      <c r="A17" s="6">
        <v>6</v>
      </c>
      <c r="B17" s="7" t="s">
        <v>275</v>
      </c>
    </row>
    <row r="18" spans="1:2" x14ac:dyDescent="0.25">
      <c r="A18" s="6">
        <v>7</v>
      </c>
      <c r="B18" s="7" t="s">
        <v>276</v>
      </c>
    </row>
    <row r="19" spans="1:2" x14ac:dyDescent="0.25">
      <c r="A19" s="6">
        <v>8</v>
      </c>
      <c r="B19" s="7" t="s">
        <v>277</v>
      </c>
    </row>
    <row r="20" spans="1:2" x14ac:dyDescent="0.25">
      <c r="A20" s="6">
        <v>9</v>
      </c>
      <c r="B20" s="7" t="s">
        <v>278</v>
      </c>
    </row>
    <row r="21" spans="1:2" x14ac:dyDescent="0.25">
      <c r="A21" s="6">
        <v>10</v>
      </c>
      <c r="B21" s="7" t="s">
        <v>279</v>
      </c>
    </row>
    <row r="22" spans="1:2" x14ac:dyDescent="0.25">
      <c r="A22" s="6">
        <v>11</v>
      </c>
      <c r="B22" s="7" t="s">
        <v>280</v>
      </c>
    </row>
    <row r="24" spans="1:2" x14ac:dyDescent="0.25">
      <c r="A24" t="s">
        <v>281</v>
      </c>
    </row>
    <row r="25" spans="1:2" x14ac:dyDescent="0.25">
      <c r="A25" t="s">
        <v>282</v>
      </c>
    </row>
    <row r="26" spans="1:2" x14ac:dyDescent="0.25">
      <c r="A26" t="s">
        <v>283</v>
      </c>
    </row>
    <row r="27" spans="1:2" x14ac:dyDescent="0.25">
      <c r="A27" t="s">
        <v>284</v>
      </c>
    </row>
    <row r="28" spans="1:2" x14ac:dyDescent="0.25">
      <c r="A28" t="s">
        <v>285</v>
      </c>
    </row>
    <row r="29" spans="1:2" x14ac:dyDescent="0.25">
      <c r="A29" t="s">
        <v>286</v>
      </c>
    </row>
    <row r="30" spans="1:2" x14ac:dyDescent="0.25">
      <c r="A30" t="s">
        <v>287</v>
      </c>
    </row>
    <row r="31" spans="1:2" x14ac:dyDescent="0.25">
      <c r="A31" t="s">
        <v>288</v>
      </c>
    </row>
    <row r="32" spans="1:2" x14ac:dyDescent="0.25">
      <c r="A32" t="s">
        <v>289</v>
      </c>
    </row>
    <row r="33" spans="1:1" x14ac:dyDescent="0.25">
      <c r="A33" t="s">
        <v>290</v>
      </c>
    </row>
    <row r="34" spans="1:1" x14ac:dyDescent="0.25">
      <c r="A34" t="s">
        <v>291</v>
      </c>
    </row>
    <row r="35" spans="1:1" x14ac:dyDescent="0.25">
      <c r="A35" t="s">
        <v>292</v>
      </c>
    </row>
    <row r="36" spans="1:1" x14ac:dyDescent="0.25">
      <c r="A36" t="s">
        <v>293</v>
      </c>
    </row>
    <row r="37" spans="1:1" x14ac:dyDescent="0.25">
      <c r="A37" t="s">
        <v>294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1" t="s">
        <v>397</v>
      </c>
    </row>
    <row r="2" spans="1:10" ht="74.25" customHeight="1" thickTop="1" thickBot="1" x14ac:dyDescent="0.3">
      <c r="A2" s="44" t="s">
        <v>306</v>
      </c>
      <c r="B2" s="44" t="s">
        <v>52</v>
      </c>
      <c r="C2" s="26" t="s">
        <v>304</v>
      </c>
      <c r="D2" s="44" t="s">
        <v>53</v>
      </c>
      <c r="E2" s="44" t="s">
        <v>54</v>
      </c>
      <c r="F2" s="26" t="s">
        <v>305</v>
      </c>
      <c r="G2" s="44" t="s">
        <v>60</v>
      </c>
    </row>
    <row r="3" spans="1:10" ht="27" customHeight="1" thickTop="1" thickBot="1" x14ac:dyDescent="0.3">
      <c r="A3" s="13" t="s">
        <v>55</v>
      </c>
      <c r="B3" s="125"/>
      <c r="C3" s="32"/>
      <c r="D3" s="32"/>
      <c r="E3" s="32"/>
      <c r="F3" s="32"/>
      <c r="G3" s="12">
        <f>SUM(C3:F3)</f>
        <v>0</v>
      </c>
    </row>
    <row r="4" spans="1:10" ht="34.5" thickBot="1" x14ac:dyDescent="0.3">
      <c r="A4" s="13" t="s">
        <v>56</v>
      </c>
      <c r="B4" s="126"/>
      <c r="C4" s="21"/>
      <c r="D4" s="21"/>
      <c r="E4" s="21"/>
      <c r="F4" s="21"/>
      <c r="G4" s="14">
        <f>SUM(C4:F4)</f>
        <v>0</v>
      </c>
    </row>
    <row r="5" spans="1:10" ht="34.5" thickBot="1" x14ac:dyDescent="0.3">
      <c r="A5" s="13" t="s">
        <v>57</v>
      </c>
      <c r="B5" s="126"/>
      <c r="C5" s="21"/>
      <c r="D5" s="21"/>
      <c r="E5" s="21"/>
      <c r="F5" s="21"/>
      <c r="G5" s="14">
        <f>SUM(C5:F5)</f>
        <v>0</v>
      </c>
    </row>
    <row r="6" spans="1:10" ht="27" customHeight="1" thickBot="1" x14ac:dyDescent="0.3">
      <c r="A6" s="13" t="s">
        <v>58</v>
      </c>
      <c r="B6" s="126"/>
      <c r="C6" s="21"/>
      <c r="D6" s="21"/>
      <c r="E6" s="21"/>
      <c r="F6" s="21"/>
      <c r="G6" s="14">
        <f>SUM(C6:F6)</f>
        <v>0</v>
      </c>
    </row>
    <row r="7" spans="1:10" ht="27" customHeight="1" thickBot="1" x14ac:dyDescent="0.3">
      <c r="A7" s="22" t="s">
        <v>59</v>
      </c>
      <c r="B7" s="127" t="s">
        <v>10</v>
      </c>
      <c r="C7" s="43"/>
      <c r="D7" s="43"/>
      <c r="E7" s="43"/>
      <c r="F7" s="43"/>
      <c r="G7" s="194">
        <f>SUMIF(HK!A:A,"065*",HK!K:K)-SUMIF(HK!A:A,"065*",HK!L:L)</f>
        <v>0</v>
      </c>
      <c r="J7" s="193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8"/>
  <sheetViews>
    <sheetView showGridLines="0" zoomScaleNormal="100" workbookViewId="0">
      <selection activeCell="B7" sqref="B7"/>
    </sheetView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1" t="s">
        <v>398</v>
      </c>
    </row>
    <row r="2" spans="1:6" ht="58.5" customHeight="1" thickTop="1" thickBot="1" x14ac:dyDescent="0.3">
      <c r="A2" s="44" t="s">
        <v>61</v>
      </c>
      <c r="B2" s="26" t="s">
        <v>304</v>
      </c>
      <c r="C2" s="44" t="s">
        <v>53</v>
      </c>
      <c r="D2" s="44" t="s">
        <v>54</v>
      </c>
      <c r="E2" s="44" t="s">
        <v>307</v>
      </c>
      <c r="F2" s="26" t="s">
        <v>21</v>
      </c>
    </row>
    <row r="3" spans="1:6" ht="27" customHeight="1" thickTop="1" thickBot="1" x14ac:dyDescent="0.3">
      <c r="A3" s="13" t="s">
        <v>55</v>
      </c>
      <c r="B3" s="21"/>
      <c r="C3" s="21"/>
      <c r="D3" s="21"/>
      <c r="E3" s="21"/>
      <c r="F3" s="14">
        <f>SUM(B3:E3)</f>
        <v>0</v>
      </c>
    </row>
    <row r="4" spans="1:6" ht="27" customHeight="1" thickBot="1" x14ac:dyDescent="0.3">
      <c r="A4" s="13" t="s">
        <v>62</v>
      </c>
      <c r="B4" s="21"/>
      <c r="C4" s="21"/>
      <c r="D4" s="21"/>
      <c r="E4" s="21"/>
      <c r="F4" s="14">
        <f>SUM(B4:E4)</f>
        <v>0</v>
      </c>
    </row>
    <row r="5" spans="1:6" ht="27" customHeight="1" thickBot="1" x14ac:dyDescent="0.3">
      <c r="A5" s="13" t="s">
        <v>63</v>
      </c>
      <c r="B5" s="21"/>
      <c r="C5" s="21"/>
      <c r="D5" s="21"/>
      <c r="E5" s="21"/>
      <c r="F5" s="14">
        <f>SUM(B5:E5)</f>
        <v>0</v>
      </c>
    </row>
    <row r="6" spans="1:6" ht="27" customHeight="1" thickBot="1" x14ac:dyDescent="0.3">
      <c r="A6" s="13" t="s">
        <v>58</v>
      </c>
      <c r="B6" s="21"/>
      <c r="C6" s="21"/>
      <c r="D6" s="21"/>
      <c r="E6" s="21"/>
      <c r="F6" s="14">
        <f>SUM(B6:E6)</f>
        <v>0</v>
      </c>
    </row>
    <row r="7" spans="1:6" ht="27" customHeight="1" thickBot="1" x14ac:dyDescent="0.3">
      <c r="A7" s="22" t="s">
        <v>64</v>
      </c>
      <c r="B7" s="43">
        <f>SUM(B3:B6)</f>
        <v>0</v>
      </c>
      <c r="C7" s="43">
        <f>SUM(C3:C6)</f>
        <v>0</v>
      </c>
      <c r="D7" s="43">
        <f>SUM(D3:D6)</f>
        <v>0</v>
      </c>
      <c r="E7" s="43">
        <f>SUM(E3:E6)</f>
        <v>0</v>
      </c>
      <c r="F7" s="45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3"/>
  <sheetViews>
    <sheetView showGridLines="0" zoomScaleNormal="100" workbookViewId="0">
      <selection activeCell="F10" sqref="F10"/>
    </sheetView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1" t="s">
        <v>369</v>
      </c>
    </row>
    <row r="2" spans="1:8" ht="17.25" thickBot="1" x14ac:dyDescent="0.35">
      <c r="A2" s="2" t="s">
        <v>7</v>
      </c>
    </row>
    <row r="3" spans="1:8" ht="16.5" thickTop="1" thickBot="1" x14ac:dyDescent="0.3">
      <c r="A3" s="275" t="s">
        <v>65</v>
      </c>
      <c r="B3" s="280" t="s">
        <v>2</v>
      </c>
      <c r="C3" s="281"/>
      <c r="D3" s="281"/>
      <c r="E3" s="281"/>
      <c r="F3" s="282"/>
    </row>
    <row r="4" spans="1:8" ht="60" customHeight="1" thickTop="1" thickBot="1" x14ac:dyDescent="0.3">
      <c r="A4" s="290"/>
      <c r="B4" s="24" t="s">
        <v>66</v>
      </c>
      <c r="C4" s="20" t="s">
        <v>309</v>
      </c>
      <c r="D4" s="24" t="s">
        <v>312</v>
      </c>
      <c r="E4" s="20" t="s">
        <v>310</v>
      </c>
      <c r="F4" s="24" t="s">
        <v>68</v>
      </c>
    </row>
    <row r="5" spans="1:8" ht="23.25" customHeight="1" thickTop="1" thickBot="1" x14ac:dyDescent="0.3">
      <c r="A5" s="13" t="s">
        <v>69</v>
      </c>
      <c r="B5" s="168">
        <f>SUMIF(HK!A:A,"191*",HK!D:D)-SUMIF(HK!A:A,"191*",HK!C:C)</f>
        <v>0</v>
      </c>
      <c r="C5" s="195"/>
      <c r="D5" s="195"/>
      <c r="E5" s="195"/>
      <c r="F5" s="168">
        <f>SUMIF(HK!A:A,"191*",HK!L:L)-SUMIF(HK!A:A,"191*",HK!K:K)</f>
        <v>0</v>
      </c>
      <c r="H5" s="193"/>
    </row>
    <row r="6" spans="1:8" ht="34.5" thickBot="1" x14ac:dyDescent="0.3">
      <c r="A6" s="13" t="s">
        <v>77</v>
      </c>
      <c r="B6" s="168">
        <f>SUMIF(HK!A:A,"192*",HK!D:D)-SUMIF(HK!A:A,"192*",HK!C:C)+SUMIF(HK!A:A,"193*",HK!D:D)-SUMIF(HK!A:A,"193*",HK!C:C)</f>
        <v>0</v>
      </c>
      <c r="C6" s="195"/>
      <c r="D6" s="195"/>
      <c r="E6" s="195"/>
      <c r="F6" s="168">
        <f>SUMIF(HK!A:A,"192*",HK!L:L)-SUMIF(HK!A:A,"192*",HK!K:K)+SUMIF(HK!A:A,"193*",HK!L:L)-SUMIF(HK!A:A,"193*",HK!K:K)</f>
        <v>0</v>
      </c>
      <c r="H6" s="193"/>
    </row>
    <row r="7" spans="1:8" ht="23.25" customHeight="1" thickBot="1" x14ac:dyDescent="0.3">
      <c r="A7" s="13" t="s">
        <v>70</v>
      </c>
      <c r="B7" s="168">
        <f>SUMIF(HK!A:A,"194*",HK!D:D)-SUMIF(HK!A:A,"194*",HK!C:C)</f>
        <v>0</v>
      </c>
      <c r="C7" s="132"/>
      <c r="D7" s="132"/>
      <c r="E7" s="132"/>
      <c r="F7" s="168">
        <f>SUMIF(HK!A:A,"194*",HK!L:L)-SUMIF(HK!A:A,"194*",HK!K:K)</f>
        <v>0</v>
      </c>
      <c r="H7" s="193"/>
    </row>
    <row r="8" spans="1:8" ht="23.25" customHeight="1" thickBot="1" x14ac:dyDescent="0.3">
      <c r="A8" s="13" t="s">
        <v>71</v>
      </c>
      <c r="B8" s="168">
        <f>SUMIF(HK!A:A,"195*",HK!D:D)-SUMIF(HK!A:A,"195*",HK!C:C)</f>
        <v>0</v>
      </c>
      <c r="C8" s="132"/>
      <c r="D8" s="132"/>
      <c r="E8" s="132"/>
      <c r="F8" s="168">
        <f>SUMIF(HK!A:A,"195*",HK!L:L)-SUMIF(HK!A:A,"195*",HK!K:K)</f>
        <v>0</v>
      </c>
      <c r="H8" s="193"/>
    </row>
    <row r="9" spans="1:8" ht="23.25" customHeight="1" thickBot="1" x14ac:dyDescent="0.3">
      <c r="A9" s="13" t="s">
        <v>72</v>
      </c>
      <c r="B9" s="168">
        <f>SUMIF(HK!A:A,"196*",HK!D:D)-SUMIF(HK!A:A,"196*",HK!C:C)</f>
        <v>0</v>
      </c>
      <c r="C9" s="132"/>
      <c r="D9" s="132"/>
      <c r="E9" s="132"/>
      <c r="F9" s="168">
        <f>SUMIF(HK!A:A,"196*",HK!L:L)-SUMIF(HK!A:A,"196*",HK!K:K)</f>
        <v>0</v>
      </c>
      <c r="H9" s="193"/>
    </row>
    <row r="10" spans="1:8" ht="23.25" customHeight="1" thickBot="1" x14ac:dyDescent="0.3">
      <c r="A10" s="13" t="s">
        <v>73</v>
      </c>
      <c r="B10" s="111"/>
      <c r="C10" s="111"/>
      <c r="D10" s="111"/>
      <c r="E10" s="111"/>
      <c r="F10" s="14">
        <f t="shared" ref="F10:F11" si="0">SUM(B10:E10)</f>
        <v>0</v>
      </c>
    </row>
    <row r="11" spans="1:8" ht="23.25" customHeight="1" thickBot="1" x14ac:dyDescent="0.3">
      <c r="A11" s="13" t="s">
        <v>311</v>
      </c>
      <c r="B11" s="111"/>
      <c r="C11" s="111"/>
      <c r="D11" s="111"/>
      <c r="E11" s="111"/>
      <c r="F11" s="14">
        <f t="shared" si="0"/>
        <v>0</v>
      </c>
    </row>
    <row r="12" spans="1:8" ht="23.25" customHeight="1" thickBot="1" x14ac:dyDescent="0.3">
      <c r="A12" s="22" t="s">
        <v>74</v>
      </c>
      <c r="B12" s="43">
        <f>SUM(B5:B11)</f>
        <v>0</v>
      </c>
      <c r="C12" s="43">
        <f t="shared" ref="C12:F12" si="1">SUM(C5:C11)</f>
        <v>0</v>
      </c>
      <c r="D12" s="43">
        <f t="shared" si="1"/>
        <v>0</v>
      </c>
      <c r="E12" s="43">
        <f t="shared" si="1"/>
        <v>0</v>
      </c>
      <c r="F12" s="45">
        <f t="shared" si="1"/>
        <v>0</v>
      </c>
    </row>
    <row r="13" spans="1:8" ht="17.25" thickTop="1" x14ac:dyDescent="0.3">
      <c r="A13" s="2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7"/>
  <sheetViews>
    <sheetView showGridLines="0" zoomScaleNormal="100" workbookViewId="0">
      <selection activeCell="B30" sqref="B30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369</v>
      </c>
    </row>
    <row r="2" spans="1:2" ht="16.5" x14ac:dyDescent="0.3">
      <c r="A2" s="2"/>
    </row>
    <row r="3" spans="1:2" ht="17.25" thickBot="1" x14ac:dyDescent="0.35">
      <c r="A3" s="2" t="s">
        <v>9</v>
      </c>
    </row>
    <row r="4" spans="1:2" ht="24" customHeight="1" thickTop="1" thickBot="1" x14ac:dyDescent="0.3">
      <c r="A4" s="9" t="s">
        <v>73</v>
      </c>
      <c r="B4" s="10" t="s">
        <v>45</v>
      </c>
    </row>
    <row r="5" spans="1:2" ht="24" thickTop="1" thickBot="1" x14ac:dyDescent="0.3">
      <c r="A5" s="11" t="s">
        <v>75</v>
      </c>
      <c r="B5" s="12"/>
    </row>
    <row r="6" spans="1:2" ht="24.75" customHeight="1" thickBot="1" x14ac:dyDescent="0.3">
      <c r="A6" s="15" t="s">
        <v>76</v>
      </c>
      <c r="B6" s="16"/>
    </row>
    <row r="7" spans="1:2" ht="15.75" thickTop="1" x14ac:dyDescent="0.25">
      <c r="A7" s="47"/>
      <c r="B7" s="1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B27" sqref="B27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376</v>
      </c>
    </row>
    <row r="2" spans="1:2" ht="16.5" thickTop="1" thickBot="1" x14ac:dyDescent="0.3">
      <c r="A2" s="9" t="s">
        <v>65</v>
      </c>
      <c r="B2" s="10" t="s">
        <v>26</v>
      </c>
    </row>
    <row r="3" spans="1:2" ht="24" customHeight="1" thickTop="1" thickBot="1" x14ac:dyDescent="0.3">
      <c r="A3" s="11" t="s">
        <v>78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4"/>
  <sheetViews>
    <sheetView showGridLines="0" zoomScaleNormal="100" workbookViewId="0">
      <selection activeCell="B13" sqref="B13"/>
    </sheetView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1" t="s">
        <v>377</v>
      </c>
    </row>
    <row r="2" spans="1:7" ht="17.25" thickBot="1" x14ac:dyDescent="0.35">
      <c r="A2" s="2" t="s">
        <v>7</v>
      </c>
    </row>
    <row r="3" spans="1:7" ht="45" customHeight="1" thickTop="1" thickBot="1" x14ac:dyDescent="0.3">
      <c r="A3" s="44" t="s">
        <v>1</v>
      </c>
      <c r="B3" s="49" t="s">
        <v>322</v>
      </c>
      <c r="C3" s="49" t="s">
        <v>80</v>
      </c>
      <c r="D3" s="49" t="s">
        <v>324</v>
      </c>
    </row>
    <row r="4" spans="1:7" ht="20.25" customHeight="1" thickTop="1" thickBot="1" x14ac:dyDescent="0.3">
      <c r="A4" s="13" t="s">
        <v>82</v>
      </c>
      <c r="B4" s="168">
        <f>SUMIF(HK!A:A,"606*",HK!L:L)-SUMIF(HK!A:A,"606*",HK!K:K)</f>
        <v>0</v>
      </c>
      <c r="C4" s="168">
        <f>SUMIF(HKM!A:A,"606*",HKM!L:L)-SUMIF(HKM!A:A,"606*",HKM!K:K)</f>
        <v>0</v>
      </c>
      <c r="D4" s="14"/>
      <c r="G4" s="193"/>
    </row>
    <row r="5" spans="1:7" ht="20.25" customHeight="1" thickBot="1" x14ac:dyDescent="0.3">
      <c r="A5" s="13" t="s">
        <v>83</v>
      </c>
      <c r="B5" s="14"/>
      <c r="C5" s="14"/>
      <c r="D5" s="14"/>
    </row>
    <row r="6" spans="1:7" ht="20.25" customHeight="1" thickBot="1" x14ac:dyDescent="0.3">
      <c r="A6" s="15" t="s">
        <v>84</v>
      </c>
      <c r="B6" s="16"/>
      <c r="C6" s="16"/>
      <c r="D6" s="16">
        <f>D4+D5</f>
        <v>0</v>
      </c>
    </row>
    <row r="7" spans="1:7" ht="15.75" thickTop="1" x14ac:dyDescent="0.25">
      <c r="A7" s="34"/>
      <c r="B7" s="19"/>
      <c r="C7" s="19"/>
      <c r="D7" s="19"/>
    </row>
    <row r="8" spans="1:7" x14ac:dyDescent="0.25">
      <c r="A8" s="34"/>
      <c r="B8" s="19"/>
      <c r="C8" s="19"/>
      <c r="D8" s="19"/>
    </row>
    <row r="9" spans="1:7" ht="15.75" thickBot="1" x14ac:dyDescent="0.3">
      <c r="A9" s="34" t="s">
        <v>90</v>
      </c>
      <c r="B9" s="19"/>
      <c r="C9" s="19"/>
      <c r="D9" s="19"/>
    </row>
    <row r="10" spans="1:7" ht="45" customHeight="1" thickTop="1" thickBot="1" x14ac:dyDescent="0.3">
      <c r="A10" s="44" t="s">
        <v>1</v>
      </c>
      <c r="B10" s="49" t="s">
        <v>322</v>
      </c>
      <c r="C10" s="49" t="s">
        <v>80</v>
      </c>
      <c r="D10" s="49" t="s">
        <v>323</v>
      </c>
    </row>
    <row r="11" spans="1:7" ht="35.25" thickTop="1" thickBot="1" x14ac:dyDescent="0.3">
      <c r="A11" s="13" t="s">
        <v>91</v>
      </c>
      <c r="B11" s="14"/>
      <c r="C11" s="14"/>
      <c r="D11" s="14"/>
    </row>
    <row r="12" spans="1:7" ht="34.5" thickBot="1" x14ac:dyDescent="0.3">
      <c r="A12" s="13" t="s">
        <v>92</v>
      </c>
      <c r="B12" s="14"/>
      <c r="C12" s="14"/>
      <c r="D12" s="14"/>
    </row>
    <row r="13" spans="1:7" ht="15.75" thickBot="1" x14ac:dyDescent="0.3">
      <c r="A13" s="15" t="s">
        <v>84</v>
      </c>
      <c r="B13" s="16">
        <f>B11+B12</f>
        <v>0</v>
      </c>
      <c r="C13" s="16">
        <f t="shared" ref="C13:D13" si="0">C11+C12</f>
        <v>0</v>
      </c>
      <c r="D13" s="16">
        <f t="shared" si="0"/>
        <v>0</v>
      </c>
    </row>
    <row r="14" spans="1:7" ht="17.25" thickTop="1" x14ac:dyDescent="0.3">
      <c r="A14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7"/>
  <sheetViews>
    <sheetView showGridLines="0" zoomScaleNormal="100" workbookViewId="0">
      <selection activeCell="C22" sqref="C22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377</v>
      </c>
    </row>
    <row r="2" spans="1:3" ht="16.5" x14ac:dyDescent="0.3">
      <c r="A2" s="2"/>
    </row>
    <row r="3" spans="1:3" ht="15.75" thickBot="1" x14ac:dyDescent="0.3">
      <c r="A3" s="19" t="s">
        <v>9</v>
      </c>
      <c r="B3" s="19"/>
      <c r="C3" s="19"/>
    </row>
    <row r="4" spans="1:3" ht="45" customHeight="1" thickTop="1" thickBot="1" x14ac:dyDescent="0.3">
      <c r="A4" s="44" t="s">
        <v>85</v>
      </c>
      <c r="B4" s="49" t="s">
        <v>79</v>
      </c>
      <c r="C4" s="49" t="s">
        <v>81</v>
      </c>
    </row>
    <row r="5" spans="1:3" ht="24" thickTop="1" thickBot="1" x14ac:dyDescent="0.3">
      <c r="A5" s="13" t="s">
        <v>86</v>
      </c>
      <c r="B5" s="14"/>
      <c r="C5" s="14"/>
    </row>
    <row r="6" spans="1:3" ht="34.5" thickBot="1" x14ac:dyDescent="0.3">
      <c r="A6" s="13" t="s">
        <v>87</v>
      </c>
      <c r="B6" s="14"/>
      <c r="C6" s="14"/>
    </row>
    <row r="7" spans="1:3" ht="20.25" customHeight="1" thickBot="1" x14ac:dyDescent="0.3">
      <c r="A7" s="13" t="s">
        <v>88</v>
      </c>
      <c r="B7" s="14"/>
      <c r="C7" s="14"/>
    </row>
    <row r="8" spans="1:3" ht="20.25" customHeight="1" thickBot="1" x14ac:dyDescent="0.3">
      <c r="A8" s="15" t="s">
        <v>89</v>
      </c>
      <c r="B8" s="16"/>
      <c r="C8" s="16"/>
    </row>
    <row r="9" spans="1:3" ht="15.75" thickTop="1" x14ac:dyDescent="0.25">
      <c r="A9" s="19"/>
      <c r="B9" s="19"/>
      <c r="C9" s="19"/>
    </row>
    <row r="10" spans="1:3" x14ac:dyDescent="0.25">
      <c r="A10" s="35"/>
      <c r="B10" s="19"/>
      <c r="C10" s="19"/>
    </row>
    <row r="11" spans="1:3" ht="15.75" thickBot="1" x14ac:dyDescent="0.3">
      <c r="A11" s="35" t="s">
        <v>93</v>
      </c>
      <c r="B11" s="19"/>
      <c r="C11" s="19"/>
    </row>
    <row r="12" spans="1:3" ht="45" customHeight="1" thickTop="1" thickBot="1" x14ac:dyDescent="0.3">
      <c r="A12" s="44" t="s">
        <v>94</v>
      </c>
      <c r="B12" s="49" t="s">
        <v>79</v>
      </c>
      <c r="C12" s="49" t="s">
        <v>323</v>
      </c>
    </row>
    <row r="13" spans="1:3" ht="35.25" thickTop="1" thickBot="1" x14ac:dyDescent="0.3">
      <c r="A13" s="13" t="s">
        <v>95</v>
      </c>
      <c r="B13" s="14"/>
      <c r="C13" s="14"/>
    </row>
    <row r="14" spans="1:3" ht="34.5" thickBot="1" x14ac:dyDescent="0.3">
      <c r="A14" s="13" t="s">
        <v>87</v>
      </c>
      <c r="B14" s="14"/>
      <c r="C14" s="14"/>
    </row>
    <row r="15" spans="1:3" ht="20.25" customHeight="1" thickBot="1" x14ac:dyDescent="0.3">
      <c r="A15" s="13" t="s">
        <v>96</v>
      </c>
      <c r="B15" s="14"/>
      <c r="C15" s="14"/>
    </row>
    <row r="16" spans="1:3" ht="20.25" customHeight="1" thickBot="1" x14ac:dyDescent="0.3">
      <c r="A16" s="15" t="s">
        <v>89</v>
      </c>
      <c r="B16" s="16"/>
      <c r="C16" s="16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10"/>
  <sheetViews>
    <sheetView showGridLines="0" zoomScaleNormal="100" workbookViewId="0">
      <selection activeCell="F9" sqref="F9"/>
    </sheetView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1" t="s">
        <v>378</v>
      </c>
    </row>
    <row r="2" spans="1:11" ht="16.5" thickTop="1" thickBot="1" x14ac:dyDescent="0.3">
      <c r="A2" s="275" t="s">
        <v>97</v>
      </c>
      <c r="B2" s="280" t="s">
        <v>2</v>
      </c>
      <c r="C2" s="281"/>
      <c r="D2" s="281"/>
      <c r="E2" s="281"/>
      <c r="F2" s="282"/>
    </row>
    <row r="3" spans="1:11" ht="62.25" customHeight="1" thickTop="1" thickBot="1" x14ac:dyDescent="0.3">
      <c r="A3" s="290"/>
      <c r="B3" s="128" t="s">
        <v>98</v>
      </c>
      <c r="C3" s="27" t="s">
        <v>308</v>
      </c>
      <c r="D3" s="128" t="s">
        <v>312</v>
      </c>
      <c r="E3" s="27" t="s">
        <v>310</v>
      </c>
      <c r="F3" s="128" t="s">
        <v>68</v>
      </c>
    </row>
    <row r="4" spans="1:11" s="3" customFormat="1" ht="33" customHeight="1" thickTop="1" thickBot="1" x14ac:dyDescent="0.3">
      <c r="A4" s="114" t="s">
        <v>100</v>
      </c>
      <c r="B4" s="196">
        <f>SUMIF(SUAM!C:C,"042",SUAM!E:E)+SUMIF(SUAM!C:C,"054",SUAM!E:E)</f>
        <v>0</v>
      </c>
      <c r="C4" s="133"/>
      <c r="D4" s="133"/>
      <c r="E4" s="133"/>
      <c r="F4" s="197">
        <f>SUMIF(SUA!C:C,"042",SUA!E:E)+SUMIF(SUA!C:C,"054",SUA!E:E)</f>
        <v>4790.25</v>
      </c>
      <c r="G4" s="198"/>
      <c r="H4" s="198"/>
      <c r="I4" s="199"/>
      <c r="K4" s="112"/>
    </row>
    <row r="5" spans="1:11" s="3" customFormat="1" ht="33" customHeight="1" thickBot="1" x14ac:dyDescent="0.3">
      <c r="A5" s="114" t="s">
        <v>101</v>
      </c>
      <c r="B5" s="200">
        <f>SUMIF(SUAM!C:C,"047",SUAM!E:E)+SUMIF(SUAM!C:C,"059",SUAM!E:E)</f>
        <v>0</v>
      </c>
      <c r="C5" s="132"/>
      <c r="D5" s="132"/>
      <c r="E5" s="132"/>
      <c r="F5" s="168">
        <f>SUMIF(SUA!C:C,"047",SUA!E:E)+SUMIF(SUA!C:C,"059",SUA!E:E)</f>
        <v>0</v>
      </c>
      <c r="G5" s="198"/>
      <c r="H5" s="198"/>
      <c r="I5" s="199"/>
      <c r="K5" s="112"/>
    </row>
    <row r="6" spans="1:11" s="3" customFormat="1" ht="33" customHeight="1" thickBot="1" x14ac:dyDescent="0.3">
      <c r="A6" s="114" t="s">
        <v>110</v>
      </c>
      <c r="B6" s="200">
        <f>SUMIF(SUAM!C:C,"048",SUAM!E:E)+SUMIF(SUAM!C:C,"060",SUAM!E:E)</f>
        <v>0</v>
      </c>
      <c r="C6" s="132"/>
      <c r="D6" s="132"/>
      <c r="E6" s="132"/>
      <c r="F6" s="168">
        <f>SUMIF(SUA!C:C,"048",SUA!E:E)+SUMIF(SUA!C:C,"060",SUA!E:E)</f>
        <v>0</v>
      </c>
      <c r="G6" s="198"/>
      <c r="H6" s="198"/>
      <c r="I6" s="199"/>
      <c r="K6" s="112"/>
    </row>
    <row r="7" spans="1:11" s="3" customFormat="1" ht="33" customHeight="1" thickBot="1" x14ac:dyDescent="0.3">
      <c r="A7" s="114" t="s">
        <v>102</v>
      </c>
      <c r="B7" s="200">
        <f>SUMIF(SUAM!C:C,"049",SUAM!E:E)+SUMIF(SUAM!C:C,"061",SUAM!E:E)</f>
        <v>0</v>
      </c>
      <c r="C7" s="132"/>
      <c r="D7" s="132"/>
      <c r="E7" s="132"/>
      <c r="F7" s="168">
        <f>SUMIF(SUA!C:C,"049",SUA!E:E)+SUMIF(SUA!C:C,"061",SUA!E:E)</f>
        <v>0</v>
      </c>
      <c r="G7" s="198"/>
      <c r="H7" s="198"/>
      <c r="I7" s="199"/>
      <c r="K7" s="112"/>
    </row>
    <row r="8" spans="1:11" s="3" customFormat="1" ht="33" customHeight="1" thickBot="1" x14ac:dyDescent="0.3">
      <c r="A8" s="114" t="s">
        <v>103</v>
      </c>
      <c r="B8" s="200">
        <f>SUMIF(SUAM!C:C,"051",SUAM!E:E)+SUMIF(SUAM!C:C,"062",SUAM!E:E)+SUMIF(SUAM!C:C,"063",SUAM!E:E)</f>
        <v>0</v>
      </c>
      <c r="C8" s="132"/>
      <c r="D8" s="132"/>
      <c r="E8" s="132"/>
      <c r="F8" s="168">
        <f>SUMIF(SUA!C:C,"051",SUA!E:E)+SUMIF(SUA!C:C,"062",SUA!E:E)+SUMIF(SUA!C:C,"063",SUA!E:E)</f>
        <v>0</v>
      </c>
      <c r="G8" s="198"/>
      <c r="H8" s="198"/>
      <c r="I8" s="199"/>
      <c r="K8" s="112"/>
    </row>
    <row r="9" spans="1:11" s="3" customFormat="1" ht="33" customHeight="1" thickBot="1" x14ac:dyDescent="0.3">
      <c r="A9" s="115" t="s">
        <v>104</v>
      </c>
      <c r="B9" s="129">
        <f>SUM(D4:D8)</f>
        <v>0</v>
      </c>
      <c r="C9" s="130"/>
      <c r="D9" s="130"/>
      <c r="E9" s="130"/>
      <c r="F9" s="130">
        <f>SUM(F4:F8)</f>
        <v>4790.25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379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52" t="s">
        <v>105</v>
      </c>
      <c r="B3" s="253" t="s">
        <v>106</v>
      </c>
      <c r="C3" s="253" t="s">
        <v>107</v>
      </c>
      <c r="D3" s="253" t="s">
        <v>104</v>
      </c>
    </row>
    <row r="4" spans="1:6" ht="22.5" customHeight="1" thickTop="1" thickBot="1" x14ac:dyDescent="0.3">
      <c r="A4" s="48" t="s">
        <v>108</v>
      </c>
      <c r="B4" s="38"/>
      <c r="C4" s="38"/>
      <c r="D4" s="39"/>
    </row>
    <row r="5" spans="1:6" ht="22.5" customHeight="1" thickTop="1" thickBot="1" x14ac:dyDescent="0.3">
      <c r="A5" s="13" t="s">
        <v>109</v>
      </c>
      <c r="B5" s="21"/>
      <c r="C5" s="21"/>
      <c r="D5" s="202">
        <f>SUMIF(SUA!C:C,"042",SUA!F:F)</f>
        <v>0</v>
      </c>
      <c r="E5" s="203"/>
      <c r="F5" s="199"/>
    </row>
    <row r="6" spans="1:6" ht="22.5" customHeight="1" thickBot="1" x14ac:dyDescent="0.3">
      <c r="A6" s="13" t="s">
        <v>101</v>
      </c>
      <c r="B6" s="21"/>
      <c r="C6" s="21"/>
      <c r="D6" s="202">
        <f>SUMIF(SUA!C:C,"047",SUA!F:F)</f>
        <v>0</v>
      </c>
      <c r="E6" s="203"/>
      <c r="F6" s="199"/>
    </row>
    <row r="7" spans="1:6" ht="22.5" customHeight="1" thickBot="1" x14ac:dyDescent="0.3">
      <c r="A7" s="13" t="s">
        <v>110</v>
      </c>
      <c r="B7" s="21"/>
      <c r="C7" s="21"/>
      <c r="D7" s="202">
        <f>SUMIF(SUA!C:C,"048",SUA!F:F)</f>
        <v>0</v>
      </c>
      <c r="E7" s="203"/>
      <c r="F7" s="199"/>
    </row>
    <row r="8" spans="1:6" ht="22.5" customHeight="1" thickBot="1" x14ac:dyDescent="0.3">
      <c r="A8" s="13" t="s">
        <v>102</v>
      </c>
      <c r="B8" s="21"/>
      <c r="C8" s="21"/>
      <c r="D8" s="202">
        <f>SUMIF(SUA!C:C,"049",SUA!F:F)</f>
        <v>0</v>
      </c>
      <c r="E8" s="203"/>
      <c r="F8" s="199"/>
    </row>
    <row r="9" spans="1:6" ht="22.5" customHeight="1" thickBot="1" x14ac:dyDescent="0.3">
      <c r="A9" s="13" t="s">
        <v>103</v>
      </c>
      <c r="B9" s="21"/>
      <c r="C9" s="21"/>
      <c r="D9" s="202">
        <f>SUMIF(SUA!C:C,"051",SUA!F:F)</f>
        <v>0</v>
      </c>
      <c r="E9" s="203"/>
      <c r="F9" s="199"/>
    </row>
    <row r="10" spans="1:6" ht="22.5" customHeight="1" thickBot="1" x14ac:dyDescent="0.3">
      <c r="A10" s="22" t="s">
        <v>111</v>
      </c>
      <c r="B10" s="43">
        <f>SUM(B5:B9)</f>
        <v>0</v>
      </c>
      <c r="C10" s="43">
        <f>SUM(C5:C9)</f>
        <v>0</v>
      </c>
      <c r="D10" s="194">
        <f>SUM(D5:D9)</f>
        <v>0</v>
      </c>
      <c r="E10" s="203"/>
      <c r="F10" s="203"/>
    </row>
    <row r="11" spans="1:6" ht="22.5" customHeight="1" thickTop="1" thickBot="1" x14ac:dyDescent="0.3">
      <c r="A11" s="48" t="s">
        <v>112</v>
      </c>
      <c r="B11" s="38"/>
      <c r="C11" s="38"/>
      <c r="D11" s="192"/>
      <c r="E11" s="203"/>
      <c r="F11" s="203"/>
    </row>
    <row r="12" spans="1:6" ht="22.5" customHeight="1" thickTop="1" thickBot="1" x14ac:dyDescent="0.3">
      <c r="A12" s="13" t="s">
        <v>113</v>
      </c>
      <c r="B12" s="21"/>
      <c r="C12" s="21"/>
      <c r="D12" s="202">
        <f>SUMIF(SUA!C:C,"054",SUA!F:F)</f>
        <v>202847.41</v>
      </c>
      <c r="E12" s="203"/>
      <c r="F12" s="199"/>
    </row>
    <row r="13" spans="1:6" ht="22.5" customHeight="1" thickBot="1" x14ac:dyDescent="0.3">
      <c r="A13" s="13" t="s">
        <v>101</v>
      </c>
      <c r="B13" s="21"/>
      <c r="C13" s="21"/>
      <c r="D13" s="202">
        <f>SUMIF(SUA!C:C,"059",SUA!F:F)</f>
        <v>0</v>
      </c>
      <c r="E13" s="203"/>
      <c r="F13" s="199"/>
    </row>
    <row r="14" spans="1:6" ht="22.5" customHeight="1" thickBot="1" x14ac:dyDescent="0.3">
      <c r="A14" s="13" t="s">
        <v>110</v>
      </c>
      <c r="B14" s="21"/>
      <c r="C14" s="21"/>
      <c r="D14" s="202">
        <f>SUMIF(SUA!C:C,"060",SUA!F:F)</f>
        <v>0</v>
      </c>
      <c r="E14" s="203"/>
      <c r="F14" s="199"/>
    </row>
    <row r="15" spans="1:6" ht="22.5" customHeight="1" thickBot="1" x14ac:dyDescent="0.3">
      <c r="A15" s="13" t="s">
        <v>102</v>
      </c>
      <c r="B15" s="21"/>
      <c r="C15" s="21"/>
      <c r="D15" s="202">
        <f>SUMIF(SUA!C:C,"061",SUA!F:F)</f>
        <v>0</v>
      </c>
      <c r="E15" s="203"/>
      <c r="F15" s="199"/>
    </row>
    <row r="16" spans="1:6" ht="22.5" customHeight="1" thickBot="1" x14ac:dyDescent="0.3">
      <c r="A16" s="13" t="s">
        <v>114</v>
      </c>
      <c r="B16" s="21"/>
      <c r="C16" s="21"/>
      <c r="D16" s="202">
        <f>SUMIF(SUA!C:C,"062",SUA!F:F)</f>
        <v>0</v>
      </c>
      <c r="E16" s="203"/>
      <c r="F16" s="199"/>
    </row>
    <row r="17" spans="1:6" ht="22.5" customHeight="1" thickBot="1" x14ac:dyDescent="0.3">
      <c r="A17" s="13" t="s">
        <v>115</v>
      </c>
      <c r="B17" s="21"/>
      <c r="C17" s="21"/>
      <c r="D17" s="202">
        <f>SUMIF(SUA!C:C,"063",SUA!F:F)</f>
        <v>0</v>
      </c>
      <c r="E17" s="203"/>
      <c r="F17" s="199"/>
    </row>
    <row r="18" spans="1:6" ht="22.5" customHeight="1" thickBot="1" x14ac:dyDescent="0.3">
      <c r="A18" s="13" t="s">
        <v>103</v>
      </c>
      <c r="B18" s="21"/>
      <c r="C18" s="21"/>
      <c r="D18" s="202">
        <f>SUMIF(SUA!C:C,"065",SUA!F:F)</f>
        <v>0</v>
      </c>
      <c r="E18" s="203"/>
      <c r="F18" s="199"/>
    </row>
    <row r="19" spans="1:6" ht="22.5" customHeight="1" thickBot="1" x14ac:dyDescent="0.3">
      <c r="A19" s="22" t="s">
        <v>116</v>
      </c>
      <c r="B19" s="43">
        <f>SUM(B12:B18)</f>
        <v>0</v>
      </c>
      <c r="C19" s="43">
        <f>SUM(C12:C18)</f>
        <v>0</v>
      </c>
      <c r="D19" s="45">
        <f>SUM(D12:D18)</f>
        <v>202847.41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5"/>
  <sheetViews>
    <sheetView showGridLines="0" zoomScaleNormal="100" workbookViewId="0">
      <selection activeCell="D32" sqref="D32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94" t="s">
        <v>380</v>
      </c>
      <c r="B1" s="294"/>
      <c r="C1" s="294"/>
    </row>
    <row r="2" spans="1:3" ht="16.5" thickTop="1" thickBot="1" x14ac:dyDescent="0.3">
      <c r="A2" s="275" t="s">
        <v>117</v>
      </c>
      <c r="B2" s="295" t="s">
        <v>2</v>
      </c>
      <c r="C2" s="296"/>
    </row>
    <row r="3" spans="1:3" ht="16.5" thickTop="1" thickBot="1" x14ac:dyDescent="0.3">
      <c r="A3" s="290"/>
      <c r="B3" s="253" t="s">
        <v>118</v>
      </c>
      <c r="C3" s="44" t="s">
        <v>119</v>
      </c>
    </row>
    <row r="4" spans="1:3" ht="24" thickTop="1" thickBot="1" x14ac:dyDescent="0.3">
      <c r="A4" s="11" t="s">
        <v>120</v>
      </c>
      <c r="B4" s="32"/>
      <c r="C4" s="12"/>
    </row>
    <row r="5" spans="1:3" ht="23.25" thickBot="1" x14ac:dyDescent="0.3">
      <c r="A5" s="13" t="s">
        <v>121</v>
      </c>
      <c r="B5" s="46" t="s">
        <v>10</v>
      </c>
      <c r="C5" s="1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zoomScaleNormal="100" workbookViewId="0">
      <selection activeCell="B15" sqref="B15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9" t="s">
        <v>1</v>
      </c>
      <c r="B2" s="10" t="s">
        <v>2</v>
      </c>
      <c r="C2" s="10" t="s">
        <v>3</v>
      </c>
    </row>
    <row r="3" spans="1:3" ht="22.5" customHeight="1" thickTop="1" thickBot="1" x14ac:dyDescent="0.3">
      <c r="A3" s="11" t="s">
        <v>4</v>
      </c>
      <c r="B3" s="12"/>
      <c r="C3" s="12"/>
    </row>
    <row r="4" spans="1:3" ht="22.5" customHeight="1" thickBot="1" x14ac:dyDescent="0.3">
      <c r="A4" s="13" t="s">
        <v>5</v>
      </c>
      <c r="B4" s="14"/>
      <c r="C4" s="14"/>
    </row>
    <row r="5" spans="1:3" ht="22.5" customHeight="1" thickBot="1" x14ac:dyDescent="0.3">
      <c r="A5" s="15" t="s">
        <v>6</v>
      </c>
      <c r="B5" s="16"/>
      <c r="C5" s="16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381</v>
      </c>
    </row>
    <row r="2" spans="1:3" ht="17.25" thickBot="1" x14ac:dyDescent="0.35">
      <c r="A2" s="4" t="s">
        <v>122</v>
      </c>
    </row>
    <row r="3" spans="1:3" ht="24" thickTop="1" thickBot="1" x14ac:dyDescent="0.3">
      <c r="A3" s="245" t="s">
        <v>105</v>
      </c>
      <c r="B3" s="249" t="s">
        <v>2</v>
      </c>
      <c r="C3" s="249" t="s">
        <v>3</v>
      </c>
    </row>
    <row r="4" spans="1:3" ht="16.5" thickTop="1" thickBot="1" x14ac:dyDescent="0.3">
      <c r="A4" s="113" t="s">
        <v>123</v>
      </c>
      <c r="B4" s="204">
        <f>SUMIF(SUA!C:C,"072",SUA!F:F)</f>
        <v>58318.49</v>
      </c>
      <c r="C4" s="205">
        <f>SUMIF(SUA!C:C,"072",SUA!G:G)</f>
        <v>22379.35</v>
      </c>
    </row>
    <row r="5" spans="1:3" ht="15.75" thickBot="1" x14ac:dyDescent="0.3">
      <c r="A5" s="114" t="s">
        <v>124</v>
      </c>
      <c r="B5" s="206">
        <f>SUMIF(SUA!C:C,"073",SUA!F:F)-(SUMIF(HK!A:A,"261*",HK!K:K)+SUMIF(HK!A:A,"261*",HK!L:L))</f>
        <v>12293.21</v>
      </c>
      <c r="C5" s="207">
        <f>SUMIF(SUA!C:C,"073",SUA!G:G)-(SUMIF(HK!A:A,"261*",HK!C:C)+SUMIF(HK!A:A,"261*",HK!D:D))</f>
        <v>24833.73</v>
      </c>
    </row>
    <row r="6" spans="1:3" ht="15.75" thickBot="1" x14ac:dyDescent="0.3">
      <c r="A6" s="114" t="s">
        <v>125</v>
      </c>
      <c r="B6" s="206">
        <f>SUMIF(SUA!C:C,"030",SUA!F:F)</f>
        <v>0</v>
      </c>
      <c r="C6" s="207">
        <f>SUMIF(SUA!C:C,"030",SUA!G:G)</f>
        <v>0</v>
      </c>
    </row>
    <row r="7" spans="1:3" ht="15.75" thickBot="1" x14ac:dyDescent="0.3">
      <c r="A7" s="114" t="s">
        <v>126</v>
      </c>
      <c r="B7" s="206">
        <f>SUMIF(HK!A:A,"261*",HK!K:K)-SUMIF(HK!A:A,"261*",HK!L:L)</f>
        <v>0</v>
      </c>
      <c r="C7" s="207">
        <f>SUMIF(HK!A:A,"261*",HK!C:C)-SUMIF(HK!A:A,"261*",HK!D:D)</f>
        <v>0</v>
      </c>
    </row>
    <row r="8" spans="1:3" ht="15.75" thickBot="1" x14ac:dyDescent="0.3">
      <c r="A8" s="115" t="s">
        <v>8</v>
      </c>
      <c r="B8" s="116">
        <f>SUM(B4:B7)</f>
        <v>70611.7</v>
      </c>
      <c r="C8" s="45">
        <f>SUM(C4:C7)</f>
        <v>47213.08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3"/>
  <sheetViews>
    <sheetView showGridLines="0" zoomScaleNormal="100" workbookViewId="0">
      <selection activeCell="E4" sqref="E4:E5"/>
    </sheetView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1" t="s">
        <v>381</v>
      </c>
    </row>
    <row r="2" spans="1:7" ht="17.25" thickBot="1" x14ac:dyDescent="0.35">
      <c r="A2" s="4" t="s">
        <v>9</v>
      </c>
    </row>
    <row r="3" spans="1:7" ht="16.5" thickTop="1" thickBot="1" x14ac:dyDescent="0.3">
      <c r="A3" s="275" t="s">
        <v>127</v>
      </c>
      <c r="B3" s="280" t="s">
        <v>2</v>
      </c>
      <c r="C3" s="281"/>
      <c r="D3" s="281"/>
      <c r="E3" s="282"/>
    </row>
    <row r="4" spans="1:7" ht="18" customHeight="1" thickTop="1" x14ac:dyDescent="0.25">
      <c r="A4" s="276"/>
      <c r="B4" s="276" t="s">
        <v>23</v>
      </c>
      <c r="C4" s="276" t="s">
        <v>18</v>
      </c>
      <c r="D4" s="276" t="s">
        <v>19</v>
      </c>
      <c r="E4" s="276" t="s">
        <v>21</v>
      </c>
    </row>
    <row r="5" spans="1:7" ht="17.25" customHeight="1" thickBot="1" x14ac:dyDescent="0.3">
      <c r="A5" s="290"/>
      <c r="B5" s="290"/>
      <c r="C5" s="290"/>
      <c r="D5" s="290"/>
      <c r="E5" s="290"/>
    </row>
    <row r="6" spans="1:7" ht="21.75" customHeight="1" thickTop="1" thickBot="1" x14ac:dyDescent="0.3">
      <c r="A6" s="13" t="s">
        <v>128</v>
      </c>
      <c r="B6" s="168">
        <f>SUMIF(HK!A:A,"251*",HK!C:C)-SUMIF(HK!A:A,"251*",HK!D:D)</f>
        <v>0</v>
      </c>
      <c r="C6" s="132"/>
      <c r="D6" s="132"/>
      <c r="E6" s="202">
        <f>SUMIF(HK!A:A,"251*",HK!K:K)-SUMIF(HK!A:A,"251*",HK!L:L)</f>
        <v>0</v>
      </c>
      <c r="F6" s="203"/>
      <c r="G6" s="199"/>
    </row>
    <row r="7" spans="1:7" ht="21.75" customHeight="1" thickBot="1" x14ac:dyDescent="0.3">
      <c r="A7" s="13" t="s">
        <v>129</v>
      </c>
      <c r="B7" s="168">
        <f>SUMIF(HK!A:A,"253*",HK!C:C)-SUMIF(HK!A:A,"253*",HK!D:D)</f>
        <v>0</v>
      </c>
      <c r="C7" s="132"/>
      <c r="D7" s="132"/>
      <c r="E7" s="202">
        <f>SUMIF(HK!A:A,"253*",HK!K:K)-SUMIF(HK!A:A,"253*",HK!L:L)</f>
        <v>0</v>
      </c>
      <c r="F7" s="203"/>
      <c r="G7" s="199"/>
    </row>
    <row r="8" spans="1:7" ht="21.75" customHeight="1" thickBot="1" x14ac:dyDescent="0.3">
      <c r="A8" s="13" t="s">
        <v>130</v>
      </c>
      <c r="B8" s="168"/>
      <c r="C8" s="132"/>
      <c r="D8" s="132"/>
      <c r="E8" s="202"/>
      <c r="F8" s="203"/>
      <c r="G8" s="203"/>
    </row>
    <row r="9" spans="1:7" ht="21.75" customHeight="1" thickBot="1" x14ac:dyDescent="0.3">
      <c r="A9" s="13" t="s">
        <v>131</v>
      </c>
      <c r="B9" s="168">
        <f>SUMIF(HK!A:A,"256*",HK!C:C)-SUMIF(HK!A:A,"256*",HK!D:D)</f>
        <v>0</v>
      </c>
      <c r="C9" s="132"/>
      <c r="D9" s="132"/>
      <c r="E9" s="202">
        <f>SUMIF(HK!A:A,"256*",HK!K:K)-SUMIF(HK!A:A,"256*",HK!L:L)</f>
        <v>0</v>
      </c>
      <c r="F9" s="203"/>
      <c r="G9" s="199"/>
    </row>
    <row r="10" spans="1:7" ht="21.75" customHeight="1" thickBot="1" x14ac:dyDescent="0.3">
      <c r="A10" s="13" t="s">
        <v>132</v>
      </c>
      <c r="B10" s="168">
        <f>SUMIF(HK!A:A,"257*",HK!C:C)-SUMIF(HK!A:A,"257*",HK!D:D)</f>
        <v>0</v>
      </c>
      <c r="C10" s="132"/>
      <c r="D10" s="132"/>
      <c r="E10" s="202">
        <f>SUMIF(HK!A:A,"257*",HK!K:K)-SUMIF(HK!A:A,"257*",HK!L:L)</f>
        <v>0</v>
      </c>
      <c r="F10" s="203"/>
      <c r="G10" s="199"/>
    </row>
    <row r="11" spans="1:7" ht="21.75" customHeight="1" thickBot="1" x14ac:dyDescent="0.3">
      <c r="A11" s="13" t="s">
        <v>133</v>
      </c>
      <c r="B11" s="168">
        <f>SUMIF(HK!A:A,"259*",HK!C:C)-SUMIF(HK!A:A,"259*",HK!D:D)</f>
        <v>0</v>
      </c>
      <c r="C11" s="132"/>
      <c r="D11" s="132"/>
      <c r="E11" s="202">
        <f>SUMIF(HK!A:A,"259*",HK!K:K)-SUMIF(HK!A:A,"259*",HK!L:L)</f>
        <v>0</v>
      </c>
      <c r="F11" s="203"/>
      <c r="G11" s="199"/>
    </row>
    <row r="12" spans="1:7" ht="21.75" customHeight="1" thickBot="1" x14ac:dyDescent="0.3">
      <c r="A12" s="22" t="s">
        <v>134</v>
      </c>
      <c r="B12" s="43">
        <f>SUM(B6:B11)</f>
        <v>0</v>
      </c>
      <c r="C12" s="43">
        <f t="shared" ref="C12:E12" si="0">SUM(C6:C11)</f>
        <v>0</v>
      </c>
      <c r="D12" s="43">
        <f t="shared" si="0"/>
        <v>0</v>
      </c>
      <c r="E12" s="45">
        <f t="shared" si="0"/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"/>
  <sheetViews>
    <sheetView showGridLines="0" zoomScaleNormal="100" workbookViewId="0">
      <selection activeCell="F4" sqref="F4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94" t="s">
        <v>382</v>
      </c>
      <c r="B1" s="294"/>
      <c r="C1" s="294"/>
      <c r="D1" s="294"/>
      <c r="E1" s="294"/>
      <c r="F1" s="294"/>
      <c r="G1" s="3"/>
    </row>
    <row r="2" spans="1:10" ht="55.5" customHeight="1" thickTop="1" thickBot="1" x14ac:dyDescent="0.3">
      <c r="A2" s="44" t="s">
        <v>135</v>
      </c>
      <c r="B2" s="44" t="s">
        <v>136</v>
      </c>
      <c r="C2" s="44" t="s">
        <v>137</v>
      </c>
      <c r="D2" s="44" t="s">
        <v>67</v>
      </c>
      <c r="E2" s="44" t="s">
        <v>310</v>
      </c>
      <c r="F2" s="44" t="s">
        <v>138</v>
      </c>
    </row>
    <row r="3" spans="1:10" ht="23.25" customHeight="1" thickTop="1" thickBot="1" x14ac:dyDescent="0.3">
      <c r="A3" s="50" t="s">
        <v>132</v>
      </c>
      <c r="B3" s="168">
        <f>SUMIF(SUAM!C:C,"069",SUAM!E:E)</f>
        <v>0</v>
      </c>
      <c r="C3" s="208"/>
      <c r="D3" s="208"/>
      <c r="E3" s="208"/>
      <c r="F3" s="209">
        <f>SUMIF(SUA!C:C,"069",SUA!E:E)</f>
        <v>0</v>
      </c>
      <c r="G3" s="203"/>
      <c r="H3" s="199"/>
      <c r="J3" s="112"/>
    </row>
    <row r="4" spans="1:10" ht="23.25" customHeight="1" thickBot="1" x14ac:dyDescent="0.3">
      <c r="A4" s="13" t="s">
        <v>133</v>
      </c>
      <c r="B4" s="168">
        <f>SUMIF(SUAM!C:C,"070",SUAM!E:E)</f>
        <v>0</v>
      </c>
      <c r="C4" s="208"/>
      <c r="D4" s="208"/>
      <c r="E4" s="208"/>
      <c r="F4" s="209">
        <f>SUMIF(SUA!C:C,"070",SUA!E:E)</f>
        <v>0</v>
      </c>
      <c r="G4" s="203"/>
      <c r="H4" s="199"/>
      <c r="J4" s="112"/>
    </row>
    <row r="5" spans="1:10" ht="23.25" customHeight="1" thickBot="1" x14ac:dyDescent="0.3">
      <c r="A5" s="22" t="s">
        <v>134</v>
      </c>
      <c r="B5" s="59">
        <f>SUM(B3:B4)</f>
        <v>0</v>
      </c>
      <c r="C5" s="59">
        <f>SUM(C3:C4)</f>
        <v>0</v>
      </c>
      <c r="D5" s="59">
        <f>SUM(D3:D4)</f>
        <v>0</v>
      </c>
      <c r="E5" s="59">
        <f>SUM(E3:E4)</f>
        <v>0</v>
      </c>
      <c r="F5" s="60">
        <f t="shared" ref="F5" si="0">SUM(B5:E5)</f>
        <v>0</v>
      </c>
    </row>
    <row r="6" spans="1:10" ht="15.75" thickTop="1" x14ac:dyDescent="0.25"/>
    <row r="10" spans="1:10" x14ac:dyDescent="0.25">
      <c r="B10" s="19"/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3"/>
  <sheetViews>
    <sheetView showGridLines="0" zoomScaleNormal="100" workbookViewId="0">
      <selection activeCell="B12" sqref="B12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94" t="s">
        <v>383</v>
      </c>
      <c r="B1" s="294"/>
      <c r="C1" s="3"/>
    </row>
    <row r="2" spans="1:3" ht="16.5" thickTop="1" thickBot="1" x14ac:dyDescent="0.3">
      <c r="A2" s="53" t="s">
        <v>105</v>
      </c>
      <c r="B2" s="54" t="s">
        <v>26</v>
      </c>
    </row>
    <row r="3" spans="1:3" ht="24" thickTop="1" thickBot="1" x14ac:dyDescent="0.3">
      <c r="A3" s="11" t="s">
        <v>139</v>
      </c>
      <c r="B3" s="55"/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8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3" customFormat="1" ht="36.75" customHeight="1" thickBot="1" x14ac:dyDescent="0.35">
      <c r="A1" s="294" t="s">
        <v>384</v>
      </c>
      <c r="B1" s="294"/>
      <c r="C1" s="294"/>
      <c r="D1" s="294"/>
    </row>
    <row r="2" spans="1:4" ht="44.25" customHeight="1" thickTop="1" thickBot="1" x14ac:dyDescent="0.3">
      <c r="A2" s="62" t="s">
        <v>135</v>
      </c>
      <c r="B2" s="26" t="s">
        <v>313</v>
      </c>
      <c r="C2" s="26" t="s">
        <v>314</v>
      </c>
      <c r="D2" s="26" t="s">
        <v>315</v>
      </c>
    </row>
    <row r="3" spans="1:4" ht="16.5" thickTop="1" thickBot="1" x14ac:dyDescent="0.3">
      <c r="A3" s="50" t="s">
        <v>128</v>
      </c>
      <c r="B3" s="57"/>
      <c r="C3" s="57"/>
      <c r="D3" s="58"/>
    </row>
    <row r="4" spans="1:4" ht="15.75" thickBot="1" x14ac:dyDescent="0.3">
      <c r="A4" s="50" t="s">
        <v>129</v>
      </c>
      <c r="B4" s="57"/>
      <c r="C4" s="57"/>
      <c r="D4" s="58"/>
    </row>
    <row r="5" spans="1:4" ht="15.75" thickBot="1" x14ac:dyDescent="0.3">
      <c r="A5" s="50" t="s">
        <v>140</v>
      </c>
      <c r="B5" s="57"/>
      <c r="C5" s="57"/>
      <c r="D5" s="58"/>
    </row>
    <row r="6" spans="1:4" ht="15.75" thickBot="1" x14ac:dyDescent="0.3">
      <c r="A6" s="50" t="s">
        <v>132</v>
      </c>
      <c r="B6" s="57"/>
      <c r="C6" s="57"/>
      <c r="D6" s="58"/>
    </row>
    <row r="7" spans="1:4" ht="26.25" customHeight="1" thickBot="1" x14ac:dyDescent="0.3">
      <c r="A7" s="64" t="s">
        <v>134</v>
      </c>
      <c r="B7" s="63"/>
      <c r="C7" s="63"/>
      <c r="D7" s="56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8"/>
  <sheetViews>
    <sheetView showGridLines="0" zoomScaleNormal="100" workbookViewId="0">
      <selection activeCell="G7" sqref="G7"/>
    </sheetView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1" t="s">
        <v>385</v>
      </c>
    </row>
    <row r="2" spans="1:7" ht="36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325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customHeight="1" thickTop="1" thickBot="1" x14ac:dyDescent="0.3">
      <c r="A5" s="251" t="s">
        <v>145</v>
      </c>
      <c r="B5" s="57"/>
      <c r="C5" s="57"/>
      <c r="D5" s="57"/>
      <c r="E5" s="57"/>
      <c r="F5" s="57"/>
      <c r="G5" s="58"/>
    </row>
    <row r="6" spans="1:7" ht="15.75" thickBot="1" x14ac:dyDescent="0.3">
      <c r="A6" s="251" t="s">
        <v>146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303" t="s">
        <v>386</v>
      </c>
      <c r="B1" s="303"/>
    </row>
    <row r="2" spans="1:2" ht="15.75" thickBot="1" x14ac:dyDescent="0.3">
      <c r="A2" s="19" t="s">
        <v>7</v>
      </c>
      <c r="B2" s="19"/>
    </row>
    <row r="3" spans="1:2" ht="16.5" thickTop="1" thickBot="1" x14ac:dyDescent="0.3">
      <c r="A3" s="62" t="s">
        <v>105</v>
      </c>
      <c r="B3" s="250" t="s">
        <v>3</v>
      </c>
    </row>
    <row r="4" spans="1:2" ht="16.5" thickTop="1" thickBot="1" x14ac:dyDescent="0.3">
      <c r="A4" s="51" t="s">
        <v>147</v>
      </c>
      <c r="B4" s="216">
        <f>IF(SUMIF(SUP!C:C,"100",SUP!E:E)&gt; 0,SUMIF(SUP!C:C,"100",SUP!E:E), 0)</f>
        <v>0</v>
      </c>
    </row>
    <row r="5" spans="1:2" ht="16.5" thickTop="1" thickBot="1" x14ac:dyDescent="0.3">
      <c r="A5" s="51" t="s">
        <v>148</v>
      </c>
      <c r="B5" s="213" t="s">
        <v>2</v>
      </c>
    </row>
    <row r="6" spans="1:2" ht="16.5" thickTop="1" thickBot="1" x14ac:dyDescent="0.3">
      <c r="A6" s="251" t="s">
        <v>149</v>
      </c>
      <c r="B6" s="214"/>
    </row>
    <row r="7" spans="1:2" ht="15.75" thickBot="1" x14ac:dyDescent="0.3">
      <c r="A7" s="251" t="s">
        <v>150</v>
      </c>
      <c r="B7" s="214"/>
    </row>
    <row r="8" spans="1:2" ht="15.75" thickBot="1" x14ac:dyDescent="0.3">
      <c r="A8" s="251" t="s">
        <v>151</v>
      </c>
      <c r="B8" s="214"/>
    </row>
    <row r="9" spans="1:2" ht="15.75" thickBot="1" x14ac:dyDescent="0.3">
      <c r="A9" s="251" t="s">
        <v>152</v>
      </c>
      <c r="B9" s="214"/>
    </row>
    <row r="10" spans="1:2" ht="15.75" thickBot="1" x14ac:dyDescent="0.3">
      <c r="A10" s="251" t="s">
        <v>153</v>
      </c>
      <c r="B10" s="214"/>
    </row>
    <row r="11" spans="1:2" ht="15.75" thickBot="1" x14ac:dyDescent="0.3">
      <c r="A11" s="251" t="s">
        <v>154</v>
      </c>
      <c r="B11" s="214"/>
    </row>
    <row r="12" spans="1:2" ht="15.75" thickBot="1" x14ac:dyDescent="0.3">
      <c r="A12" s="251" t="s">
        <v>155</v>
      </c>
      <c r="B12" s="214"/>
    </row>
    <row r="13" spans="1:2" ht="15.75" thickBot="1" x14ac:dyDescent="0.3">
      <c r="A13" s="251" t="s">
        <v>156</v>
      </c>
      <c r="B13" s="214"/>
    </row>
    <row r="14" spans="1:2" ht="15.75" thickBot="1" x14ac:dyDescent="0.3">
      <c r="A14" s="51" t="s">
        <v>8</v>
      </c>
      <c r="B14" s="215">
        <f>SUM(B6:B13)</f>
        <v>0</v>
      </c>
    </row>
    <row r="15" spans="1:2" ht="15.75" thickTop="1" x14ac:dyDescent="0.25">
      <c r="A15" s="19"/>
      <c r="B15" s="181"/>
    </row>
    <row r="16" spans="1:2" ht="15.75" thickBot="1" x14ac:dyDescent="0.3">
      <c r="A16" s="19" t="s">
        <v>9</v>
      </c>
      <c r="B16" s="181"/>
    </row>
    <row r="17" spans="1:2" ht="16.5" thickTop="1" thickBot="1" x14ac:dyDescent="0.3">
      <c r="A17" s="62" t="s">
        <v>105</v>
      </c>
      <c r="B17" s="248" t="s">
        <v>3</v>
      </c>
    </row>
    <row r="18" spans="1:2" ht="16.5" thickTop="1" thickBot="1" x14ac:dyDescent="0.3">
      <c r="A18" s="51" t="s">
        <v>157</v>
      </c>
      <c r="B18" s="216">
        <f>IF(SUMIF(SUP!C:C,"100",SUP!E:E)&gt; 0,0,SUMIF(SUP!C:C,"100",SUP!E:E))</f>
        <v>-274033.12</v>
      </c>
    </row>
    <row r="19" spans="1:2" ht="16.5" thickTop="1" thickBot="1" x14ac:dyDescent="0.3">
      <c r="A19" s="51" t="s">
        <v>158</v>
      </c>
      <c r="B19" s="213" t="s">
        <v>2</v>
      </c>
    </row>
    <row r="20" spans="1:2" ht="16.5" thickTop="1" thickBot="1" x14ac:dyDescent="0.3">
      <c r="A20" s="251" t="s">
        <v>159</v>
      </c>
      <c r="B20" s="214"/>
    </row>
    <row r="21" spans="1:2" ht="15.75" thickBot="1" x14ac:dyDescent="0.3">
      <c r="A21" s="251" t="s">
        <v>160</v>
      </c>
      <c r="B21" s="58"/>
    </row>
    <row r="22" spans="1:2" ht="15.75" thickBot="1" x14ac:dyDescent="0.3">
      <c r="A22" s="251" t="s">
        <v>161</v>
      </c>
      <c r="B22" s="58"/>
    </row>
    <row r="23" spans="1:2" ht="15.75" thickBot="1" x14ac:dyDescent="0.3">
      <c r="A23" s="251" t="s">
        <v>162</v>
      </c>
      <c r="B23" s="58"/>
    </row>
    <row r="24" spans="1:2" ht="15.75" thickBot="1" x14ac:dyDescent="0.3">
      <c r="A24" s="251" t="s">
        <v>163</v>
      </c>
      <c r="B24" s="58"/>
    </row>
    <row r="25" spans="1:2" ht="15.75" thickBot="1" x14ac:dyDescent="0.3">
      <c r="A25" s="251" t="s">
        <v>156</v>
      </c>
      <c r="B25" s="58"/>
    </row>
    <row r="26" spans="1:2" ht="15.75" thickBot="1" x14ac:dyDescent="0.3">
      <c r="A26" s="51" t="s">
        <v>164</v>
      </c>
      <c r="B26" s="5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74" t="s">
        <v>406</v>
      </c>
      <c r="B1" s="19"/>
      <c r="C1" s="19"/>
      <c r="D1" s="19"/>
      <c r="E1" s="19"/>
      <c r="F1" s="19"/>
    </row>
    <row r="2" spans="1:9" ht="15.75" thickBot="1" x14ac:dyDescent="0.3">
      <c r="A2" s="19" t="s">
        <v>7</v>
      </c>
      <c r="B2" s="19"/>
      <c r="C2" s="19"/>
      <c r="D2" s="19"/>
      <c r="E2" s="19"/>
      <c r="F2" s="19"/>
    </row>
    <row r="3" spans="1:9" ht="16.5" thickTop="1" thickBot="1" x14ac:dyDescent="0.3">
      <c r="A3" s="297" t="s">
        <v>105</v>
      </c>
      <c r="B3" s="300" t="s">
        <v>2</v>
      </c>
      <c r="C3" s="301"/>
      <c r="D3" s="301"/>
      <c r="E3" s="301"/>
      <c r="F3" s="302"/>
    </row>
    <row r="4" spans="1:9" s="3" customFormat="1" ht="33" customHeight="1" thickTop="1" thickBot="1" x14ac:dyDescent="0.3">
      <c r="A4" s="299"/>
      <c r="B4" s="20" t="s">
        <v>23</v>
      </c>
      <c r="C4" s="20" t="s">
        <v>99</v>
      </c>
      <c r="D4" s="70" t="s">
        <v>165</v>
      </c>
      <c r="E4" s="105" t="s">
        <v>166</v>
      </c>
      <c r="F4" s="20" t="s">
        <v>21</v>
      </c>
    </row>
    <row r="5" spans="1:9" ht="21" customHeight="1" thickTop="1" thickBot="1" x14ac:dyDescent="0.3">
      <c r="A5" s="64" t="s">
        <v>167</v>
      </c>
      <c r="B5" s="212">
        <f>SUMIF(HK!A:A,"459*",HK!D:D)-SUMIF(HK!A:A,"459*",HK!C:C)</f>
        <v>0</v>
      </c>
      <c r="C5" s="218">
        <f>SUM(C6:C10)</f>
        <v>0</v>
      </c>
      <c r="D5" s="218">
        <f t="shared" ref="D5:E5" si="0">SUM(D6:D10)</f>
        <v>0</v>
      </c>
      <c r="E5" s="218">
        <f t="shared" si="0"/>
        <v>0</v>
      </c>
      <c r="F5" s="225">
        <f>SUMIF(HK!A:A,"459*",HK!L:L)-SUMIF(HK!A:A,"459*",HK!K:K)</f>
        <v>0</v>
      </c>
      <c r="G5" s="203"/>
      <c r="H5" s="199"/>
      <c r="I5" s="203"/>
    </row>
    <row r="6" spans="1:9" ht="21" customHeight="1" thickTop="1" thickBot="1" x14ac:dyDescent="0.3">
      <c r="A6" s="76"/>
      <c r="B6" s="210"/>
      <c r="C6" s="208"/>
      <c r="D6" s="219"/>
      <c r="E6" s="219"/>
      <c r="F6" s="220">
        <f t="shared" ref="F6:F17" si="1">SUM(B6:E6)</f>
        <v>0</v>
      </c>
      <c r="G6" s="203"/>
      <c r="H6" s="203"/>
      <c r="I6" s="203"/>
    </row>
    <row r="7" spans="1:9" ht="21" customHeight="1" thickBot="1" x14ac:dyDescent="0.3">
      <c r="A7" s="76"/>
      <c r="B7" s="210"/>
      <c r="C7" s="208"/>
      <c r="D7" s="221"/>
      <c r="E7" s="221"/>
      <c r="F7" s="220">
        <f t="shared" si="1"/>
        <v>0</v>
      </c>
      <c r="G7" s="203"/>
      <c r="H7" s="203"/>
      <c r="I7" s="203"/>
    </row>
    <row r="8" spans="1:9" ht="21" customHeight="1" thickBot="1" x14ac:dyDescent="0.3">
      <c r="A8" s="76"/>
      <c r="B8" s="210"/>
      <c r="C8" s="208"/>
      <c r="D8" s="221"/>
      <c r="E8" s="221"/>
      <c r="F8" s="220">
        <f t="shared" si="1"/>
        <v>0</v>
      </c>
      <c r="G8" s="203"/>
      <c r="H8" s="203"/>
      <c r="I8" s="203"/>
    </row>
    <row r="9" spans="1:9" ht="21" customHeight="1" thickBot="1" x14ac:dyDescent="0.3">
      <c r="A9" s="76"/>
      <c r="B9" s="210"/>
      <c r="C9" s="208"/>
      <c r="D9" s="221"/>
      <c r="E9" s="221"/>
      <c r="F9" s="220">
        <f t="shared" si="1"/>
        <v>0</v>
      </c>
      <c r="G9" s="203"/>
      <c r="H9" s="203"/>
      <c r="I9" s="203"/>
    </row>
    <row r="10" spans="1:9" ht="21" customHeight="1" thickBot="1" x14ac:dyDescent="0.3">
      <c r="A10" s="100"/>
      <c r="B10" s="211"/>
      <c r="C10" s="222"/>
      <c r="D10" s="223"/>
      <c r="E10" s="223"/>
      <c r="F10" s="224">
        <f t="shared" si="1"/>
        <v>0</v>
      </c>
      <c r="G10" s="203"/>
      <c r="H10" s="203"/>
      <c r="I10" s="203"/>
    </row>
    <row r="11" spans="1:9" ht="21" customHeight="1" thickTop="1" thickBot="1" x14ac:dyDescent="0.3">
      <c r="A11" s="64" t="s">
        <v>168</v>
      </c>
      <c r="B11" s="226">
        <f>SUMIF(HK!A:A,"323*",HK!D:D)-SUMIF(HK!A:A,"323*",HK!C:C)</f>
        <v>0</v>
      </c>
      <c r="C11" s="222">
        <f>SUM(C12:C16)</f>
        <v>0</v>
      </c>
      <c r="D11" s="222">
        <f t="shared" ref="D11:E11" si="2">SUM(D12:D16)</f>
        <v>0</v>
      </c>
      <c r="E11" s="222">
        <f t="shared" si="2"/>
        <v>0</v>
      </c>
      <c r="F11" s="227">
        <f>SUMIF(HK!A:A,"323*",HK!L:L)-SUMIF(HK!A:A,"323*",HK!K:K)</f>
        <v>0</v>
      </c>
      <c r="G11" s="203"/>
      <c r="H11" s="199"/>
      <c r="I11" s="203"/>
    </row>
    <row r="12" spans="1:9" ht="21" customHeight="1" thickTop="1" thickBot="1" x14ac:dyDescent="0.3">
      <c r="A12" s="76"/>
      <c r="B12" s="210"/>
      <c r="C12" s="208"/>
      <c r="D12" s="219"/>
      <c r="E12" s="219"/>
      <c r="F12" s="220">
        <f t="shared" si="1"/>
        <v>0</v>
      </c>
      <c r="G12" s="203"/>
      <c r="H12" s="203"/>
      <c r="I12" s="203"/>
    </row>
    <row r="13" spans="1:9" ht="21" customHeight="1" thickBot="1" x14ac:dyDescent="0.3">
      <c r="A13" s="76"/>
      <c r="B13" s="109"/>
      <c r="C13" s="57"/>
      <c r="D13" s="87"/>
      <c r="E13" s="87"/>
      <c r="F13" s="97">
        <f t="shared" si="1"/>
        <v>0</v>
      </c>
    </row>
    <row r="14" spans="1:9" ht="21" customHeight="1" thickBot="1" x14ac:dyDescent="0.3">
      <c r="A14" s="76"/>
      <c r="B14" s="109"/>
      <c r="C14" s="57"/>
      <c r="D14" s="87"/>
      <c r="E14" s="87"/>
      <c r="F14" s="97">
        <f t="shared" si="1"/>
        <v>0</v>
      </c>
    </row>
    <row r="15" spans="1:9" ht="21" customHeight="1" thickBot="1" x14ac:dyDescent="0.3">
      <c r="A15" s="76"/>
      <c r="B15" s="109"/>
      <c r="C15" s="57"/>
      <c r="D15" s="87"/>
      <c r="E15" s="87"/>
      <c r="F15" s="97">
        <f t="shared" si="1"/>
        <v>0</v>
      </c>
    </row>
    <row r="16" spans="1:9" ht="21" customHeight="1" thickBot="1" x14ac:dyDescent="0.3">
      <c r="A16" s="76"/>
      <c r="B16" s="109"/>
      <c r="C16" s="57"/>
      <c r="D16" s="87"/>
      <c r="E16" s="87"/>
      <c r="F16" s="97">
        <f t="shared" si="1"/>
        <v>0</v>
      </c>
    </row>
    <row r="17" spans="1:9" ht="21" customHeight="1" thickBot="1" x14ac:dyDescent="0.3">
      <c r="A17" s="100"/>
      <c r="B17" s="118"/>
      <c r="C17" s="59"/>
      <c r="D17" s="98"/>
      <c r="E17" s="98"/>
      <c r="F17" s="99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9" t="s">
        <v>9</v>
      </c>
      <c r="B20" s="19"/>
      <c r="C20" s="19"/>
      <c r="D20" s="19"/>
      <c r="E20" s="19"/>
      <c r="F20" s="19"/>
    </row>
    <row r="21" spans="1:9" ht="16.5" thickTop="1" thickBot="1" x14ac:dyDescent="0.3">
      <c r="A21" s="297" t="s">
        <v>105</v>
      </c>
      <c r="B21" s="300" t="s">
        <v>3</v>
      </c>
      <c r="C21" s="301"/>
      <c r="D21" s="301"/>
      <c r="E21" s="301"/>
      <c r="F21" s="302"/>
    </row>
    <row r="22" spans="1:9" s="3" customFormat="1" ht="24" thickTop="1" thickBot="1" x14ac:dyDescent="0.3">
      <c r="A22" s="299"/>
      <c r="B22" s="20" t="s">
        <v>23</v>
      </c>
      <c r="C22" s="20" t="s">
        <v>99</v>
      </c>
      <c r="D22" s="70" t="s">
        <v>165</v>
      </c>
      <c r="E22" s="105" t="s">
        <v>166</v>
      </c>
      <c r="F22" s="20" t="s">
        <v>21</v>
      </c>
    </row>
    <row r="23" spans="1:9" ht="21" customHeight="1" thickTop="1" thickBot="1" x14ac:dyDescent="0.3">
      <c r="A23" s="100" t="s">
        <v>167</v>
      </c>
      <c r="B23" s="212">
        <f>SUMIF(HKM!A:A,"459*",HKM!D:D)-SUMIF(HKM!A:A,"459*",HKM!C:C)</f>
        <v>0</v>
      </c>
      <c r="C23" s="218">
        <f>SUM(C24:C28)</f>
        <v>0</v>
      </c>
      <c r="D23" s="218">
        <f t="shared" ref="D23:E23" si="3">SUM(D24:D28)</f>
        <v>0</v>
      </c>
      <c r="E23" s="218">
        <f t="shared" si="3"/>
        <v>0</v>
      </c>
      <c r="F23" s="225">
        <f>SUMIF(HKM!A:A,"459*",HKM!L:L)-SUMIF(HKM!A:A,"459*",HKM!K:K)</f>
        <v>0</v>
      </c>
      <c r="G23" s="203"/>
      <c r="H23" s="199"/>
      <c r="I23" s="203"/>
    </row>
    <row r="24" spans="1:9" ht="21" customHeight="1" thickTop="1" thickBot="1" x14ac:dyDescent="0.3">
      <c r="A24" s="76"/>
      <c r="B24" s="210"/>
      <c r="C24" s="208"/>
      <c r="D24" s="219"/>
      <c r="E24" s="219"/>
      <c r="F24" s="220">
        <f t="shared" ref="F24:F35" si="4">SUM(B24:E24)</f>
        <v>0</v>
      </c>
      <c r="G24" s="203"/>
      <c r="H24" s="203"/>
      <c r="I24" s="203"/>
    </row>
    <row r="25" spans="1:9" ht="21" customHeight="1" thickBot="1" x14ac:dyDescent="0.3">
      <c r="A25" s="76"/>
      <c r="B25" s="210"/>
      <c r="C25" s="208"/>
      <c r="D25" s="221"/>
      <c r="E25" s="221"/>
      <c r="F25" s="220">
        <f t="shared" si="4"/>
        <v>0</v>
      </c>
      <c r="G25" s="203"/>
      <c r="H25" s="203"/>
      <c r="I25" s="203"/>
    </row>
    <row r="26" spans="1:9" ht="21" customHeight="1" thickBot="1" x14ac:dyDescent="0.3">
      <c r="A26" s="76"/>
      <c r="B26" s="210"/>
      <c r="C26" s="208"/>
      <c r="D26" s="221"/>
      <c r="E26" s="221"/>
      <c r="F26" s="220">
        <f t="shared" si="4"/>
        <v>0</v>
      </c>
      <c r="G26" s="203"/>
      <c r="H26" s="203"/>
      <c r="I26" s="203"/>
    </row>
    <row r="27" spans="1:9" ht="21" customHeight="1" thickBot="1" x14ac:dyDescent="0.3">
      <c r="A27" s="76"/>
      <c r="B27" s="210"/>
      <c r="C27" s="208"/>
      <c r="D27" s="221"/>
      <c r="E27" s="221"/>
      <c r="F27" s="220">
        <f t="shared" si="4"/>
        <v>0</v>
      </c>
      <c r="G27" s="203"/>
      <c r="H27" s="203"/>
      <c r="I27" s="203"/>
    </row>
    <row r="28" spans="1:9" ht="21" customHeight="1" thickBot="1" x14ac:dyDescent="0.3">
      <c r="A28" s="100"/>
      <c r="B28" s="211"/>
      <c r="C28" s="222"/>
      <c r="D28" s="223"/>
      <c r="E28" s="223"/>
      <c r="F28" s="224">
        <f t="shared" si="4"/>
        <v>0</v>
      </c>
      <c r="G28" s="203"/>
      <c r="H28" s="203"/>
      <c r="I28" s="203"/>
    </row>
    <row r="29" spans="1:9" ht="21" customHeight="1" thickTop="1" thickBot="1" x14ac:dyDescent="0.3">
      <c r="A29" s="100" t="s">
        <v>168</v>
      </c>
      <c r="B29" s="226">
        <f>SUMIF(HKM!A:A,"323*",HKM!D:D)-SUMIF(HKM!A:A,"323*",HKM!C:C)</f>
        <v>0</v>
      </c>
      <c r="C29" s="222">
        <f>SUM(C30:C34)</f>
        <v>0</v>
      </c>
      <c r="D29" s="222">
        <f t="shared" ref="D29:E29" si="5">SUM(D30:D34)</f>
        <v>0</v>
      </c>
      <c r="E29" s="222">
        <f t="shared" si="5"/>
        <v>0</v>
      </c>
      <c r="F29" s="227">
        <f>SUMIF(HKM!A:A,"323*",HKM!L:L)-SUMIF(HKM!A:A,"323*",HKM!K:K)</f>
        <v>13350.37</v>
      </c>
      <c r="G29" s="203"/>
      <c r="H29" s="199"/>
      <c r="I29" s="203"/>
    </row>
    <row r="30" spans="1:9" ht="21" customHeight="1" thickTop="1" thickBot="1" x14ac:dyDescent="0.3">
      <c r="A30" s="76"/>
      <c r="B30" s="210"/>
      <c r="C30" s="208"/>
      <c r="D30" s="219"/>
      <c r="E30" s="219"/>
      <c r="F30" s="220">
        <f t="shared" si="4"/>
        <v>0</v>
      </c>
      <c r="G30" s="203"/>
      <c r="H30" s="203"/>
      <c r="I30" s="203"/>
    </row>
    <row r="31" spans="1:9" ht="21" customHeight="1" thickBot="1" x14ac:dyDescent="0.3">
      <c r="A31" s="76"/>
      <c r="B31" s="109"/>
      <c r="C31" s="57"/>
      <c r="D31" s="87"/>
      <c r="E31" s="87"/>
      <c r="F31" s="97">
        <f t="shared" si="4"/>
        <v>0</v>
      </c>
    </row>
    <row r="32" spans="1:9" ht="21" customHeight="1" thickBot="1" x14ac:dyDescent="0.3">
      <c r="A32" s="76"/>
      <c r="B32" s="109"/>
      <c r="C32" s="57"/>
      <c r="D32" s="87"/>
      <c r="E32" s="87"/>
      <c r="F32" s="97">
        <f t="shared" si="4"/>
        <v>0</v>
      </c>
    </row>
    <row r="33" spans="1:6" ht="21" customHeight="1" thickBot="1" x14ac:dyDescent="0.3">
      <c r="A33" s="76"/>
      <c r="B33" s="109"/>
      <c r="C33" s="57"/>
      <c r="D33" s="87"/>
      <c r="E33" s="87"/>
      <c r="F33" s="97">
        <f t="shared" si="4"/>
        <v>0</v>
      </c>
    </row>
    <row r="34" spans="1:6" ht="21" customHeight="1" thickBot="1" x14ac:dyDescent="0.3">
      <c r="A34" s="76"/>
      <c r="B34" s="109"/>
      <c r="C34" s="57"/>
      <c r="D34" s="87"/>
      <c r="E34" s="87"/>
      <c r="F34" s="97">
        <f t="shared" si="4"/>
        <v>0</v>
      </c>
    </row>
    <row r="35" spans="1:6" ht="21" customHeight="1" thickBot="1" x14ac:dyDescent="0.3">
      <c r="A35" s="100"/>
      <c r="B35" s="118"/>
      <c r="C35" s="59"/>
      <c r="D35" s="98"/>
      <c r="E35" s="98"/>
      <c r="F35" s="99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401</v>
      </c>
    </row>
    <row r="2" spans="1:3" ht="26.25" customHeight="1" thickTop="1" thickBot="1" x14ac:dyDescent="0.3">
      <c r="A2" s="62" t="s">
        <v>105</v>
      </c>
      <c r="B2" s="26" t="s">
        <v>2</v>
      </c>
      <c r="C2" s="26" t="s">
        <v>3</v>
      </c>
    </row>
    <row r="3" spans="1:3" ht="26.25" customHeight="1" thickTop="1" thickBot="1" x14ac:dyDescent="0.3">
      <c r="A3" s="22" t="s">
        <v>172</v>
      </c>
      <c r="B3" s="121"/>
      <c r="C3" s="101"/>
    </row>
    <row r="4" spans="1:3" ht="26.25" customHeight="1" thickTop="1" thickBot="1" x14ac:dyDescent="0.3">
      <c r="A4" s="13" t="s">
        <v>171</v>
      </c>
      <c r="B4" s="119"/>
      <c r="C4" s="120"/>
    </row>
    <row r="5" spans="1:3" ht="31.5" customHeight="1" thickBot="1" x14ac:dyDescent="0.3">
      <c r="A5" s="13" t="s">
        <v>399</v>
      </c>
      <c r="B5" s="121"/>
      <c r="C5" s="101"/>
    </row>
    <row r="6" spans="1:3" ht="20.25" customHeight="1" thickBot="1" x14ac:dyDescent="0.3">
      <c r="A6" s="31" t="s">
        <v>170</v>
      </c>
      <c r="B6" s="121"/>
      <c r="C6" s="101"/>
    </row>
    <row r="7" spans="1:3" ht="26.25" customHeight="1" thickBot="1" x14ac:dyDescent="0.3">
      <c r="A7" s="13" t="s">
        <v>400</v>
      </c>
      <c r="B7" s="109"/>
      <c r="C7" s="58"/>
    </row>
    <row r="8" spans="1:3" ht="27.75" customHeight="1" thickBot="1" x14ac:dyDescent="0.3">
      <c r="A8" s="13" t="s">
        <v>169</v>
      </c>
      <c r="B8" s="109"/>
      <c r="C8" s="58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20"/>
  <sheetViews>
    <sheetView showGridLines="0" zoomScaleNormal="100" workbookViewId="0">
      <selection activeCell="C17" sqref="C17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3" customFormat="1" ht="40.5" customHeight="1" thickBot="1" x14ac:dyDescent="0.35">
      <c r="A1" s="294" t="s">
        <v>387</v>
      </c>
      <c r="B1" s="294"/>
      <c r="C1" s="294"/>
    </row>
    <row r="2" spans="1:5" ht="24" thickTop="1" thickBot="1" x14ac:dyDescent="0.3">
      <c r="A2" s="62" t="s">
        <v>105</v>
      </c>
      <c r="B2" s="26" t="s">
        <v>2</v>
      </c>
      <c r="C2" s="26" t="s">
        <v>3</v>
      </c>
    </row>
    <row r="3" spans="1:5" ht="35.25" thickTop="1" thickBot="1" x14ac:dyDescent="0.3">
      <c r="A3" s="31" t="s">
        <v>173</v>
      </c>
      <c r="B3" s="57"/>
      <c r="C3" s="58"/>
    </row>
    <row r="4" spans="1:5" ht="23.25" customHeight="1" thickBot="1" x14ac:dyDescent="0.3">
      <c r="A4" s="13" t="s">
        <v>174</v>
      </c>
      <c r="B4" s="57"/>
      <c r="C4" s="58"/>
    </row>
    <row r="5" spans="1:5" ht="23.25" customHeight="1" thickBot="1" x14ac:dyDescent="0.3">
      <c r="A5" s="13" t="s">
        <v>175</v>
      </c>
      <c r="B5" s="57"/>
      <c r="C5" s="58"/>
    </row>
    <row r="6" spans="1:5" ht="45.75" thickBot="1" x14ac:dyDescent="0.3">
      <c r="A6" s="31" t="s">
        <v>176</v>
      </c>
      <c r="B6" s="57"/>
      <c r="C6" s="58"/>
    </row>
    <row r="7" spans="1:5" ht="23.25" customHeight="1" thickBot="1" x14ac:dyDescent="0.3">
      <c r="A7" s="13" t="s">
        <v>174</v>
      </c>
      <c r="B7" s="57"/>
      <c r="C7" s="58"/>
    </row>
    <row r="8" spans="1:5" ht="23.25" customHeight="1" thickBot="1" x14ac:dyDescent="0.3">
      <c r="A8" s="13" t="s">
        <v>175</v>
      </c>
      <c r="B8" s="57"/>
      <c r="C8" s="58"/>
    </row>
    <row r="9" spans="1:5" ht="23.25" customHeight="1" thickBot="1" x14ac:dyDescent="0.3">
      <c r="A9" s="31" t="s">
        <v>177</v>
      </c>
      <c r="B9" s="57"/>
      <c r="C9" s="58"/>
    </row>
    <row r="10" spans="1:5" ht="23.25" customHeight="1" thickBot="1" x14ac:dyDescent="0.3">
      <c r="A10" s="31" t="s">
        <v>178</v>
      </c>
      <c r="B10" s="57"/>
      <c r="C10" s="58"/>
    </row>
    <row r="11" spans="1:5" ht="23.25" customHeight="1" thickBot="1" x14ac:dyDescent="0.3">
      <c r="A11" s="31" t="s">
        <v>179</v>
      </c>
      <c r="B11" s="81">
        <v>0.22</v>
      </c>
      <c r="C11" s="85">
        <v>0.23</v>
      </c>
    </row>
    <row r="12" spans="1:5" ht="23.25" customHeight="1" thickBot="1" x14ac:dyDescent="0.3">
      <c r="A12" s="31" t="s">
        <v>180</v>
      </c>
      <c r="B12" s="229">
        <f>SUMIF(SUA!C:C,"052",SUA!F:F)</f>
        <v>0</v>
      </c>
      <c r="C12" s="209">
        <f>SUMIF(SUA!C:C,"052",SUA!G:G)</f>
        <v>0</v>
      </c>
      <c r="D12" s="203"/>
      <c r="E12" s="232"/>
    </row>
    <row r="13" spans="1:5" ht="23.25" customHeight="1" thickBot="1" x14ac:dyDescent="0.3">
      <c r="A13" s="31" t="s">
        <v>181</v>
      </c>
      <c r="B13" s="208"/>
      <c r="C13" s="214"/>
      <c r="D13" s="203"/>
      <c r="E13" s="203"/>
    </row>
    <row r="14" spans="1:5" ht="23.25" customHeight="1" thickBot="1" x14ac:dyDescent="0.3">
      <c r="A14" s="13" t="s">
        <v>402</v>
      </c>
      <c r="B14" s="208"/>
      <c r="C14" s="214"/>
      <c r="D14" s="203"/>
      <c r="E14" s="203"/>
    </row>
    <row r="15" spans="1:5" ht="23.25" customHeight="1" thickBot="1" x14ac:dyDescent="0.3">
      <c r="A15" s="13" t="s">
        <v>182</v>
      </c>
      <c r="B15" s="208"/>
      <c r="C15" s="214"/>
      <c r="D15" s="203"/>
      <c r="E15" s="203"/>
    </row>
    <row r="16" spans="1:5" ht="23.25" customHeight="1" thickBot="1" x14ac:dyDescent="0.3">
      <c r="A16" s="72" t="s">
        <v>183</v>
      </c>
      <c r="B16" s="229">
        <f>SUMIF(SUA!C:C,"117",SUA!F:F)</f>
        <v>0</v>
      </c>
      <c r="C16" s="209">
        <f>SUMIF(SUA!C:C,"117",SUA!G:G)</f>
        <v>0</v>
      </c>
      <c r="D16" s="203"/>
      <c r="E16" s="232"/>
    </row>
    <row r="17" spans="1:3" ht="23.25" customHeight="1" thickBot="1" x14ac:dyDescent="0.3">
      <c r="A17" s="73" t="s">
        <v>184</v>
      </c>
      <c r="B17" s="57"/>
      <c r="C17" s="58"/>
    </row>
    <row r="18" spans="1:3" ht="23.25" customHeight="1" thickBot="1" x14ac:dyDescent="0.3">
      <c r="A18" s="13" t="s">
        <v>185</v>
      </c>
      <c r="B18" s="57"/>
      <c r="C18" s="58"/>
    </row>
    <row r="19" spans="1:3" ht="23.25" customHeight="1" thickBot="1" x14ac:dyDescent="0.3">
      <c r="A19" s="88" t="s">
        <v>182</v>
      </c>
      <c r="B19" s="102"/>
      <c r="C19" s="271"/>
    </row>
    <row r="20" spans="1:3" ht="18.75" customHeight="1" thickBot="1" x14ac:dyDescent="0.3">
      <c r="A20" s="272" t="s">
        <v>227</v>
      </c>
      <c r="B20" s="273"/>
      <c r="C20" s="273"/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375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75" t="s">
        <v>11</v>
      </c>
      <c r="B3" s="280" t="s">
        <v>2</v>
      </c>
      <c r="C3" s="281"/>
      <c r="D3" s="281"/>
      <c r="E3" s="281"/>
      <c r="F3" s="281"/>
      <c r="G3" s="281"/>
      <c r="H3" s="281"/>
      <c r="I3" s="282"/>
    </row>
    <row r="4" spans="1:12" ht="35.25" customHeight="1" thickTop="1" thickBot="1" x14ac:dyDescent="0.3">
      <c r="A4" s="276"/>
      <c r="B4" s="27" t="s">
        <v>295</v>
      </c>
      <c r="C4" s="108" t="s">
        <v>12</v>
      </c>
      <c r="D4" s="108" t="s">
        <v>296</v>
      </c>
      <c r="E4" s="107" t="s">
        <v>13</v>
      </c>
      <c r="F4" s="27" t="s">
        <v>14</v>
      </c>
      <c r="G4" s="108" t="s">
        <v>297</v>
      </c>
      <c r="H4" s="108" t="s">
        <v>15</v>
      </c>
      <c r="I4" s="108" t="s">
        <v>8</v>
      </c>
    </row>
    <row r="5" spans="1:12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30"/>
    </row>
    <row r="6" spans="1:12" ht="16.5" thickTop="1" thickBot="1" x14ac:dyDescent="0.3">
      <c r="A6" s="31" t="s">
        <v>17</v>
      </c>
      <c r="B6" s="168">
        <f>SUMIF(HK!A:A,"012*",HK!C:C)-SUMIF(HK!A:A,"012*",HK!D:D)</f>
        <v>0</v>
      </c>
      <c r="C6" s="168">
        <f>SUMIF(HK!A:A,"013*",HK!C:C)-SUMIF(HK!A:A,"013*",HK!D:D)</f>
        <v>0</v>
      </c>
      <c r="D6" s="168">
        <f>SUMIF(HK!A:A,"014*",HK!C:C)-SUMIF(HK!A:A,"014*",HK!D:D)</f>
        <v>0</v>
      </c>
      <c r="E6" s="168">
        <f>SUMIF(HK!A:A,"015*",HK!C:C)-SUMIF(HK!A:A,"015*",HK!D:D)</f>
        <v>0</v>
      </c>
      <c r="F6" s="168">
        <f>SUMIF(HK!A:A,"019*",HK!C:C)-SUMIF(HK!A:A,"019*",HK!D:D)</f>
        <v>0</v>
      </c>
      <c r="G6" s="168">
        <f>SUMIF(HK!A:A,"041*",HK!C:C)-SUMIF(HK!A:A,"041*",HK!D:D)</f>
        <v>0</v>
      </c>
      <c r="H6" s="168">
        <f>SUMIF(HK!A:A,"051*",HK!C:C)-SUMIF(HK!A:A,"051*",HK!D:D)</f>
        <v>0</v>
      </c>
      <c r="I6" s="153">
        <f>SUM(B6:H6)</f>
        <v>0</v>
      </c>
      <c r="J6" s="138"/>
      <c r="K6" s="154"/>
      <c r="L6" s="138"/>
    </row>
    <row r="7" spans="1:12" ht="25.5" customHeight="1" thickBot="1" x14ac:dyDescent="0.3">
      <c r="A7" s="13" t="s">
        <v>18</v>
      </c>
      <c r="B7" s="132"/>
      <c r="C7" s="168"/>
      <c r="D7" s="168"/>
      <c r="E7" s="168"/>
      <c r="F7" s="168"/>
      <c r="G7" s="168"/>
      <c r="H7" s="168"/>
      <c r="I7" s="153">
        <f>SUM(B7:H7)</f>
        <v>0</v>
      </c>
      <c r="J7" s="138"/>
      <c r="K7" s="138"/>
      <c r="L7" s="138"/>
    </row>
    <row r="8" spans="1:12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53">
        <f t="shared" ref="I8:I9" si="0">SUM(B8:H8)</f>
        <v>0</v>
      </c>
      <c r="J8" s="138"/>
      <c r="K8" s="138"/>
      <c r="L8" s="138"/>
    </row>
    <row r="9" spans="1:12" ht="23.25" customHeight="1" thickBot="1" x14ac:dyDescent="0.3">
      <c r="A9" s="13" t="s">
        <v>20</v>
      </c>
      <c r="B9" s="132"/>
      <c r="C9" s="168"/>
      <c r="D9" s="168"/>
      <c r="E9" s="168"/>
      <c r="F9" s="168"/>
      <c r="G9" s="168"/>
      <c r="H9" s="168"/>
      <c r="I9" s="153">
        <f t="shared" si="0"/>
        <v>0</v>
      </c>
      <c r="J9" s="138"/>
      <c r="K9" s="138"/>
      <c r="L9" s="138"/>
    </row>
    <row r="10" spans="1:12" ht="15.75" thickBot="1" x14ac:dyDescent="0.3">
      <c r="A10" s="22" t="s">
        <v>21</v>
      </c>
      <c r="B10" s="168">
        <f>SUMIF(HK!A:A,"012*",HK!K:K)-SUMIF(HK!A:A,"012*",HK!L:L)</f>
        <v>0</v>
      </c>
      <c r="C10" s="168">
        <f>SUMIF(HK!A:A,"013*",HK!K:K)-SUMIF(HK!A:A,"013*",HK!L:L)</f>
        <v>0</v>
      </c>
      <c r="D10" s="168">
        <f>SUMIF(HK!A:A,"014*",HK!K:K)-SUMIF(HK!A:A,"014*",HK!L:L)</f>
        <v>0</v>
      </c>
      <c r="E10" s="168">
        <f>SUMIF(HK!A:A,"015*",HK!K:K)-SUMIF(HK!A:A,"015*",HK!L:L)</f>
        <v>0</v>
      </c>
      <c r="F10" s="168">
        <f>SUMIF(HK!A:A,"019*",HK!K:K)-SUMIF(HK!A:A,"019*",HK!L:L)</f>
        <v>0</v>
      </c>
      <c r="G10" s="168">
        <f>SUMIF(HK!A:A,"041*",HK!K:K)-SUMIF(HK!A:A,"041*",HK!L:L)</f>
        <v>0</v>
      </c>
      <c r="H10" s="168">
        <f>SUMIF(HK!A:A,"051*",HK!K:K)-SUMIF(HK!A:A,"051*",HK!L:L)</f>
        <v>0</v>
      </c>
      <c r="I10" s="155">
        <f>I6+I7-I8+I9</f>
        <v>0</v>
      </c>
      <c r="J10" s="138"/>
      <c r="K10" s="154"/>
      <c r="L10" s="138"/>
    </row>
    <row r="11" spans="1:12" ht="15" customHeight="1" thickTop="1" thickBot="1" x14ac:dyDescent="0.3">
      <c r="A11" s="28" t="s">
        <v>22</v>
      </c>
      <c r="B11" s="169"/>
      <c r="C11" s="169"/>
      <c r="D11" s="170"/>
      <c r="E11" s="169"/>
      <c r="F11" s="169"/>
      <c r="G11" s="169"/>
      <c r="H11" s="169"/>
      <c r="I11" s="157"/>
      <c r="J11" s="138"/>
      <c r="K11" s="138"/>
      <c r="L11" s="138"/>
    </row>
    <row r="12" spans="1:12" ht="16.5" thickTop="1" thickBot="1" x14ac:dyDescent="0.3">
      <c r="A12" s="31" t="s">
        <v>23</v>
      </c>
      <c r="B12" s="168">
        <f>SUMIF(HK!A:A,"071*",HK!D:D)-SUMIF(HK!A:A,"071*",HK!C:C)</f>
        <v>0</v>
      </c>
      <c r="C12" s="168">
        <f>SUMIF(HK!A:A,"073*",HK!D:D)-SUMIF(HK!A:A,"073*",HK!C:C)</f>
        <v>0</v>
      </c>
      <c r="D12" s="171">
        <f>SUMIF(HK!A:A,"074*",HK!D:D)-SUMIF(HK!A:A,"074*",HK!C:C)</f>
        <v>0</v>
      </c>
      <c r="E12" s="168">
        <f>SUMIF(HK!A:A,"075*",HK!D:D)-SUMIF(HK!A:A,"075*",HK!C:C)</f>
        <v>0</v>
      </c>
      <c r="F12" s="168">
        <f>SUMIF(HK!A:A,"079*",HK!D:D)-SUMIF(HK!A:A,"079*",HK!C:C)</f>
        <v>0</v>
      </c>
      <c r="G12" s="172"/>
      <c r="H12" s="172"/>
      <c r="I12" s="153">
        <f>SUM(B12:H12)</f>
        <v>0</v>
      </c>
      <c r="J12" s="138"/>
      <c r="K12" s="154"/>
      <c r="L12" s="138"/>
    </row>
    <row r="13" spans="1:12" ht="22.5" customHeight="1" thickBot="1" x14ac:dyDescent="0.3">
      <c r="A13" s="13" t="s">
        <v>18</v>
      </c>
      <c r="B13" s="132"/>
      <c r="C13" s="168"/>
      <c r="D13" s="168"/>
      <c r="E13" s="168"/>
      <c r="F13" s="168"/>
      <c r="G13" s="158"/>
      <c r="H13" s="158"/>
      <c r="I13" s="153">
        <f t="shared" ref="I13:I14" si="1">SUM(B13:H13)</f>
        <v>0</v>
      </c>
      <c r="J13" s="138"/>
      <c r="K13" s="138"/>
      <c r="L13" s="138"/>
    </row>
    <row r="14" spans="1:12" ht="21.75" customHeight="1" thickBot="1" x14ac:dyDescent="0.3">
      <c r="A14" s="13" t="s">
        <v>19</v>
      </c>
      <c r="B14" s="168"/>
      <c r="C14" s="168"/>
      <c r="D14" s="168"/>
      <c r="E14" s="168"/>
      <c r="F14" s="168"/>
      <c r="G14" s="158"/>
      <c r="H14" s="158"/>
      <c r="I14" s="153">
        <f t="shared" si="1"/>
        <v>0</v>
      </c>
      <c r="J14" s="138"/>
      <c r="K14" s="138"/>
      <c r="L14" s="138"/>
    </row>
    <row r="15" spans="1:12" ht="21.75" customHeight="1" thickBot="1" x14ac:dyDescent="0.3">
      <c r="A15" s="86" t="s">
        <v>20</v>
      </c>
      <c r="B15" s="168"/>
      <c r="C15" s="168"/>
      <c r="D15" s="168"/>
      <c r="E15" s="168"/>
      <c r="F15" s="168"/>
      <c r="G15" s="255"/>
      <c r="H15" s="256"/>
      <c r="I15" s="257"/>
      <c r="J15" s="138"/>
      <c r="K15" s="138"/>
      <c r="L15" s="138"/>
    </row>
    <row r="16" spans="1:12" ht="15.75" thickBot="1" x14ac:dyDescent="0.3">
      <c r="A16" s="22" t="s">
        <v>21</v>
      </c>
      <c r="B16" s="168">
        <f>SUMIF(HK!A:A,"071*",HK!L:L)-SUMIF(HK!A:A,"071*",HK!K:K)</f>
        <v>0</v>
      </c>
      <c r="C16" s="168">
        <f>SUMIF(HK!A:A,"073*",HK!L:L)-SUMIF(HK!A:A,"073*",HK!K:K)</f>
        <v>0</v>
      </c>
      <c r="D16" s="168">
        <f>SUMIF(HK!A:A,"074*",HK!L:L)-SUMIF(HK!A:A,"074*",HK!K:K)</f>
        <v>0</v>
      </c>
      <c r="E16" s="168">
        <f>SUMIF(HK!A:A,"075*",HK!L:L)-SUMIF(HK!A:A,"075*",HK!K:K)</f>
        <v>0</v>
      </c>
      <c r="F16" s="168">
        <f>SUMIF(HK!A:A,"079*",HK!L:L)-SUMIF(HK!A:A,"079*",HK!K:K)</f>
        <v>0</v>
      </c>
      <c r="G16" s="159"/>
      <c r="H16" s="159"/>
      <c r="I16" s="155">
        <f>I12+I13-I14</f>
        <v>0</v>
      </c>
      <c r="J16" s="138"/>
      <c r="K16" s="154"/>
      <c r="L16" s="138"/>
    </row>
    <row r="17" spans="1:13" ht="15" customHeight="1" thickTop="1" thickBot="1" x14ac:dyDescent="0.3">
      <c r="A17" s="28" t="s">
        <v>24</v>
      </c>
      <c r="B17" s="169"/>
      <c r="C17" s="169"/>
      <c r="D17" s="169"/>
      <c r="E17" s="169"/>
      <c r="F17" s="169"/>
      <c r="G17" s="169"/>
      <c r="H17" s="169"/>
      <c r="I17" s="157"/>
      <c r="J17" s="138"/>
      <c r="K17" s="138"/>
      <c r="L17" s="138"/>
    </row>
    <row r="18" spans="1:13" ht="16.5" thickTop="1" thickBot="1" x14ac:dyDescent="0.3">
      <c r="A18" s="31" t="s">
        <v>23</v>
      </c>
      <c r="B18" s="168"/>
      <c r="C18" s="168"/>
      <c r="D18" s="168"/>
      <c r="E18" s="168"/>
      <c r="F18" s="168"/>
      <c r="G18" s="168">
        <f>SUMIF(HK!A:A,"093*",HK!D:D)-SUMIF(HK!A:A,"093*",HK!C:C)</f>
        <v>0</v>
      </c>
      <c r="H18" s="168">
        <f>SUMIF(SUAM!C:C,"010",SUAM!E:E)</f>
        <v>0</v>
      </c>
      <c r="I18" s="153">
        <f>SUM(B18:H18)</f>
        <v>0</v>
      </c>
      <c r="J18" s="138"/>
      <c r="K18" s="154"/>
      <c r="L18" s="160"/>
      <c r="M18" s="112"/>
    </row>
    <row r="19" spans="1:13" ht="15" customHeight="1" thickBot="1" x14ac:dyDescent="0.3">
      <c r="A19" s="13" t="s">
        <v>18</v>
      </c>
      <c r="B19" s="132"/>
      <c r="C19" s="132"/>
      <c r="D19" s="132"/>
      <c r="E19" s="132"/>
      <c r="F19" s="132"/>
      <c r="G19" s="132"/>
      <c r="H19" s="132"/>
      <c r="I19" s="153">
        <f t="shared" ref="I19:I20" si="2">SUM(B19:H19)</f>
        <v>0</v>
      </c>
      <c r="J19" s="138"/>
      <c r="K19" s="161"/>
      <c r="L19" s="138"/>
    </row>
    <row r="20" spans="1:13" ht="15" customHeight="1" thickBot="1" x14ac:dyDescent="0.3">
      <c r="A20" s="13" t="s">
        <v>19</v>
      </c>
      <c r="B20" s="132"/>
      <c r="C20" s="132"/>
      <c r="D20" s="132"/>
      <c r="E20" s="132"/>
      <c r="F20" s="132"/>
      <c r="G20" s="132"/>
      <c r="H20" s="132"/>
      <c r="I20" s="153">
        <f t="shared" si="2"/>
        <v>0</v>
      </c>
      <c r="J20" s="138"/>
      <c r="K20" s="161"/>
      <c r="L20" s="138"/>
    </row>
    <row r="21" spans="1:13" ht="15" customHeight="1" thickBot="1" x14ac:dyDescent="0.3">
      <c r="A21" s="86" t="s">
        <v>20</v>
      </c>
      <c r="B21" s="132"/>
      <c r="C21" s="132"/>
      <c r="D21" s="132"/>
      <c r="E21" s="132"/>
      <c r="F21" s="132"/>
      <c r="G21" s="132"/>
      <c r="H21" s="132"/>
      <c r="I21" s="258"/>
      <c r="J21" s="138"/>
      <c r="K21" s="161"/>
      <c r="L21" s="138"/>
    </row>
    <row r="22" spans="1:13" ht="15.75" thickBot="1" x14ac:dyDescent="0.3">
      <c r="A22" s="22" t="s">
        <v>21</v>
      </c>
      <c r="B22" s="168"/>
      <c r="C22" s="168"/>
      <c r="D22" s="168"/>
      <c r="E22" s="168"/>
      <c r="F22" s="168"/>
      <c r="G22" s="168">
        <f>SUMIF(HK!A:A,"093*",HK!L:L)-SUMIF(HK!A:A,"093*",HK!K:K)</f>
        <v>0</v>
      </c>
      <c r="H22" s="168">
        <f>SUMIF(SUA!C:C,"010",SUA!E:E)</f>
        <v>0</v>
      </c>
      <c r="I22" s="155">
        <f>I18+I19-I20</f>
        <v>0</v>
      </c>
      <c r="J22" s="138"/>
      <c r="K22" s="154"/>
      <c r="L22" s="160"/>
      <c r="M22" s="112"/>
    </row>
    <row r="23" spans="1:13" ht="15" customHeight="1" thickTop="1" thickBot="1" x14ac:dyDescent="0.3">
      <c r="A23" s="28" t="s">
        <v>25</v>
      </c>
      <c r="B23" s="169"/>
      <c r="C23" s="169"/>
      <c r="D23" s="169"/>
      <c r="E23" s="169"/>
      <c r="F23" s="169"/>
      <c r="G23" s="169"/>
      <c r="H23" s="169"/>
      <c r="I23" s="157"/>
      <c r="J23" s="138"/>
      <c r="K23" s="138"/>
      <c r="L23" s="138"/>
    </row>
    <row r="24" spans="1:13" ht="15" customHeight="1" thickTop="1" thickBot="1" x14ac:dyDescent="0.3">
      <c r="A24" s="31" t="s">
        <v>23</v>
      </c>
      <c r="B24" s="158"/>
      <c r="C24" s="158"/>
      <c r="D24" s="158"/>
      <c r="E24" s="158"/>
      <c r="F24" s="158"/>
      <c r="G24" s="158"/>
      <c r="H24" s="158"/>
      <c r="I24" s="153">
        <f>I6-I12-I18</f>
        <v>0</v>
      </c>
      <c r="J24" s="138"/>
      <c r="K24" s="138"/>
      <c r="L24" s="138"/>
    </row>
    <row r="25" spans="1:13" ht="15" customHeight="1" thickBot="1" x14ac:dyDescent="0.3">
      <c r="A25" s="22" t="s">
        <v>21</v>
      </c>
      <c r="B25" s="159"/>
      <c r="C25" s="159"/>
      <c r="D25" s="159"/>
      <c r="E25" s="159"/>
      <c r="F25" s="159"/>
      <c r="G25" s="159"/>
      <c r="H25" s="159"/>
      <c r="I25" s="155">
        <f>I10-I16-I22</f>
        <v>0</v>
      </c>
      <c r="J25" s="138"/>
      <c r="K25" s="138"/>
      <c r="L25" s="138"/>
    </row>
    <row r="26" spans="1:13" ht="15.75" thickTop="1" x14ac:dyDescent="0.25">
      <c r="A26" s="34"/>
      <c r="B26" s="162"/>
      <c r="C26" s="162"/>
      <c r="D26" s="162"/>
      <c r="E26" s="162"/>
      <c r="F26" s="162"/>
      <c r="G26" s="162"/>
      <c r="H26" s="162"/>
      <c r="I26" s="162"/>
      <c r="J26" s="138"/>
      <c r="K26" s="138"/>
      <c r="L26" s="138"/>
    </row>
    <row r="27" spans="1:13" x14ac:dyDescent="0.25">
      <c r="A27" s="35"/>
      <c r="B27" s="163"/>
      <c r="C27" s="163"/>
      <c r="D27" s="163"/>
      <c r="E27" s="163"/>
      <c r="F27" s="163"/>
      <c r="G27" s="163"/>
      <c r="H27" s="163"/>
      <c r="I27" s="163"/>
      <c r="J27" s="138"/>
      <c r="K27" s="138"/>
      <c r="L27" s="138"/>
    </row>
    <row r="28" spans="1:13" x14ac:dyDescent="0.25">
      <c r="A28" s="35" t="s">
        <v>9</v>
      </c>
      <c r="B28" s="163"/>
      <c r="C28" s="163"/>
      <c r="D28" s="163"/>
      <c r="E28" s="163"/>
      <c r="F28" s="163"/>
      <c r="G28" s="163"/>
      <c r="H28" s="163"/>
      <c r="I28" s="163"/>
      <c r="J28" s="138"/>
      <c r="K28" s="138"/>
      <c r="L28" s="138"/>
    </row>
    <row r="29" spans="1:13" ht="15.75" thickBot="1" x14ac:dyDescent="0.3">
      <c r="A29" s="34"/>
      <c r="B29" s="162"/>
      <c r="C29" s="162"/>
      <c r="D29" s="162"/>
      <c r="E29" s="162"/>
      <c r="F29" s="162"/>
      <c r="G29" s="162"/>
      <c r="H29" s="162"/>
      <c r="I29" s="163"/>
      <c r="J29" s="138"/>
      <c r="K29" s="138"/>
      <c r="L29" s="138"/>
    </row>
    <row r="30" spans="1:13" ht="15" customHeight="1" thickTop="1" thickBot="1" x14ac:dyDescent="0.3">
      <c r="A30" s="275" t="s">
        <v>11</v>
      </c>
      <c r="B30" s="277" t="s">
        <v>3</v>
      </c>
      <c r="C30" s="278"/>
      <c r="D30" s="278"/>
      <c r="E30" s="278"/>
      <c r="F30" s="278"/>
      <c r="G30" s="278"/>
      <c r="H30" s="278"/>
      <c r="I30" s="279"/>
      <c r="J30" s="138"/>
      <c r="K30" s="138"/>
      <c r="L30" s="138"/>
    </row>
    <row r="31" spans="1:13" ht="35.25" thickTop="1" thickBot="1" x14ac:dyDescent="0.3">
      <c r="A31" s="276"/>
      <c r="B31" s="164" t="s">
        <v>295</v>
      </c>
      <c r="C31" s="165" t="s">
        <v>12</v>
      </c>
      <c r="D31" s="165" t="s">
        <v>296</v>
      </c>
      <c r="E31" s="166" t="s">
        <v>13</v>
      </c>
      <c r="F31" s="164" t="s">
        <v>14</v>
      </c>
      <c r="G31" s="165" t="s">
        <v>297</v>
      </c>
      <c r="H31" s="165" t="s">
        <v>15</v>
      </c>
      <c r="I31" s="165" t="s">
        <v>8</v>
      </c>
      <c r="J31" s="138"/>
      <c r="K31" s="138"/>
      <c r="L31" s="138"/>
    </row>
    <row r="32" spans="1:13" ht="15" customHeight="1" thickTop="1" thickBot="1" x14ac:dyDescent="0.3">
      <c r="A32" s="28" t="s">
        <v>16</v>
      </c>
      <c r="B32" s="156"/>
      <c r="C32" s="156"/>
      <c r="D32" s="156"/>
      <c r="E32" s="156"/>
      <c r="F32" s="156"/>
      <c r="G32" s="156"/>
      <c r="H32" s="156"/>
      <c r="I32" s="157"/>
      <c r="J32" s="138"/>
      <c r="K32" s="138"/>
      <c r="L32" s="138"/>
    </row>
    <row r="33" spans="1:13" ht="16.5" thickTop="1" thickBot="1" x14ac:dyDescent="0.3">
      <c r="A33" s="31" t="s">
        <v>17</v>
      </c>
      <c r="B33" s="168">
        <f>SUMIF(HKM!A:A,"012*",HKM!C:C)-SUMIF(HKM!A:A,"012*",HKM!D:D)</f>
        <v>0</v>
      </c>
      <c r="C33" s="168">
        <f>SUMIF(HKM!A:A,"013*",HKM!C:C)-SUMIF(HKM!A:A,"013*",HKM!D:D)</f>
        <v>0</v>
      </c>
      <c r="D33" s="168">
        <f>SUMIF(HKM!A:A,"014*",HKM!C:C)-SUMIF(HKM!A:A,"014*",HKM!D:D)</f>
        <v>0</v>
      </c>
      <c r="E33" s="168">
        <f>SUMIF(HKM!A:A,"015*",HKM!C:C)-SUMIF(HKM!A:A,"015*",HKM!D:D)</f>
        <v>0</v>
      </c>
      <c r="F33" s="168">
        <f>SUMIF(HKM!A:A,"019*",HKM!C:C)-SUMIF(HKM!A:A,"019*",HKM!D:D)</f>
        <v>0</v>
      </c>
      <c r="G33" s="168">
        <f>SUMIF(HKM!A:A,"041*",HKM!C:C)-SUMIF(HKM!A:A,"041*",HKM!D:D)</f>
        <v>0</v>
      </c>
      <c r="H33" s="168">
        <f>SUMIF(HKM!A:A,"051*",HKM!C:C)-SUMIF(HKM!A:A,"051*",HKM!D:D)</f>
        <v>0</v>
      </c>
      <c r="I33" s="153">
        <f>SUM(B33:H33)</f>
        <v>0</v>
      </c>
      <c r="J33" s="138"/>
      <c r="K33" s="154"/>
      <c r="L33" s="138"/>
    </row>
    <row r="34" spans="1:13" ht="15" customHeight="1" thickBot="1" x14ac:dyDescent="0.3">
      <c r="A34" s="13" t="s">
        <v>18</v>
      </c>
      <c r="B34" s="132"/>
      <c r="C34" s="132"/>
      <c r="D34" s="132"/>
      <c r="E34" s="132"/>
      <c r="F34" s="133"/>
      <c r="G34" s="132"/>
      <c r="H34" s="132"/>
      <c r="I34" s="153">
        <f>SUM(B34:H34)</f>
        <v>0</v>
      </c>
      <c r="J34" s="138"/>
      <c r="K34" s="138"/>
      <c r="L34" s="138"/>
    </row>
    <row r="35" spans="1:13" ht="15" customHeight="1" thickBot="1" x14ac:dyDescent="0.3">
      <c r="A35" s="13" t="s">
        <v>19</v>
      </c>
      <c r="B35" s="132"/>
      <c r="C35" s="132"/>
      <c r="D35" s="132"/>
      <c r="E35" s="132"/>
      <c r="F35" s="133"/>
      <c r="G35" s="132"/>
      <c r="H35" s="132"/>
      <c r="I35" s="153">
        <f t="shared" ref="I35:I36" si="3">SUM(B35:H35)</f>
        <v>0</v>
      </c>
      <c r="J35" s="138"/>
      <c r="K35" s="138"/>
      <c r="L35" s="138"/>
    </row>
    <row r="36" spans="1:13" ht="15" customHeight="1" thickBot="1" x14ac:dyDescent="0.3">
      <c r="A36" s="13" t="s">
        <v>20</v>
      </c>
      <c r="B36" s="132"/>
      <c r="C36" s="132"/>
      <c r="D36" s="132"/>
      <c r="E36" s="132"/>
      <c r="F36" s="133"/>
      <c r="G36" s="132"/>
      <c r="H36" s="132"/>
      <c r="I36" s="153">
        <f t="shared" si="3"/>
        <v>0</v>
      </c>
      <c r="J36" s="138"/>
      <c r="K36" s="138"/>
      <c r="L36" s="138"/>
    </row>
    <row r="37" spans="1:13" ht="15.75" thickBot="1" x14ac:dyDescent="0.3">
      <c r="A37" s="22" t="s">
        <v>21</v>
      </c>
      <c r="B37" s="168">
        <f>SUMIF(HKM!A:A,"012*",HKM!K:K)-SUMIF(HKM!A:A,"012*",HKM!L:L)</f>
        <v>0</v>
      </c>
      <c r="C37" s="168">
        <f>SUMIF(HKM!A:A,"013*",HKM!K:K)-SUMIF(HKM!A:A,"013*",HKM!L:L)</f>
        <v>10260</v>
      </c>
      <c r="D37" s="168">
        <f>SUMIF(HKM!A:A,"014*",HKM!K:K)-SUMIF(HKM!A:A,"014*",HKM!L:L)</f>
        <v>0</v>
      </c>
      <c r="E37" s="168">
        <f>SUMIF(HKM!A:A,"015*",HKM!K:K)-SUMIF(HKM!A:A,"015*",HKM!L:L)</f>
        <v>0</v>
      </c>
      <c r="F37" s="168">
        <f>SUMIF(HKM!A:A,"019*",HKM!K:K)-SUMIF(HKM!A:A,"019*",HKM!L:L)</f>
        <v>0</v>
      </c>
      <c r="G37" s="168">
        <f>SUMIF(HKM!A:A,"041*",HKM!K:K)-SUMIF(HKM!A:A,"041*",HKM!L:L)</f>
        <v>0</v>
      </c>
      <c r="H37" s="168">
        <f>SUMIF(HKM!A:A,"051*",HKM!K:K)-SUMIF(HKM!A:A,"051*",HKM!L:L)</f>
        <v>0</v>
      </c>
      <c r="I37" s="155">
        <f>I33+I34-I35+I36</f>
        <v>0</v>
      </c>
      <c r="J37" s="138"/>
      <c r="K37" s="154"/>
      <c r="L37" s="138"/>
    </row>
    <row r="38" spans="1:13" ht="15" customHeight="1" thickTop="1" thickBot="1" x14ac:dyDescent="0.3">
      <c r="A38" s="28" t="s">
        <v>22</v>
      </c>
      <c r="B38" s="173"/>
      <c r="C38" s="173"/>
      <c r="D38" s="173"/>
      <c r="E38" s="173"/>
      <c r="F38" s="173"/>
      <c r="G38" s="173"/>
      <c r="H38" s="173"/>
      <c r="I38" s="157"/>
      <c r="J38" s="138"/>
      <c r="K38" s="138"/>
      <c r="L38" s="138"/>
    </row>
    <row r="39" spans="1:13" ht="16.5" thickTop="1" thickBot="1" x14ac:dyDescent="0.3">
      <c r="A39" s="31" t="s">
        <v>23</v>
      </c>
      <c r="B39" s="168">
        <f>SUMIF(HKM!A:A,"071*",HKM!D:D)-SUMIF(HKM!A:A,"071*",HKM!C:C)</f>
        <v>0</v>
      </c>
      <c r="C39" s="168">
        <f>SUMIF(HKM!A:A,"073*",HKM!D:D)-SUMIF(HKM!A:A,"073*",HKM!C:C)</f>
        <v>0</v>
      </c>
      <c r="D39" s="168">
        <f>SUMIF(HKM!A:A,"074*",HKM!D:D)-SUMIF(HKM!A:A,"074*",HKM!C:C)</f>
        <v>0</v>
      </c>
      <c r="E39" s="168">
        <f>SUMIF(HKM!A:A,"075*",HKM!D:D)-SUMIF(HKM!A:A,"075*",HKM!C:C)</f>
        <v>0</v>
      </c>
      <c r="F39" s="168">
        <f>SUMIF(HKM!A:A,"079*",HKM!D:D)-SUMIF(HKM!A:A,"079*",HKM!C:C)</f>
        <v>0</v>
      </c>
      <c r="G39" s="168"/>
      <c r="H39" s="168"/>
      <c r="I39" s="153">
        <f>SUM(B39:H39)</f>
        <v>0</v>
      </c>
      <c r="J39" s="138"/>
      <c r="K39" s="154"/>
      <c r="L39" s="138"/>
    </row>
    <row r="40" spans="1:13" ht="15" customHeight="1" thickBot="1" x14ac:dyDescent="0.3">
      <c r="A40" s="13" t="s">
        <v>18</v>
      </c>
      <c r="B40" s="132"/>
      <c r="C40" s="132"/>
      <c r="D40" s="132"/>
      <c r="E40" s="132"/>
      <c r="F40" s="132"/>
      <c r="G40" s="132"/>
      <c r="H40" s="132"/>
      <c r="I40" s="153">
        <f t="shared" ref="I40:I41" si="4">SUM(B40:H40)</f>
        <v>0</v>
      </c>
      <c r="J40" s="138"/>
      <c r="K40" s="138"/>
      <c r="L40" s="138"/>
    </row>
    <row r="41" spans="1:13" ht="15" customHeight="1" thickBot="1" x14ac:dyDescent="0.3">
      <c r="A41" s="88" t="s">
        <v>19</v>
      </c>
      <c r="B41" s="259"/>
      <c r="C41" s="259"/>
      <c r="D41" s="259"/>
      <c r="E41" s="259"/>
      <c r="F41" s="259"/>
      <c r="G41" s="259"/>
      <c r="H41" s="259"/>
      <c r="I41" s="254">
        <f t="shared" si="4"/>
        <v>0</v>
      </c>
      <c r="J41" s="138"/>
      <c r="K41" s="138"/>
      <c r="L41" s="138"/>
    </row>
    <row r="42" spans="1:13" s="139" customFormat="1" ht="15" customHeight="1" thickBot="1" x14ac:dyDescent="0.3">
      <c r="A42" s="262" t="s">
        <v>20</v>
      </c>
      <c r="B42" s="261"/>
      <c r="C42" s="261"/>
      <c r="D42" s="261"/>
      <c r="E42" s="261"/>
      <c r="F42" s="261"/>
      <c r="G42" s="261"/>
      <c r="H42" s="261"/>
      <c r="I42" s="255"/>
      <c r="J42" s="260"/>
      <c r="K42" s="260"/>
      <c r="L42" s="260"/>
    </row>
    <row r="43" spans="1:13" ht="15.75" thickBot="1" x14ac:dyDescent="0.3">
      <c r="A43" s="22" t="s">
        <v>21</v>
      </c>
      <c r="B43" s="168">
        <f>SUMIF(HKM!A:A,"071*",HKM!L:L)-SUMIF(HKM!A:A,"071*",HKM!K:K)</f>
        <v>0</v>
      </c>
      <c r="C43" s="168">
        <f>SUMIF(HKM!A:A,"073*",HKM!L:L)-SUMIF(HKM!A:A,"073*",HKM!K:K)</f>
        <v>1710</v>
      </c>
      <c r="D43" s="168">
        <f>SUMIF(HKM!A:A,"074*",HKM!L:L)-SUMIF(HKM!A:A,"074*",HKM!K:K)</f>
        <v>0</v>
      </c>
      <c r="E43" s="168">
        <f>SUMIF(HKM!A:A,"075*",HKM!L:L)-SUMIF(HKM!A:A,"075*",HKM!K:K)</f>
        <v>0</v>
      </c>
      <c r="F43" s="168">
        <f>SUMIF(HKM!A:A,"079*",HKM!L:L)-SUMIF(HKM!A:A,"079*",HKM!K:K)</f>
        <v>0</v>
      </c>
      <c r="G43" s="135"/>
      <c r="H43" s="135"/>
      <c r="I43" s="155">
        <f>I39+I40-I41</f>
        <v>0</v>
      </c>
      <c r="J43" s="138"/>
      <c r="K43" s="154"/>
      <c r="L43" s="138"/>
    </row>
    <row r="44" spans="1:13" ht="15" customHeight="1" thickTop="1" thickBot="1" x14ac:dyDescent="0.3">
      <c r="A44" s="28" t="s">
        <v>24</v>
      </c>
      <c r="B44" s="173"/>
      <c r="C44" s="173"/>
      <c r="D44" s="173"/>
      <c r="E44" s="173"/>
      <c r="F44" s="173"/>
      <c r="G44" s="173"/>
      <c r="H44" s="173"/>
      <c r="I44" s="157"/>
      <c r="J44" s="138"/>
      <c r="K44" s="138"/>
      <c r="L44" s="138"/>
    </row>
    <row r="45" spans="1:13" ht="16.5" thickTop="1" thickBot="1" x14ac:dyDescent="0.3">
      <c r="A45" s="31" t="s">
        <v>23</v>
      </c>
      <c r="B45" s="168"/>
      <c r="C45" s="168"/>
      <c r="D45" s="168"/>
      <c r="E45" s="168"/>
      <c r="F45" s="168"/>
      <c r="G45" s="168">
        <f>SUMIF(HKM!A:A,"093*",HKM!D:D)-SUMIF(HKM!A:A,"093*",HKM!C:C)</f>
        <v>0</v>
      </c>
      <c r="H45" s="168"/>
      <c r="I45" s="153">
        <f>SUM(B45:H45)</f>
        <v>0</v>
      </c>
      <c r="J45" s="138"/>
      <c r="K45" s="154"/>
      <c r="L45" s="167"/>
      <c r="M45" s="112"/>
    </row>
    <row r="46" spans="1:13" ht="15" customHeight="1" thickBot="1" x14ac:dyDescent="0.3">
      <c r="A46" s="13" t="s">
        <v>18</v>
      </c>
      <c r="B46" s="132"/>
      <c r="C46" s="132"/>
      <c r="D46" s="132"/>
      <c r="E46" s="132"/>
      <c r="F46" s="132"/>
      <c r="G46" s="132"/>
      <c r="H46" s="132"/>
      <c r="I46" s="153">
        <f t="shared" ref="I46:I47" si="5">SUM(B46:H46)</f>
        <v>0</v>
      </c>
      <c r="J46" s="138"/>
      <c r="K46" s="161"/>
      <c r="L46" s="138"/>
    </row>
    <row r="47" spans="1:13" ht="15" customHeight="1" thickBot="1" x14ac:dyDescent="0.3">
      <c r="A47" s="13" t="s">
        <v>19</v>
      </c>
      <c r="B47" s="132"/>
      <c r="C47" s="132"/>
      <c r="D47" s="132"/>
      <c r="E47" s="132"/>
      <c r="F47" s="132"/>
      <c r="G47" s="132"/>
      <c r="H47" s="132"/>
      <c r="I47" s="153">
        <f t="shared" si="5"/>
        <v>0</v>
      </c>
      <c r="J47" s="138"/>
      <c r="K47" s="161"/>
      <c r="L47" s="138"/>
    </row>
    <row r="48" spans="1:13" ht="15" customHeight="1" thickBot="1" x14ac:dyDescent="0.3">
      <c r="A48" s="262" t="s">
        <v>20</v>
      </c>
      <c r="B48" s="132"/>
      <c r="C48" s="132"/>
      <c r="D48" s="132"/>
      <c r="E48" s="132"/>
      <c r="F48" s="132"/>
      <c r="G48" s="132"/>
      <c r="H48" s="132"/>
      <c r="I48" s="255"/>
      <c r="J48" s="138"/>
      <c r="K48" s="161"/>
      <c r="L48" s="138"/>
    </row>
    <row r="49" spans="1:13" ht="15.75" thickBot="1" x14ac:dyDescent="0.3">
      <c r="A49" s="22" t="s">
        <v>21</v>
      </c>
      <c r="B49" s="168"/>
      <c r="C49" s="168"/>
      <c r="D49" s="168"/>
      <c r="E49" s="168"/>
      <c r="F49" s="168"/>
      <c r="G49" s="168">
        <f>SUMIF(HKM!A:A,"093*",HKM!L:L)-SUMIF(HKM!A:A,"093*",HKM!K:K)</f>
        <v>0</v>
      </c>
      <c r="H49" s="168">
        <f>SUMIF(SUAM!C:C,"010",SUAM!E:E)</f>
        <v>0</v>
      </c>
      <c r="I49" s="155">
        <f>I45+I46-I47</f>
        <v>0</v>
      </c>
      <c r="J49" s="138"/>
      <c r="K49" s="154"/>
      <c r="L49" s="160"/>
      <c r="M49" s="112"/>
    </row>
    <row r="50" spans="1:13" ht="15" customHeight="1" thickTop="1" thickBot="1" x14ac:dyDescent="0.3">
      <c r="A50" s="28" t="s">
        <v>25</v>
      </c>
      <c r="B50" s="173"/>
      <c r="C50" s="173"/>
      <c r="D50" s="173"/>
      <c r="E50" s="173"/>
      <c r="F50" s="173"/>
      <c r="G50" s="173"/>
      <c r="H50" s="173"/>
      <c r="I50" s="157"/>
      <c r="J50" s="138"/>
      <c r="K50" s="138"/>
      <c r="L50" s="138"/>
    </row>
    <row r="51" spans="1:13" ht="15" customHeight="1" thickTop="1" thickBot="1" x14ac:dyDescent="0.3">
      <c r="A51" s="31" t="s">
        <v>23</v>
      </c>
      <c r="B51" s="132"/>
      <c r="C51" s="132"/>
      <c r="D51" s="132"/>
      <c r="E51" s="132"/>
      <c r="F51" s="132"/>
      <c r="G51" s="132"/>
      <c r="H51" s="132"/>
      <c r="I51" s="153">
        <f t="shared" ref="I51" si="6">I33-I39-I45</f>
        <v>0</v>
      </c>
      <c r="J51" s="138"/>
      <c r="K51" s="138"/>
      <c r="L51" s="138"/>
    </row>
    <row r="52" spans="1:13" ht="15" customHeight="1" thickBot="1" x14ac:dyDescent="0.3">
      <c r="A52" s="22" t="s">
        <v>21</v>
      </c>
      <c r="B52" s="135"/>
      <c r="C52" s="135"/>
      <c r="D52" s="135"/>
      <c r="E52" s="135"/>
      <c r="F52" s="135"/>
      <c r="G52" s="135"/>
      <c r="H52" s="135"/>
      <c r="I52" s="155">
        <f t="shared" ref="I52" si="7">I37-I43-I49</f>
        <v>0</v>
      </c>
      <c r="J52" s="138"/>
      <c r="K52" s="138"/>
      <c r="L52" s="138"/>
    </row>
    <row r="53" spans="1:13" ht="15.75" thickTop="1" x14ac:dyDescent="0.25"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388</v>
      </c>
    </row>
    <row r="2" spans="1:6" ht="21.7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6" ht="21.75" customHeight="1" thickTop="1" thickBot="1" x14ac:dyDescent="0.3">
      <c r="A3" s="71" t="s">
        <v>186</v>
      </c>
      <c r="B3" s="229">
        <f>SUMIF(HK!A:A,"472*",HK!D:D)-SUMIF(HK!A:A,"472*",HK!C:C)</f>
        <v>0</v>
      </c>
      <c r="C3" s="209">
        <f>SUMIF(HKM!A:A,"472*",HKM!D:D)-SUMIF(HKM!A:A,"472*",HKM!C:C)</f>
        <v>0</v>
      </c>
      <c r="D3" s="203"/>
      <c r="E3" s="230"/>
      <c r="F3" s="203"/>
    </row>
    <row r="4" spans="1:6" ht="21.75" customHeight="1" thickBot="1" x14ac:dyDescent="0.3">
      <c r="A4" s="50" t="s">
        <v>187</v>
      </c>
      <c r="B4" s="208"/>
      <c r="C4" s="214"/>
      <c r="D4" s="203"/>
      <c r="E4" s="203"/>
      <c r="F4" s="203"/>
    </row>
    <row r="5" spans="1:6" ht="21.75" customHeight="1" thickBot="1" x14ac:dyDescent="0.3">
      <c r="A5" s="50" t="s">
        <v>188</v>
      </c>
      <c r="B5" s="208"/>
      <c r="C5" s="214"/>
      <c r="D5" s="203"/>
      <c r="E5" s="203"/>
      <c r="F5" s="203"/>
    </row>
    <row r="6" spans="1:6" ht="21.75" customHeight="1" thickBot="1" x14ac:dyDescent="0.3">
      <c r="A6" s="50" t="s">
        <v>189</v>
      </c>
      <c r="B6" s="208"/>
      <c r="C6" s="214"/>
      <c r="D6" s="203"/>
      <c r="E6" s="203"/>
      <c r="F6" s="203"/>
    </row>
    <row r="7" spans="1:6" ht="21.75" customHeight="1" thickBot="1" x14ac:dyDescent="0.3">
      <c r="A7" s="71" t="s">
        <v>190</v>
      </c>
      <c r="B7" s="208">
        <f>SUM(B4:B6)</f>
        <v>0</v>
      </c>
      <c r="C7" s="214">
        <f>SUM(C4:C6)</f>
        <v>0</v>
      </c>
      <c r="D7" s="203"/>
      <c r="E7" s="203"/>
      <c r="F7" s="203"/>
    </row>
    <row r="8" spans="1:6" ht="21.75" customHeight="1" thickBot="1" x14ac:dyDescent="0.3">
      <c r="A8" s="71" t="s">
        <v>191</v>
      </c>
      <c r="B8" s="208"/>
      <c r="C8" s="214"/>
      <c r="D8" s="203"/>
      <c r="E8" s="203"/>
      <c r="F8" s="203"/>
    </row>
    <row r="9" spans="1:6" ht="21.75" customHeight="1" thickBot="1" x14ac:dyDescent="0.3">
      <c r="A9" s="51" t="s">
        <v>192</v>
      </c>
      <c r="B9" s="231">
        <f>SUMIF(HK!A:A,"472*",HK!L:L)-SUMIF(HK!A:A,"472*",HK!K:K)</f>
        <v>0</v>
      </c>
      <c r="C9" s="227">
        <f>SUMIF(HKM!A:A,"472*",HKM!L:L)-SUMIF(HKM!A:A,"472*",HKM!K:K)</f>
        <v>1053.28</v>
      </c>
      <c r="D9" s="203"/>
      <c r="E9" s="230"/>
      <c r="F9" s="203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"/>
  <sheetViews>
    <sheetView showGridLines="0" zoomScaleNormal="100" workbookViewId="0">
      <selection activeCell="C15" sqref="C15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1" t="s">
        <v>389</v>
      </c>
    </row>
    <row r="2" spans="1:6" s="3" customFormat="1" ht="21.75" customHeight="1" thickTop="1" thickBot="1" x14ac:dyDescent="0.3">
      <c r="A2" s="44" t="s">
        <v>193</v>
      </c>
      <c r="B2" s="26" t="s">
        <v>194</v>
      </c>
      <c r="C2" s="26" t="s">
        <v>195</v>
      </c>
      <c r="D2" s="26" t="s">
        <v>196</v>
      </c>
      <c r="E2" s="26" t="s">
        <v>197</v>
      </c>
      <c r="F2" s="26" t="s">
        <v>141</v>
      </c>
    </row>
    <row r="3" spans="1:6" ht="21.75" customHeight="1" thickTop="1" thickBot="1" x14ac:dyDescent="0.3">
      <c r="A3" s="76"/>
      <c r="B3" s="74"/>
      <c r="C3" s="57"/>
      <c r="D3" s="57"/>
      <c r="E3" s="57"/>
      <c r="F3" s="58"/>
    </row>
    <row r="4" spans="1:6" ht="21.75" customHeight="1" thickBot="1" x14ac:dyDescent="0.3">
      <c r="A4" s="76"/>
      <c r="B4" s="74"/>
      <c r="C4" s="57"/>
      <c r="D4" s="57"/>
      <c r="E4" s="57"/>
      <c r="F4" s="58"/>
    </row>
    <row r="5" spans="1:6" ht="21.75" customHeight="1" thickBot="1" x14ac:dyDescent="0.3">
      <c r="A5" s="76"/>
      <c r="B5" s="74"/>
      <c r="C5" s="57"/>
      <c r="D5" s="57"/>
      <c r="E5" s="57"/>
      <c r="F5" s="58"/>
    </row>
    <row r="6" spans="1:6" ht="21.75" customHeight="1" thickBot="1" x14ac:dyDescent="0.3">
      <c r="A6" s="77"/>
      <c r="B6" s="75"/>
      <c r="C6" s="63"/>
      <c r="D6" s="63"/>
      <c r="E6" s="63"/>
      <c r="F6" s="56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topLeftCell="A10" zoomScaleNormal="100" workbookViewId="0">
      <selection activeCell="F26" sqref="F26"/>
    </sheetView>
  </sheetViews>
  <sheetFormatPr defaultColWidth="9.140625" defaultRowHeight="11.25" x14ac:dyDescent="0.25"/>
  <cols>
    <col min="1" max="1" width="23" style="19" customWidth="1"/>
    <col min="2" max="2" width="8.28515625" style="19" customWidth="1"/>
    <col min="3" max="6" width="13.85546875" style="19" customWidth="1"/>
    <col min="7" max="7" width="23.28515625" style="19" customWidth="1"/>
    <col min="8" max="16384" width="9.140625" style="19"/>
  </cols>
  <sheetData>
    <row r="1" spans="1:9" ht="18.75" customHeight="1" x14ac:dyDescent="0.25">
      <c r="A1" s="304" t="s">
        <v>390</v>
      </c>
      <c r="B1" s="304"/>
      <c r="C1" s="304"/>
      <c r="D1" s="304"/>
      <c r="E1" s="304"/>
      <c r="F1" s="304"/>
      <c r="G1" s="304"/>
    </row>
    <row r="2" spans="1:9" ht="12" thickBot="1" x14ac:dyDescent="0.3">
      <c r="A2" s="19" t="s">
        <v>7</v>
      </c>
    </row>
    <row r="3" spans="1:9" ht="66.75" customHeight="1" thickTop="1" thickBot="1" x14ac:dyDescent="0.3">
      <c r="A3" s="18" t="s">
        <v>105</v>
      </c>
      <c r="B3" s="18" t="s">
        <v>198</v>
      </c>
      <c r="C3" s="36" t="s">
        <v>319</v>
      </c>
      <c r="D3" s="18" t="s">
        <v>199</v>
      </c>
      <c r="E3" s="18" t="s">
        <v>200</v>
      </c>
      <c r="F3" s="18" t="s">
        <v>201</v>
      </c>
    </row>
    <row r="4" spans="1:9" ht="21.75" customHeight="1" thickTop="1" thickBot="1" x14ac:dyDescent="0.3">
      <c r="A4" s="37" t="s">
        <v>202</v>
      </c>
      <c r="B4" s="65"/>
      <c r="C4" s="65"/>
      <c r="D4" s="65"/>
      <c r="E4" s="65"/>
      <c r="F4" s="61"/>
    </row>
    <row r="5" spans="1:9" ht="21.75" customHeight="1" thickTop="1" thickBot="1" x14ac:dyDescent="0.3">
      <c r="A5" s="52"/>
      <c r="B5" s="122"/>
      <c r="C5" s="123"/>
      <c r="D5" s="124"/>
      <c r="E5" s="96"/>
      <c r="F5" s="55"/>
    </row>
    <row r="6" spans="1:9" ht="21.75" customHeight="1" thickBot="1" x14ac:dyDescent="0.3">
      <c r="A6" s="110"/>
      <c r="B6" s="78"/>
      <c r="C6" s="81"/>
      <c r="D6" s="66"/>
      <c r="E6" s="57"/>
      <c r="F6" s="58"/>
    </row>
    <row r="7" spans="1:9" ht="21.75" customHeight="1" thickBot="1" x14ac:dyDescent="0.3">
      <c r="A7" s="110"/>
      <c r="B7" s="78"/>
      <c r="C7" s="81"/>
      <c r="D7" s="66"/>
      <c r="E7" s="229">
        <f>SUMIF(SUP!C:C,"121",SUP!D:D)</f>
        <v>0</v>
      </c>
      <c r="F7" s="209">
        <f>SUMIF(SUP!C:C,"121",SUP!E:E)</f>
        <v>0</v>
      </c>
      <c r="G7" s="190"/>
      <c r="H7" s="232"/>
      <c r="I7" s="190"/>
    </row>
    <row r="8" spans="1:9" ht="21.75" customHeight="1" thickBot="1" x14ac:dyDescent="0.3">
      <c r="A8" s="69" t="s">
        <v>203</v>
      </c>
      <c r="B8" s="79"/>
      <c r="C8" s="82"/>
      <c r="D8" s="82"/>
      <c r="E8" s="233"/>
      <c r="F8" s="234"/>
      <c r="G8" s="190"/>
      <c r="H8" s="190"/>
      <c r="I8" s="190"/>
    </row>
    <row r="9" spans="1:9" ht="21.75" customHeight="1" thickTop="1" thickBot="1" x14ac:dyDescent="0.3">
      <c r="A9" s="110"/>
      <c r="B9" s="78"/>
      <c r="C9" s="81"/>
      <c r="D9" s="66"/>
      <c r="E9" s="208"/>
      <c r="F9" s="214"/>
      <c r="G9" s="190"/>
      <c r="H9" s="190"/>
      <c r="I9" s="190"/>
    </row>
    <row r="10" spans="1:9" ht="21.75" customHeight="1" thickBot="1" x14ac:dyDescent="0.3">
      <c r="A10" s="110"/>
      <c r="B10" s="78"/>
      <c r="C10" s="81"/>
      <c r="D10" s="66"/>
      <c r="E10" s="208"/>
      <c r="F10" s="214"/>
      <c r="G10" s="190"/>
      <c r="H10" s="190"/>
      <c r="I10" s="190"/>
    </row>
    <row r="11" spans="1:9" ht="21.75" customHeight="1" thickBot="1" x14ac:dyDescent="0.3">
      <c r="A11" s="51"/>
      <c r="B11" s="80"/>
      <c r="C11" s="84"/>
      <c r="D11" s="67"/>
      <c r="E11" s="231">
        <f>SUMIF(SUP!C:C,"139",SUP!D:D)</f>
        <v>0</v>
      </c>
      <c r="F11" s="227">
        <f>SUMIF(SUP!C:C,"139",SUP!E:E)</f>
        <v>0</v>
      </c>
      <c r="G11" s="190"/>
      <c r="H11" s="232"/>
      <c r="I11" s="190"/>
    </row>
    <row r="12" spans="1:9" ht="12" thickTop="1" x14ac:dyDescent="0.25">
      <c r="A12" s="68"/>
    </row>
    <row r="13" spans="1:9" ht="12" thickBot="1" x14ac:dyDescent="0.3">
      <c r="A13" s="19" t="s">
        <v>9</v>
      </c>
    </row>
    <row r="14" spans="1:9" ht="66.75" customHeight="1" thickTop="1" thickBot="1" x14ac:dyDescent="0.3">
      <c r="A14" s="18" t="s">
        <v>105</v>
      </c>
      <c r="B14" s="18" t="s">
        <v>198</v>
      </c>
      <c r="C14" s="36" t="s">
        <v>319</v>
      </c>
      <c r="D14" s="18" t="s">
        <v>199</v>
      </c>
      <c r="E14" s="18" t="s">
        <v>200</v>
      </c>
      <c r="F14" s="18" t="s">
        <v>201</v>
      </c>
    </row>
    <row r="15" spans="1:9" ht="21.75" customHeight="1" thickTop="1" thickBot="1" x14ac:dyDescent="0.3">
      <c r="A15" s="37" t="s">
        <v>316</v>
      </c>
      <c r="B15" s="65"/>
      <c r="C15" s="65"/>
      <c r="D15" s="65"/>
      <c r="E15" s="65"/>
      <c r="F15" s="61"/>
    </row>
    <row r="16" spans="1:9" ht="21.75" customHeight="1" thickTop="1" thickBot="1" x14ac:dyDescent="0.3">
      <c r="A16" s="50"/>
      <c r="B16" s="78"/>
      <c r="C16" s="81"/>
      <c r="D16" s="66"/>
      <c r="E16" s="57"/>
      <c r="F16" s="58"/>
    </row>
    <row r="17" spans="1:8" ht="21.75" customHeight="1" thickBot="1" x14ac:dyDescent="0.3">
      <c r="A17" s="50"/>
      <c r="B17" s="78"/>
      <c r="C17" s="81"/>
      <c r="D17" s="66"/>
      <c r="E17" s="57"/>
      <c r="F17" s="58"/>
    </row>
    <row r="18" spans="1:8" ht="21.75" customHeight="1" thickBot="1" x14ac:dyDescent="0.3">
      <c r="A18" s="50"/>
      <c r="B18" s="78"/>
      <c r="C18" s="81"/>
      <c r="D18" s="66"/>
      <c r="E18" s="57"/>
      <c r="F18" s="58"/>
    </row>
    <row r="19" spans="1:8" ht="21.75" customHeight="1" thickBot="1" x14ac:dyDescent="0.3">
      <c r="A19" s="69" t="s">
        <v>317</v>
      </c>
      <c r="B19" s="79"/>
      <c r="C19" s="82"/>
      <c r="D19" s="82"/>
      <c r="E19" s="82"/>
      <c r="F19" s="83"/>
    </row>
    <row r="20" spans="1:8" ht="21.75" customHeight="1" thickTop="1" thickBot="1" x14ac:dyDescent="0.3">
      <c r="A20" s="50"/>
      <c r="B20" s="78"/>
      <c r="C20" s="81"/>
      <c r="D20" s="66"/>
      <c r="E20" s="57"/>
      <c r="F20" s="58"/>
    </row>
    <row r="21" spans="1:8" ht="21.75" customHeight="1" thickBot="1" x14ac:dyDescent="0.3">
      <c r="A21" s="50"/>
      <c r="B21" s="78"/>
      <c r="C21" s="81"/>
      <c r="D21" s="66"/>
      <c r="E21" s="57"/>
      <c r="F21" s="58"/>
    </row>
    <row r="22" spans="1:8" ht="21.75" customHeight="1" thickBot="1" x14ac:dyDescent="0.3">
      <c r="A22" s="50"/>
      <c r="B22" s="78"/>
      <c r="C22" s="81"/>
      <c r="D22" s="66"/>
      <c r="E22" s="57"/>
      <c r="F22" s="58"/>
    </row>
    <row r="23" spans="1:8" ht="21.75" customHeight="1" thickBot="1" x14ac:dyDescent="0.3">
      <c r="A23" s="69" t="s">
        <v>318</v>
      </c>
      <c r="B23" s="79"/>
      <c r="C23" s="82"/>
      <c r="D23" s="82"/>
      <c r="E23" s="82"/>
      <c r="F23" s="83"/>
    </row>
    <row r="24" spans="1:8" ht="21.75" customHeight="1" thickTop="1" thickBot="1" x14ac:dyDescent="0.3">
      <c r="A24" s="50"/>
      <c r="B24" s="78"/>
      <c r="C24" s="81"/>
      <c r="D24" s="66"/>
      <c r="E24" s="57"/>
      <c r="F24" s="58"/>
    </row>
    <row r="25" spans="1:8" ht="21.75" customHeight="1" thickBot="1" x14ac:dyDescent="0.3">
      <c r="A25" s="51"/>
      <c r="B25" s="80"/>
      <c r="C25" s="84"/>
      <c r="D25" s="67"/>
      <c r="E25" s="231">
        <f>SUMIF(SUP!C:C,"140",SUP!D:D)</f>
        <v>0</v>
      </c>
      <c r="F25" s="227">
        <f>SUMIF(SUP!C:C,"140",SUP!E:E)</f>
        <v>0</v>
      </c>
      <c r="G25" s="190"/>
      <c r="H25" s="232"/>
    </row>
    <row r="26" spans="1:8" ht="12" thickTop="1" x14ac:dyDescent="0.25">
      <c r="E26" s="190"/>
      <c r="F26" s="190"/>
      <c r="G26" s="190"/>
      <c r="H26" s="190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5"/>
  <sheetViews>
    <sheetView showGridLines="0" zoomScaleNormal="100" workbookViewId="0">
      <selection activeCell="G27" sqref="G27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305" t="s">
        <v>391</v>
      </c>
      <c r="B1" s="305"/>
      <c r="C1" s="305"/>
      <c r="D1" s="305"/>
    </row>
    <row r="2" spans="1:4" ht="24" customHeight="1" thickBot="1" x14ac:dyDescent="0.3">
      <c r="A2" s="19" t="s">
        <v>7</v>
      </c>
      <c r="B2" s="19"/>
      <c r="C2" s="19"/>
      <c r="D2" s="19"/>
    </row>
    <row r="3" spans="1:4" ht="16.5" thickTop="1" thickBot="1" x14ac:dyDescent="0.3">
      <c r="A3" s="297" t="s">
        <v>105</v>
      </c>
      <c r="B3" s="280" t="s">
        <v>204</v>
      </c>
      <c r="C3" s="281"/>
      <c r="D3" s="275" t="s">
        <v>205</v>
      </c>
    </row>
    <row r="4" spans="1:4" ht="16.5" thickTop="1" thickBot="1" x14ac:dyDescent="0.3">
      <c r="A4" s="299"/>
      <c r="B4" s="20" t="s">
        <v>206</v>
      </c>
      <c r="C4" s="246" t="s">
        <v>207</v>
      </c>
      <c r="D4" s="290"/>
    </row>
    <row r="5" spans="1:4" ht="24" thickTop="1" thickBot="1" x14ac:dyDescent="0.3">
      <c r="A5" s="22" t="s">
        <v>208</v>
      </c>
      <c r="B5" s="43"/>
      <c r="C5" s="43"/>
      <c r="D5" s="45"/>
    </row>
    <row r="6" spans="1:4" ht="16.5" thickTop="1" thickBot="1" x14ac:dyDescent="0.3">
      <c r="A6" s="13"/>
      <c r="B6" s="57"/>
      <c r="C6" s="57"/>
      <c r="D6" s="58"/>
    </row>
    <row r="7" spans="1:4" ht="15.75" thickBot="1" x14ac:dyDescent="0.3">
      <c r="A7" s="13"/>
      <c r="B7" s="57"/>
      <c r="C7" s="57"/>
      <c r="D7" s="58"/>
    </row>
    <row r="8" spans="1:4" ht="15.75" thickBot="1" x14ac:dyDescent="0.3">
      <c r="A8" s="13"/>
      <c r="B8" s="57"/>
      <c r="C8" s="57"/>
      <c r="D8" s="58"/>
    </row>
    <row r="9" spans="1:4" ht="15.75" thickBot="1" x14ac:dyDescent="0.3">
      <c r="A9" s="15"/>
      <c r="B9" s="63"/>
      <c r="C9" s="102"/>
      <c r="D9" s="56"/>
    </row>
    <row r="10" spans="1:4" ht="16.5" thickTop="1" thickBot="1" x14ac:dyDescent="0.3">
      <c r="A10" s="22" t="s">
        <v>209</v>
      </c>
      <c r="B10" s="63"/>
      <c r="C10" s="103"/>
      <c r="D10" s="56"/>
    </row>
    <row r="11" spans="1:4" ht="16.5" thickTop="1" thickBot="1" x14ac:dyDescent="0.3">
      <c r="A11" s="13"/>
      <c r="B11" s="57"/>
      <c r="C11" s="57"/>
      <c r="D11" s="58"/>
    </row>
    <row r="12" spans="1:4" ht="15.75" thickBot="1" x14ac:dyDescent="0.3">
      <c r="A12" s="13"/>
      <c r="B12" s="57"/>
      <c r="C12" s="57"/>
      <c r="D12" s="58"/>
    </row>
    <row r="13" spans="1:4" ht="15.75" thickBot="1" x14ac:dyDescent="0.3">
      <c r="A13" s="13"/>
      <c r="B13" s="57"/>
      <c r="C13" s="57"/>
      <c r="D13" s="58"/>
    </row>
    <row r="14" spans="1:4" ht="15.75" thickBot="1" x14ac:dyDescent="0.3">
      <c r="A14" s="22"/>
      <c r="B14" s="63"/>
      <c r="C14" s="63"/>
      <c r="D14" s="56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7"/>
  <sheetViews>
    <sheetView showGridLines="0" zoomScaleNormal="100" workbookViewId="0">
      <selection activeCell="B29" sqref="B29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303" t="s">
        <v>391</v>
      </c>
      <c r="B1" s="303"/>
      <c r="C1" s="303"/>
      <c r="D1" s="303"/>
      <c r="E1" s="303"/>
    </row>
    <row r="2" spans="1:5" x14ac:dyDescent="0.25">
      <c r="A2" s="19"/>
      <c r="B2" s="19"/>
      <c r="C2" s="19"/>
      <c r="D2" s="19"/>
      <c r="E2" s="19"/>
    </row>
    <row r="3" spans="1:5" ht="15.75" thickBot="1" x14ac:dyDescent="0.3">
      <c r="A3" s="19" t="s">
        <v>9</v>
      </c>
      <c r="B3" s="19"/>
      <c r="C3" s="19"/>
      <c r="D3" s="19"/>
      <c r="E3" s="19"/>
    </row>
    <row r="4" spans="1:5" ht="24" customHeight="1" thickTop="1" thickBot="1" x14ac:dyDescent="0.3">
      <c r="A4" s="297" t="s">
        <v>105</v>
      </c>
      <c r="B4" s="280" t="s">
        <v>2</v>
      </c>
      <c r="C4" s="282"/>
      <c r="D4" s="280" t="s">
        <v>3</v>
      </c>
      <c r="E4" s="282"/>
    </row>
    <row r="5" spans="1:5" ht="16.5" thickTop="1" thickBot="1" x14ac:dyDescent="0.3">
      <c r="A5" s="298"/>
      <c r="B5" s="280" t="s">
        <v>210</v>
      </c>
      <c r="C5" s="282"/>
      <c r="D5" s="280" t="s">
        <v>210</v>
      </c>
      <c r="E5" s="282"/>
    </row>
    <row r="6" spans="1:5" ht="24" thickTop="1" thickBot="1" x14ac:dyDescent="0.3">
      <c r="A6" s="299"/>
      <c r="B6" s="20" t="s">
        <v>211</v>
      </c>
      <c r="C6" s="20" t="s">
        <v>212</v>
      </c>
      <c r="D6" s="20" t="s">
        <v>211</v>
      </c>
      <c r="E6" s="20" t="s">
        <v>212</v>
      </c>
    </row>
    <row r="7" spans="1:5" ht="35.25" thickTop="1" thickBot="1" x14ac:dyDescent="0.3">
      <c r="A7" s="22" t="s">
        <v>208</v>
      </c>
      <c r="B7" s="43"/>
      <c r="C7" s="43"/>
      <c r="D7" s="45"/>
      <c r="E7" s="45"/>
    </row>
    <row r="8" spans="1:5" ht="16.5" thickTop="1" thickBot="1" x14ac:dyDescent="0.3">
      <c r="A8" s="13"/>
      <c r="B8" s="57"/>
      <c r="C8" s="57"/>
      <c r="D8" s="58"/>
      <c r="E8" s="58"/>
    </row>
    <row r="9" spans="1:5" ht="15.75" thickBot="1" x14ac:dyDescent="0.3">
      <c r="A9" s="13"/>
      <c r="B9" s="57"/>
      <c r="C9" s="57"/>
      <c r="D9" s="58"/>
      <c r="E9" s="58"/>
    </row>
    <row r="10" spans="1:5" ht="15.75" thickBot="1" x14ac:dyDescent="0.3">
      <c r="A10" s="13"/>
      <c r="B10" s="57"/>
      <c r="C10" s="57"/>
      <c r="D10" s="58"/>
      <c r="E10" s="58"/>
    </row>
    <row r="11" spans="1:5" ht="15.75" thickBot="1" x14ac:dyDescent="0.3">
      <c r="A11" s="15"/>
      <c r="B11" s="63"/>
      <c r="C11" s="102"/>
      <c r="D11" s="56"/>
      <c r="E11" s="56"/>
    </row>
    <row r="12" spans="1:5" ht="24" thickTop="1" thickBot="1" x14ac:dyDescent="0.3">
      <c r="A12" s="22" t="s">
        <v>209</v>
      </c>
      <c r="B12" s="63"/>
      <c r="C12" s="103"/>
      <c r="D12" s="56"/>
      <c r="E12" s="56"/>
    </row>
    <row r="13" spans="1:5" ht="16.5" thickTop="1" thickBot="1" x14ac:dyDescent="0.3">
      <c r="A13" s="13"/>
      <c r="B13" s="57"/>
      <c r="C13" s="57"/>
      <c r="D13" s="58"/>
      <c r="E13" s="58"/>
    </row>
    <row r="14" spans="1:5" ht="15.75" thickBot="1" x14ac:dyDescent="0.3">
      <c r="A14" s="13"/>
      <c r="B14" s="57"/>
      <c r="C14" s="57"/>
      <c r="D14" s="58"/>
      <c r="E14" s="58"/>
    </row>
    <row r="15" spans="1:5" ht="15.75" thickBot="1" x14ac:dyDescent="0.3">
      <c r="A15" s="13"/>
      <c r="B15" s="57"/>
      <c r="C15" s="57"/>
      <c r="D15" s="58"/>
      <c r="E15" s="58"/>
    </row>
    <row r="16" spans="1:5" ht="15.75" thickBot="1" x14ac:dyDescent="0.3">
      <c r="A16" s="22"/>
      <c r="B16" s="63"/>
      <c r="C16" s="63"/>
      <c r="D16" s="56"/>
      <c r="E16" s="56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C27" sqref="C27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392</v>
      </c>
    </row>
    <row r="2" spans="1:3" ht="16.5" thickTop="1" thickBot="1" x14ac:dyDescent="0.3">
      <c r="A2" s="297" t="s">
        <v>213</v>
      </c>
      <c r="B2" s="280" t="s">
        <v>214</v>
      </c>
      <c r="C2" s="282"/>
    </row>
    <row r="3" spans="1:3" ht="24" thickTop="1" thickBot="1" x14ac:dyDescent="0.3">
      <c r="A3" s="299"/>
      <c r="B3" s="49" t="s">
        <v>2</v>
      </c>
      <c r="C3" s="49" t="s">
        <v>3</v>
      </c>
    </row>
    <row r="4" spans="1:3" ht="20.25" customHeight="1" thickTop="1" thickBot="1" x14ac:dyDescent="0.3">
      <c r="A4" s="13" t="s">
        <v>215</v>
      </c>
      <c r="B4" s="57"/>
      <c r="C4" s="58"/>
    </row>
    <row r="5" spans="1:3" ht="20.25" customHeight="1" thickBot="1" x14ac:dyDescent="0.3">
      <c r="A5" s="13" t="s">
        <v>216</v>
      </c>
      <c r="B5" s="57"/>
      <c r="C5" s="58"/>
    </row>
    <row r="6" spans="1:3" ht="26.25" customHeight="1" thickBot="1" x14ac:dyDescent="0.3">
      <c r="A6" s="13" t="s">
        <v>217</v>
      </c>
      <c r="B6" s="57"/>
      <c r="C6" s="58"/>
    </row>
    <row r="7" spans="1:3" ht="24.75" customHeight="1" thickBot="1" x14ac:dyDescent="0.3">
      <c r="A7" s="13" t="s">
        <v>218</v>
      </c>
      <c r="B7" s="57"/>
      <c r="C7" s="58"/>
    </row>
    <row r="8" spans="1:3" ht="20.25" customHeight="1" thickBot="1" x14ac:dyDescent="0.3">
      <c r="A8" s="22" t="s">
        <v>8</v>
      </c>
      <c r="B8" s="63">
        <f>SUM(B4:B7)</f>
        <v>0</v>
      </c>
      <c r="C8" s="56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8"/>
  <sheetViews>
    <sheetView showGridLines="0" zoomScaleNormal="100" workbookViewId="0">
      <selection activeCell="E22" sqref="E22"/>
    </sheetView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1" t="s">
        <v>393</v>
      </c>
    </row>
    <row r="2" spans="1:7" ht="30.75" customHeight="1" thickTop="1" thickBot="1" x14ac:dyDescent="0.3">
      <c r="A2" s="297" t="s">
        <v>1</v>
      </c>
      <c r="B2" s="300" t="s">
        <v>2</v>
      </c>
      <c r="C2" s="301"/>
      <c r="D2" s="302"/>
      <c r="E2" s="280" t="s">
        <v>3</v>
      </c>
      <c r="F2" s="281"/>
      <c r="G2" s="282"/>
    </row>
    <row r="3" spans="1:7" ht="16.5" thickTop="1" thickBot="1" x14ac:dyDescent="0.3">
      <c r="A3" s="298"/>
      <c r="B3" s="300" t="s">
        <v>141</v>
      </c>
      <c r="C3" s="301"/>
      <c r="D3" s="302"/>
      <c r="E3" s="300" t="s">
        <v>141</v>
      </c>
      <c r="F3" s="301"/>
      <c r="G3" s="302"/>
    </row>
    <row r="4" spans="1:7" ht="46.5" thickTop="1" thickBot="1" x14ac:dyDescent="0.3">
      <c r="A4" s="299"/>
      <c r="B4" s="20" t="s">
        <v>142</v>
      </c>
      <c r="C4" s="20" t="s">
        <v>143</v>
      </c>
      <c r="D4" s="20" t="s">
        <v>144</v>
      </c>
      <c r="E4" s="20" t="s">
        <v>142</v>
      </c>
      <c r="F4" s="20" t="s">
        <v>143</v>
      </c>
      <c r="G4" s="20" t="s">
        <v>144</v>
      </c>
    </row>
    <row r="5" spans="1:7" ht="16.5" thickTop="1" thickBot="1" x14ac:dyDescent="0.3">
      <c r="A5" s="52" t="s">
        <v>145</v>
      </c>
      <c r="B5" s="96"/>
      <c r="C5" s="96"/>
      <c r="D5" s="96"/>
      <c r="E5" s="96"/>
      <c r="F5" s="96"/>
      <c r="G5" s="55"/>
    </row>
    <row r="6" spans="1:7" ht="15.75" thickBot="1" x14ac:dyDescent="0.3">
      <c r="A6" s="251" t="s">
        <v>219</v>
      </c>
      <c r="B6" s="57"/>
      <c r="C6" s="57"/>
      <c r="D6" s="57"/>
      <c r="E6" s="57"/>
      <c r="F6" s="57"/>
      <c r="G6" s="58"/>
    </row>
    <row r="7" spans="1:7" ht="15.75" thickBot="1" x14ac:dyDescent="0.3">
      <c r="A7" s="51" t="s">
        <v>8</v>
      </c>
      <c r="B7" s="63">
        <f>B5+B6</f>
        <v>0</v>
      </c>
      <c r="C7" s="63">
        <f t="shared" ref="C7:G7" si="0">C5+C6</f>
        <v>0</v>
      </c>
      <c r="D7" s="63">
        <f t="shared" si="0"/>
        <v>0</v>
      </c>
      <c r="E7" s="63">
        <f t="shared" si="0"/>
        <v>0</v>
      </c>
      <c r="F7" s="63">
        <f t="shared" si="0"/>
        <v>0</v>
      </c>
      <c r="G7" s="56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394</v>
      </c>
    </row>
    <row r="2" spans="1:10" ht="33" customHeight="1" thickTop="1" thickBot="1" x14ac:dyDescent="0.3">
      <c r="A2" s="297" t="s">
        <v>105</v>
      </c>
      <c r="B2" s="26" t="s">
        <v>2</v>
      </c>
      <c r="C2" s="280" t="s">
        <v>3</v>
      </c>
      <c r="D2" s="282"/>
      <c r="E2" s="280" t="s">
        <v>220</v>
      </c>
      <c r="F2" s="282"/>
    </row>
    <row r="3" spans="1:10" ht="45" customHeight="1" thickTop="1" thickBot="1" x14ac:dyDescent="0.3">
      <c r="A3" s="299"/>
      <c r="B3" s="20" t="s">
        <v>221</v>
      </c>
      <c r="C3" s="20" t="s">
        <v>221</v>
      </c>
      <c r="D3" s="20" t="s">
        <v>222</v>
      </c>
      <c r="E3" s="20" t="s">
        <v>2</v>
      </c>
      <c r="F3" s="20" t="s">
        <v>321</v>
      </c>
    </row>
    <row r="4" spans="1:10" ht="35.25" thickTop="1" thickBot="1" x14ac:dyDescent="0.3">
      <c r="A4" s="88" t="s">
        <v>320</v>
      </c>
      <c r="B4" s="202">
        <f>SUMIF(HK!A:A,"121*",HK!K:K)-SUMIF(HK!A:A,"121*",HK!L:L)+SUMIF(HK!A:A,"122*",HK!K:K)-SUMIF(HK!A:A,"122*",HK!L:L)</f>
        <v>0</v>
      </c>
      <c r="C4" s="202">
        <f>SUMIF(HKM!A:A,"121*",HKM!K:K)-SUMIF(HKM!A:A,"121*",HKM!L:L)+SUMIF(HKM!A:A,"122*",HKM!K:K)-SUMIF(HKM!A:A,"122*",HKM!L:L)</f>
        <v>0</v>
      </c>
      <c r="D4" s="202">
        <f>SUMIF(HKM!A:A,"121*",HKM!C:C)-SUMIF(HKM!A:A,"121*",HKM!D:D)+SUMIF(HKM!A:A,"122*",HKM!C:C)-SUMIF(HKM!A:A,"122*",HKM!D:D)</f>
        <v>0</v>
      </c>
      <c r="E4" s="202">
        <f>SUMIF(HK!A:A,"611*",HK!L:L)-SUMIF(HK!A:A,"611*",HK!K:K)+SUMIF(HK!A:A,"612*",HK!L:L)-SUMIF(HK!A:A,"611*",HK!K:K)</f>
        <v>0</v>
      </c>
      <c r="F4" s="202">
        <f>SUMIF(HKM!A:A,"611*",HKM!L:L)-SUMIF(HKM!A:A,"611*",HKM!K:K)+SUMIF(HKM!A:A,"612*",HKM!L:L)-SUMIF(HKM!A:A,"612*",HKM!K:K)</f>
        <v>0</v>
      </c>
      <c r="G4" s="203"/>
      <c r="H4" s="199"/>
      <c r="I4" s="203"/>
      <c r="J4" s="203"/>
    </row>
    <row r="5" spans="1:10" ht="15.75" thickBot="1" x14ac:dyDescent="0.3">
      <c r="A5" s="86" t="s">
        <v>70</v>
      </c>
      <c r="B5" s="202">
        <f>SUMIF(HK!A:A,"123*",HK!K:K)-SUMIF(HK!A:A,"123*",HK!L:L)</f>
        <v>0</v>
      </c>
      <c r="C5" s="202">
        <f>SUMIF(HKM!A:A,"123*",HKM!K:K)-SUMIF(HKM!A:A,"123*",HKM!L:L)</f>
        <v>0</v>
      </c>
      <c r="D5" s="202">
        <f>SUMIF(HKM!A:A,"123*",HKM!C:C)</f>
        <v>0</v>
      </c>
      <c r="E5" s="202">
        <f>SUMIF(HK!A:A,"613*",HK!L:L)-SUMIF(HK!A:A,"613*",HK!K:K)</f>
        <v>0</v>
      </c>
      <c r="F5" s="202">
        <f>SUMIF(HKM!A:A,"613*",HKM!L:L)-SUMIF(HKM!A:A,"613*",HKM!K:K)</f>
        <v>0</v>
      </c>
      <c r="G5" s="203"/>
      <c r="H5" s="199"/>
      <c r="I5" s="203"/>
      <c r="J5" s="203"/>
    </row>
    <row r="6" spans="1:10" ht="15.75" thickBot="1" x14ac:dyDescent="0.3">
      <c r="A6" s="13" t="s">
        <v>223</v>
      </c>
      <c r="B6" s="202">
        <f>SUMIF(HK!A:A,"124*",HK!K:K)-SUMIF(HK!A:A,"124*",HK!L:L)</f>
        <v>0</v>
      </c>
      <c r="C6" s="202">
        <f>SUMIF(HKM!A:A,"124*",HKM!K:K)-SUMIF(HKM!A:A,"124*",HKM!L:L)</f>
        <v>0</v>
      </c>
      <c r="D6" s="202">
        <f>SUMIF(HKM!A:A,"124*",HKM!C:C)-SUMIF(HKM!A:A,"124*",HKM!D:D)</f>
        <v>0</v>
      </c>
      <c r="E6" s="202">
        <f>SUMIF(HK!A:A,"614*",HK!L:L)-SUMIF(HK!A:A,"614*",HK!K:K)</f>
        <v>0</v>
      </c>
      <c r="F6" s="202">
        <f>SUMIF(HKM!A:A,"614*",HKM!L:L)-SUMIF(HKM!A:A,"614*",HKM!K:K)</f>
        <v>0</v>
      </c>
      <c r="G6" s="203"/>
      <c r="H6" s="199"/>
      <c r="I6" s="203"/>
      <c r="J6" s="203"/>
    </row>
    <row r="7" spans="1:10" ht="19.5" customHeight="1" thickBot="1" x14ac:dyDescent="0.3">
      <c r="A7" s="13" t="s">
        <v>8</v>
      </c>
      <c r="B7" s="217"/>
      <c r="C7" s="217"/>
      <c r="D7" s="235"/>
      <c r="E7" s="214"/>
      <c r="F7" s="214"/>
      <c r="G7" s="203"/>
      <c r="H7" s="236"/>
      <c r="I7" s="203"/>
      <c r="J7" s="203"/>
    </row>
    <row r="8" spans="1:10" ht="15.75" thickBot="1" x14ac:dyDescent="0.3">
      <c r="A8" s="13" t="s">
        <v>224</v>
      </c>
      <c r="B8" s="241" t="s">
        <v>10</v>
      </c>
      <c r="C8" s="241" t="s">
        <v>10</v>
      </c>
      <c r="D8" s="242" t="s">
        <v>10</v>
      </c>
      <c r="E8" s="202">
        <f>SUMIF(HK!A:A,"549*",HK!K:K)-SUMIF(HK!A:A,"549*",HK!L:L)</f>
        <v>0</v>
      </c>
      <c r="F8" s="202">
        <f>SUMIF(HKM!A:A,"549*",HKM!K:K)-SUMIF(HKM!A:A,"549*",HKM!L:L)</f>
        <v>9418.9</v>
      </c>
      <c r="G8" s="203"/>
      <c r="H8" s="199"/>
      <c r="I8" s="203"/>
      <c r="J8" s="203"/>
    </row>
    <row r="9" spans="1:10" ht="15.75" thickBot="1" x14ac:dyDescent="0.3">
      <c r="A9" s="13" t="s">
        <v>225</v>
      </c>
      <c r="B9" s="241" t="s">
        <v>10</v>
      </c>
      <c r="C9" s="241" t="s">
        <v>10</v>
      </c>
      <c r="D9" s="242" t="s">
        <v>10</v>
      </c>
      <c r="E9" s="202">
        <f>SUMIF(HK!A:A,"513*",HK!K:K)-SUMIF(HK!A:A,"513*",HK!L:L)</f>
        <v>0</v>
      </c>
      <c r="F9" s="202">
        <f>SUMIF(HKM!A:A,"513*",HKM!K:K)-SUMIF(HKM!A:A,"513*",HKM!L:L)</f>
        <v>148.44</v>
      </c>
      <c r="G9" s="203"/>
      <c r="H9" s="199"/>
      <c r="I9" s="203"/>
      <c r="J9" s="203"/>
    </row>
    <row r="10" spans="1:10" ht="15.75" thickBot="1" x14ac:dyDescent="0.3">
      <c r="A10" s="13" t="s">
        <v>226</v>
      </c>
      <c r="B10" s="241" t="s">
        <v>10</v>
      </c>
      <c r="C10" s="241" t="s">
        <v>10</v>
      </c>
      <c r="D10" s="242" t="s">
        <v>10</v>
      </c>
      <c r="E10" s="202">
        <f>SUMIF(HK!A:A,"543*",HK!K:K)-SUMIF(HK!A:A,"543*",HK!L:L)</f>
        <v>0</v>
      </c>
      <c r="F10" s="202">
        <f>SUMIF(HKM!A:A,"543*",HKM!K:K)-SUMIF(HKM!A:A,"543*",HKM!L:L)</f>
        <v>0</v>
      </c>
      <c r="G10" s="203"/>
      <c r="H10" s="199"/>
      <c r="I10" s="203"/>
      <c r="J10" s="203"/>
    </row>
    <row r="11" spans="1:10" ht="19.5" customHeight="1" thickBot="1" x14ac:dyDescent="0.3">
      <c r="A11" s="15" t="s">
        <v>227</v>
      </c>
      <c r="B11" s="243" t="s">
        <v>10</v>
      </c>
      <c r="C11" s="243" t="s">
        <v>10</v>
      </c>
      <c r="D11" s="244" t="s">
        <v>10</v>
      </c>
      <c r="E11" s="215"/>
      <c r="F11" s="215"/>
      <c r="G11" s="203"/>
      <c r="H11" s="236"/>
      <c r="I11" s="203"/>
      <c r="J11" s="203"/>
    </row>
    <row r="12" spans="1:10" ht="35.25" thickTop="1" thickBot="1" x14ac:dyDescent="0.3">
      <c r="A12" s="22" t="s">
        <v>228</v>
      </c>
      <c r="B12" s="243" t="s">
        <v>10</v>
      </c>
      <c r="C12" s="243" t="s">
        <v>10</v>
      </c>
      <c r="D12" s="244" t="s">
        <v>10</v>
      </c>
      <c r="E12" s="209">
        <f>SUMIF(VZaS!C:C,"006",VZaS!D:D)</f>
        <v>0</v>
      </c>
      <c r="F12" s="209">
        <f>SUMIF(VZaS!C:C,"006",VZaS!E:E)</f>
        <v>0</v>
      </c>
      <c r="G12" s="203"/>
      <c r="H12" s="237"/>
      <c r="I12" s="203"/>
      <c r="J12" s="203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395</v>
      </c>
    </row>
    <row r="2" spans="1:7" ht="26.25" customHeight="1" thickTop="1" thickBot="1" x14ac:dyDescent="0.3">
      <c r="A2" s="44" t="s">
        <v>105</v>
      </c>
      <c r="B2" s="26" t="s">
        <v>2</v>
      </c>
      <c r="C2" s="26" t="s">
        <v>3</v>
      </c>
    </row>
    <row r="3" spans="1:7" ht="18.75" customHeight="1" thickTop="1" thickBot="1" x14ac:dyDescent="0.3">
      <c r="A3" s="50" t="s">
        <v>229</v>
      </c>
      <c r="B3" s="209">
        <f>SUMIF(HK!A:A,"601*",HK!L:L)-SUMIF(HK!A:A,"601*",HK!K:K)</f>
        <v>0</v>
      </c>
      <c r="C3" s="209">
        <f>SUMIF(HKM!A:A,"601*",HKM!L:L)-SUMIF(HKM!A:A,"601*",HKM!K:K)</f>
        <v>0</v>
      </c>
      <c r="D3" s="203"/>
      <c r="E3" s="230"/>
      <c r="G3" s="117"/>
    </row>
    <row r="4" spans="1:7" ht="18.75" customHeight="1" thickBot="1" x14ac:dyDescent="0.3">
      <c r="A4" s="50" t="s">
        <v>230</v>
      </c>
      <c r="B4" s="209">
        <f>SUMIF(HK!A:A,"602*",HK!L:L)-SUMIF(HK!A:A,"602*",HK!K:K)</f>
        <v>0</v>
      </c>
      <c r="C4" s="209">
        <f>SUMIF(HKM!A:A,"602*",HKM!L:L)-SUMIF(HKM!A:A,"602*",HKM!K:K)</f>
        <v>149007.28000000003</v>
      </c>
      <c r="D4" s="203"/>
      <c r="E4" s="230"/>
      <c r="G4" s="117"/>
    </row>
    <row r="5" spans="1:7" ht="18.75" customHeight="1" thickBot="1" x14ac:dyDescent="0.3">
      <c r="A5" s="50" t="s">
        <v>231</v>
      </c>
      <c r="B5" s="209">
        <f>SUMIF(HK!A:A,"604*",HK!L:L)-SUMIF(HK!A:A,"604*",HK!K:K)</f>
        <v>0</v>
      </c>
      <c r="C5" s="209">
        <f>SUMIF(HKM!A:A,"604*",HKM!L:L)-SUMIF(HKM!A:A,"604*",HKM!K:K)</f>
        <v>511863.33999999997</v>
      </c>
      <c r="D5" s="203"/>
      <c r="E5" s="230"/>
      <c r="G5" s="117"/>
    </row>
    <row r="6" spans="1:7" ht="18.75" customHeight="1" thickBot="1" x14ac:dyDescent="0.3">
      <c r="A6" s="50" t="s">
        <v>232</v>
      </c>
      <c r="B6" s="209">
        <f>SUMIF(HK!A:A,"606*",HK!L:L)-SUMIF(HK!A:A,"606*",HK!K:K)</f>
        <v>0</v>
      </c>
      <c r="C6" s="209">
        <f>SUMIF(HKM!A:A,"606*",HKM!L:L)-SUMIF(HKM!A:A,"606*",HKM!K:K)</f>
        <v>0</v>
      </c>
      <c r="D6" s="203"/>
      <c r="E6" s="230"/>
      <c r="G6" s="117"/>
    </row>
    <row r="7" spans="1:7" ht="18.75" customHeight="1" thickBot="1" x14ac:dyDescent="0.3">
      <c r="A7" s="50" t="s">
        <v>233</v>
      </c>
      <c r="B7" s="209"/>
      <c r="C7" s="209"/>
      <c r="D7" s="203"/>
      <c r="E7" s="230"/>
      <c r="G7" s="131"/>
    </row>
    <row r="8" spans="1:7" ht="23.25" thickBot="1" x14ac:dyDescent="0.3">
      <c r="A8" s="13" t="s">
        <v>234</v>
      </c>
      <c r="B8" s="214"/>
      <c r="C8" s="214"/>
      <c r="D8" s="203"/>
      <c r="E8" s="203"/>
      <c r="G8" s="117"/>
    </row>
    <row r="9" spans="1:7" ht="18.75" customHeight="1" thickBot="1" x14ac:dyDescent="0.3">
      <c r="A9" s="51" t="s">
        <v>235</v>
      </c>
      <c r="B9" s="56">
        <f>SUM(B3:B8)</f>
        <v>0</v>
      </c>
      <c r="C9" s="56">
        <f>SUM(C3:C8)</f>
        <v>660870.62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9"/>
  <sheetViews>
    <sheetView showGridLines="0" zoomScaleNormal="100" workbookViewId="0">
      <selection activeCell="E21" sqref="E2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1" t="s">
        <v>403</v>
      </c>
      <c r="D1" s="203"/>
      <c r="E1" s="203"/>
    </row>
    <row r="2" spans="1:5" ht="24" thickTop="1" thickBot="1" x14ac:dyDescent="0.3">
      <c r="A2" s="44" t="s">
        <v>105</v>
      </c>
      <c r="B2" s="247" t="s">
        <v>2</v>
      </c>
      <c r="C2" s="247" t="s">
        <v>3</v>
      </c>
      <c r="D2" s="203"/>
      <c r="E2" s="203"/>
    </row>
    <row r="3" spans="1:5" ht="30.75" customHeight="1" thickTop="1" thickBot="1" x14ac:dyDescent="0.3">
      <c r="A3" s="31" t="s">
        <v>407</v>
      </c>
      <c r="B3" s="209"/>
      <c r="C3" s="209"/>
    </row>
    <row r="4" spans="1:5" ht="23.25" thickBot="1" x14ac:dyDescent="0.3">
      <c r="A4" s="13" t="s">
        <v>236</v>
      </c>
      <c r="B4" s="214"/>
      <c r="C4" s="214"/>
    </row>
    <row r="5" spans="1:5" ht="15.75" thickBot="1" x14ac:dyDescent="0.3">
      <c r="A5" s="13" t="s">
        <v>237</v>
      </c>
      <c r="B5" s="214"/>
      <c r="C5" s="214"/>
    </row>
    <row r="6" spans="1:5" ht="15.75" thickBot="1" x14ac:dyDescent="0.3">
      <c r="A6" s="13" t="s">
        <v>238</v>
      </c>
      <c r="B6" s="214"/>
      <c r="C6" s="214"/>
    </row>
    <row r="7" spans="1:5" ht="15.75" thickBot="1" x14ac:dyDescent="0.3">
      <c r="A7" s="13" t="s">
        <v>239</v>
      </c>
      <c r="B7" s="214"/>
      <c r="C7" s="214"/>
    </row>
    <row r="8" spans="1:5" ht="15.75" thickBot="1" x14ac:dyDescent="0.3">
      <c r="A8" s="15" t="s">
        <v>240</v>
      </c>
      <c r="B8" s="215"/>
      <c r="C8" s="21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6" sqref="A16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374</v>
      </c>
    </row>
    <row r="2" spans="1:2" ht="21" customHeight="1" thickTop="1" thickBot="1" x14ac:dyDescent="0.3">
      <c r="A2" s="9" t="s">
        <v>11</v>
      </c>
      <c r="B2" s="10" t="s">
        <v>26</v>
      </c>
    </row>
    <row r="3" spans="1:2" ht="32.25" customHeight="1" thickTop="1" thickBot="1" x14ac:dyDescent="0.3">
      <c r="A3" s="11" t="s">
        <v>27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9"/>
  <sheetViews>
    <sheetView showGridLines="0" zoomScaleNormal="100" workbookViewId="0">
      <selection activeCell="F16" sqref="F16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404</v>
      </c>
    </row>
    <row r="2" spans="1:3" ht="35.25" thickTop="1" thickBot="1" x14ac:dyDescent="0.3">
      <c r="A2" s="44" t="s">
        <v>105</v>
      </c>
      <c r="B2" s="26" t="s">
        <v>2</v>
      </c>
      <c r="C2" s="26" t="s">
        <v>3</v>
      </c>
    </row>
    <row r="3" spans="1:3" ht="35.25" thickTop="1" thickBot="1" x14ac:dyDescent="0.3">
      <c r="A3" s="88" t="s">
        <v>241</v>
      </c>
      <c r="B3" s="14"/>
      <c r="C3" s="14"/>
    </row>
    <row r="4" spans="1:3" ht="34.5" thickBot="1" x14ac:dyDescent="0.3">
      <c r="A4" s="89" t="s">
        <v>242</v>
      </c>
      <c r="B4" s="14"/>
      <c r="C4" s="14"/>
    </row>
    <row r="5" spans="1:3" ht="79.5" thickBot="1" x14ac:dyDescent="0.3">
      <c r="A5" s="86" t="s">
        <v>243</v>
      </c>
      <c r="B5" s="14"/>
      <c r="C5" s="14"/>
    </row>
    <row r="6" spans="1:3" ht="57" thickBot="1" x14ac:dyDescent="0.3">
      <c r="A6" s="13" t="s">
        <v>244</v>
      </c>
      <c r="B6" s="14"/>
      <c r="C6" s="14"/>
    </row>
    <row r="7" spans="1:3" ht="57" thickBot="1" x14ac:dyDescent="0.3">
      <c r="A7" s="88" t="s">
        <v>245</v>
      </c>
      <c r="B7" s="14"/>
      <c r="C7" s="14"/>
    </row>
    <row r="8" spans="1:3" ht="34.5" thickBot="1" x14ac:dyDescent="0.3">
      <c r="A8" s="90" t="s">
        <v>246</v>
      </c>
      <c r="B8" s="16"/>
      <c r="C8" s="16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405</v>
      </c>
    </row>
    <row r="2" spans="1:10" ht="35.25" customHeight="1" thickTop="1" thickBot="1" x14ac:dyDescent="0.3">
      <c r="A2" s="275" t="s">
        <v>105</v>
      </c>
      <c r="B2" s="280" t="s">
        <v>2</v>
      </c>
      <c r="C2" s="281"/>
      <c r="D2" s="282"/>
      <c r="E2" s="280" t="s">
        <v>3</v>
      </c>
      <c r="F2" s="281"/>
      <c r="G2" s="282"/>
    </row>
    <row r="3" spans="1:10" s="91" customFormat="1" ht="16.5" thickTop="1" thickBot="1" x14ac:dyDescent="0.3">
      <c r="A3" s="290"/>
      <c r="B3" s="20" t="s">
        <v>247</v>
      </c>
      <c r="C3" s="20" t="s">
        <v>248</v>
      </c>
      <c r="D3" s="20" t="s">
        <v>249</v>
      </c>
      <c r="E3" s="20" t="s">
        <v>247</v>
      </c>
      <c r="F3" s="20" t="s">
        <v>248</v>
      </c>
      <c r="G3" s="20" t="s">
        <v>249</v>
      </c>
    </row>
    <row r="4" spans="1:10" ht="24" thickTop="1" thickBot="1" x14ac:dyDescent="0.3">
      <c r="A4" s="13" t="s">
        <v>250</v>
      </c>
      <c r="B4" s="229">
        <f>SUMIF(VZaS!C:C,"056",VZaS!D:D)</f>
        <v>-205368.11</v>
      </c>
      <c r="C4" s="238" t="s">
        <v>10</v>
      </c>
      <c r="D4" s="239" t="s">
        <v>10</v>
      </c>
      <c r="E4" s="229">
        <f>SUMIF(VZaS!C:C,"056",VZaS!E:E)</f>
        <v>0</v>
      </c>
      <c r="F4" s="238" t="s">
        <v>10</v>
      </c>
      <c r="G4" s="239" t="s">
        <v>10</v>
      </c>
      <c r="H4" s="201"/>
      <c r="I4" s="201"/>
      <c r="J4" s="228"/>
    </row>
    <row r="5" spans="1:10" ht="20.25" customHeight="1" thickBot="1" x14ac:dyDescent="0.3">
      <c r="A5" s="13" t="s">
        <v>251</v>
      </c>
      <c r="B5" s="238" t="s">
        <v>10</v>
      </c>
      <c r="C5" s="208"/>
      <c r="D5" s="240"/>
      <c r="E5" s="238" t="s">
        <v>10</v>
      </c>
      <c r="F5" s="208"/>
      <c r="G5" s="240"/>
      <c r="H5" s="201"/>
      <c r="I5" s="201"/>
      <c r="J5" s="201"/>
    </row>
    <row r="6" spans="1:10" ht="20.25" customHeight="1" thickBot="1" x14ac:dyDescent="0.3">
      <c r="A6" s="13" t="s">
        <v>252</v>
      </c>
      <c r="B6" s="208"/>
      <c r="C6" s="208"/>
      <c r="D6" s="240"/>
      <c r="E6" s="208"/>
      <c r="F6" s="208"/>
      <c r="G6" s="240"/>
      <c r="H6" s="201"/>
      <c r="I6" s="201"/>
      <c r="J6" s="201"/>
    </row>
    <row r="7" spans="1:10" ht="20.25" customHeight="1" thickBot="1" x14ac:dyDescent="0.3">
      <c r="A7" s="13" t="s">
        <v>253</v>
      </c>
      <c r="B7" s="208"/>
      <c r="C7" s="208"/>
      <c r="D7" s="240"/>
      <c r="E7" s="208"/>
      <c r="F7" s="208"/>
      <c r="G7" s="240"/>
      <c r="H7" s="201"/>
      <c r="I7" s="201"/>
      <c r="J7" s="201"/>
    </row>
    <row r="8" spans="1:10" ht="20.25" customHeight="1" thickBot="1" x14ac:dyDescent="0.3">
      <c r="A8" s="13" t="s">
        <v>254</v>
      </c>
      <c r="B8" s="208"/>
      <c r="C8" s="208"/>
      <c r="D8" s="240"/>
      <c r="E8" s="208"/>
      <c r="F8" s="208"/>
      <c r="G8" s="240"/>
      <c r="H8" s="201"/>
      <c r="I8" s="201"/>
      <c r="J8" s="201"/>
    </row>
    <row r="9" spans="1:10" ht="20.25" customHeight="1" thickBot="1" x14ac:dyDescent="0.3">
      <c r="A9" s="13" t="s">
        <v>227</v>
      </c>
      <c r="B9" s="208"/>
      <c r="C9" s="208"/>
      <c r="D9" s="240"/>
      <c r="E9" s="208"/>
      <c r="F9" s="208"/>
      <c r="G9" s="240"/>
      <c r="H9" s="201"/>
      <c r="I9" s="201"/>
      <c r="J9" s="201"/>
    </row>
    <row r="10" spans="1:10" ht="20.25" customHeight="1" thickBot="1" x14ac:dyDescent="0.3">
      <c r="A10" s="13" t="s">
        <v>8</v>
      </c>
      <c r="B10" s="208"/>
      <c r="C10" s="208"/>
      <c r="D10" s="240"/>
      <c r="E10" s="208"/>
      <c r="F10" s="208"/>
      <c r="G10" s="240"/>
      <c r="H10" s="201"/>
      <c r="I10" s="201"/>
      <c r="J10" s="201"/>
    </row>
    <row r="11" spans="1:10" ht="20.25" customHeight="1" thickBot="1" x14ac:dyDescent="0.3">
      <c r="A11" s="13" t="s">
        <v>255</v>
      </c>
      <c r="B11" s="238" t="s">
        <v>10</v>
      </c>
      <c r="C11" s="229">
        <f>SUMIF(VZaS!C:C,"058",VZaS!D:D)</f>
        <v>0</v>
      </c>
      <c r="D11" s="240"/>
      <c r="E11" s="238" t="s">
        <v>10</v>
      </c>
      <c r="F11" s="229">
        <f>SUMIF(VZaS!C:C,"058",VZaS!E:E)</f>
        <v>0</v>
      </c>
      <c r="G11" s="240"/>
      <c r="H11" s="201"/>
      <c r="I11" s="201"/>
      <c r="J11" s="201"/>
    </row>
    <row r="12" spans="1:10" ht="20.25" customHeight="1" thickBot="1" x14ac:dyDescent="0.3">
      <c r="A12" s="13" t="s">
        <v>256</v>
      </c>
      <c r="B12" s="238" t="s">
        <v>10</v>
      </c>
      <c r="C12" s="229">
        <f>SUMIF(VZaS!C:C,"059",VZaS!D:D)</f>
        <v>0</v>
      </c>
      <c r="D12" s="240"/>
      <c r="E12" s="238" t="s">
        <v>10</v>
      </c>
      <c r="F12" s="229">
        <f>SUMIF(VZaS!C:C,"059",VZaS!E:E)</f>
        <v>0</v>
      </c>
      <c r="G12" s="240"/>
      <c r="H12" s="201"/>
      <c r="I12" s="201"/>
      <c r="J12" s="201"/>
    </row>
    <row r="13" spans="1:10" ht="20.25" customHeight="1" thickBot="1" x14ac:dyDescent="0.3">
      <c r="A13" s="15" t="s">
        <v>257</v>
      </c>
      <c r="B13" s="75" t="s">
        <v>10</v>
      </c>
      <c r="C13" s="63"/>
      <c r="D13" s="104"/>
      <c r="E13" s="75" t="s">
        <v>10</v>
      </c>
      <c r="F13" s="63"/>
      <c r="G13" s="104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L23" sqref="L23"/>
    </sheetView>
  </sheetViews>
  <sheetFormatPr defaultRowHeight="15" x14ac:dyDescent="0.25"/>
  <cols>
    <col min="1" max="1" width="32" customWidth="1"/>
  </cols>
  <sheetData>
    <row r="1" spans="1:2" x14ac:dyDescent="0.25">
      <c r="A1" t="s">
        <v>328</v>
      </c>
      <c r="B1" t="s">
        <v>334</v>
      </c>
    </row>
    <row r="2" spans="1:2" x14ac:dyDescent="0.25">
      <c r="A2" t="s">
        <v>329</v>
      </c>
      <c r="B2" t="s">
        <v>332</v>
      </c>
    </row>
    <row r="3" spans="1:2" x14ac:dyDescent="0.25">
      <c r="A3" t="s">
        <v>330</v>
      </c>
      <c r="B3" t="s">
        <v>333</v>
      </c>
    </row>
    <row r="4" spans="1:2" x14ac:dyDescent="0.25">
      <c r="A4" t="s">
        <v>331</v>
      </c>
      <c r="B4" t="s">
        <v>333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25">
      <c r="A3" s="140"/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40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</row>
    <row r="5" spans="1:12" x14ac:dyDescent="0.25">
      <c r="A5" s="140"/>
      <c r="B5" s="141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2" x14ac:dyDescent="0.25">
      <c r="A6" s="140"/>
      <c r="B6" s="141"/>
      <c r="C6" s="142"/>
      <c r="D6" s="142"/>
      <c r="E6" s="142"/>
      <c r="F6" s="142"/>
      <c r="G6" s="142"/>
      <c r="H6" s="142"/>
      <c r="I6" s="142"/>
      <c r="J6" s="142"/>
      <c r="K6" s="142"/>
      <c r="L6" s="142"/>
    </row>
    <row r="7" spans="1:12" x14ac:dyDescent="0.25">
      <c r="A7" s="140"/>
      <c r="B7" s="141"/>
      <c r="C7" s="142"/>
      <c r="D7" s="142"/>
      <c r="E7" s="142"/>
      <c r="F7" s="142"/>
      <c r="G7" s="142"/>
      <c r="H7" s="142"/>
      <c r="I7" s="142"/>
      <c r="J7" s="142"/>
      <c r="K7" s="142"/>
      <c r="L7" s="142"/>
    </row>
    <row r="8" spans="1:12" x14ac:dyDescent="0.25">
      <c r="A8" s="140"/>
      <c r="B8" s="141"/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x14ac:dyDescent="0.25">
      <c r="A9" s="140"/>
      <c r="B9" s="141"/>
      <c r="C9" s="142"/>
      <c r="D9" s="142"/>
      <c r="E9" s="142"/>
      <c r="F9" s="142"/>
      <c r="G9" s="142"/>
      <c r="H9" s="142"/>
      <c r="I9" s="142"/>
      <c r="J9" s="142"/>
      <c r="K9" s="142"/>
      <c r="L9" s="142"/>
    </row>
    <row r="10" spans="1:12" x14ac:dyDescent="0.25">
      <c r="A10" s="140"/>
      <c r="B10" s="141"/>
      <c r="C10" s="142"/>
      <c r="D10" s="142"/>
      <c r="E10" s="142"/>
      <c r="F10" s="142"/>
      <c r="G10" s="142"/>
      <c r="H10" s="142"/>
      <c r="I10" s="142"/>
      <c r="J10" s="142"/>
      <c r="K10" s="142"/>
      <c r="L10" s="142"/>
    </row>
    <row r="11" spans="1:12" x14ac:dyDescent="0.25">
      <c r="A11" s="140"/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</row>
    <row r="12" spans="1:12" x14ac:dyDescent="0.25">
      <c r="A12" s="140"/>
      <c r="B12" s="141"/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1:12" x14ac:dyDescent="0.25">
      <c r="A13" s="140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12" x14ac:dyDescent="0.25">
      <c r="A14" s="140"/>
      <c r="B14" s="141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x14ac:dyDescent="0.25">
      <c r="A15" s="140"/>
      <c r="B15" s="141"/>
      <c r="C15" s="142"/>
      <c r="D15" s="142"/>
      <c r="E15" s="142"/>
      <c r="F15" s="142"/>
      <c r="G15" s="142"/>
      <c r="H15" s="142"/>
      <c r="I15" s="142"/>
      <c r="J15" s="142"/>
      <c r="K15" s="142"/>
      <c r="L15" s="142"/>
    </row>
    <row r="16" spans="1:12" x14ac:dyDescent="0.25">
      <c r="A16" s="140"/>
      <c r="B16" s="141"/>
      <c r="C16" s="142"/>
      <c r="D16" s="142"/>
      <c r="E16" s="142"/>
      <c r="F16" s="142"/>
      <c r="G16" s="142"/>
      <c r="H16" s="142"/>
      <c r="I16" s="142"/>
      <c r="J16" s="142"/>
      <c r="K16" s="142"/>
      <c r="L16" s="142"/>
    </row>
    <row r="17" spans="1:12" x14ac:dyDescent="0.25">
      <c r="A17" s="140"/>
      <c r="B17" s="141"/>
      <c r="C17" s="142"/>
      <c r="D17" s="142"/>
      <c r="E17" s="142"/>
      <c r="F17" s="142"/>
      <c r="G17" s="142"/>
      <c r="H17" s="142"/>
      <c r="I17" s="142"/>
      <c r="J17" s="142"/>
      <c r="K17" s="142"/>
      <c r="L17" s="142"/>
    </row>
    <row r="18" spans="1:12" x14ac:dyDescent="0.25">
      <c r="A18" s="140"/>
      <c r="B18" s="141"/>
      <c r="C18" s="142"/>
      <c r="D18" s="142"/>
      <c r="E18" s="142"/>
      <c r="F18" s="142"/>
      <c r="G18" s="142"/>
      <c r="H18" s="142"/>
      <c r="I18" s="142"/>
      <c r="J18" s="142"/>
      <c r="K18" s="142"/>
      <c r="L18" s="142"/>
    </row>
    <row r="19" spans="1:12" x14ac:dyDescent="0.25">
      <c r="A19" s="140"/>
      <c r="B19" s="141"/>
      <c r="C19" s="142"/>
      <c r="D19" s="142"/>
      <c r="E19" s="142"/>
      <c r="F19" s="142"/>
      <c r="G19" s="142"/>
      <c r="H19" s="142"/>
      <c r="I19" s="142"/>
      <c r="J19" s="142"/>
      <c r="K19" s="142"/>
      <c r="L19" s="142"/>
    </row>
    <row r="20" spans="1:12" x14ac:dyDescent="0.25">
      <c r="A20" s="140"/>
      <c r="B20" s="141"/>
      <c r="C20" s="142"/>
      <c r="D20" s="142"/>
      <c r="E20" s="142"/>
      <c r="F20" s="142"/>
      <c r="G20" s="142"/>
      <c r="H20" s="142"/>
      <c r="I20" s="142"/>
      <c r="J20" s="142"/>
      <c r="K20" s="142"/>
      <c r="L20" s="142"/>
    </row>
    <row r="21" spans="1:12" x14ac:dyDescent="0.25">
      <c r="A21" s="140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</row>
    <row r="22" spans="1:12" x14ac:dyDescent="0.25">
      <c r="A22" s="140"/>
      <c r="B22" s="141"/>
      <c r="C22" s="142"/>
      <c r="D22" s="142"/>
      <c r="E22" s="142"/>
      <c r="F22" s="142"/>
      <c r="G22" s="142"/>
      <c r="H22" s="142"/>
      <c r="I22" s="142"/>
      <c r="J22" s="142"/>
      <c r="K22" s="142"/>
      <c r="L22" s="142"/>
    </row>
    <row r="23" spans="1:12" x14ac:dyDescent="0.25">
      <c r="A23" s="140"/>
      <c r="B23" s="141"/>
      <c r="C23" s="142"/>
      <c r="D23" s="142"/>
      <c r="E23" s="142"/>
      <c r="F23" s="142"/>
      <c r="G23" s="142"/>
      <c r="H23" s="142"/>
      <c r="I23" s="142"/>
      <c r="J23" s="142"/>
      <c r="K23" s="142"/>
      <c r="L23" s="142"/>
    </row>
    <row r="24" spans="1:12" x14ac:dyDescent="0.25">
      <c r="A24" s="140"/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</row>
    <row r="25" spans="1:12" x14ac:dyDescent="0.25">
      <c r="A25" s="140"/>
      <c r="B25" s="141"/>
      <c r="C25" s="142"/>
      <c r="D25" s="142"/>
      <c r="E25" s="142"/>
      <c r="F25" s="142"/>
      <c r="G25" s="142"/>
      <c r="H25" s="142"/>
      <c r="I25" s="142"/>
      <c r="J25" s="142"/>
      <c r="K25" s="142"/>
      <c r="L25" s="142"/>
    </row>
    <row r="26" spans="1:12" x14ac:dyDescent="0.25">
      <c r="A26" s="140"/>
      <c r="B26" s="141"/>
      <c r="C26" s="142"/>
      <c r="D26" s="142"/>
      <c r="E26" s="142"/>
      <c r="F26" s="142"/>
      <c r="G26" s="142"/>
      <c r="H26" s="142"/>
      <c r="I26" s="142"/>
      <c r="J26" s="142"/>
      <c r="K26" s="142"/>
      <c r="L26" s="142"/>
    </row>
    <row r="27" spans="1:12" x14ac:dyDescent="0.25">
      <c r="A27" s="140"/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</row>
    <row r="28" spans="1:12" x14ac:dyDescent="0.25">
      <c r="A28" s="140"/>
      <c r="B28" s="141"/>
      <c r="C28" s="142"/>
      <c r="D28" s="142"/>
      <c r="E28" s="142"/>
      <c r="F28" s="142"/>
      <c r="G28" s="142"/>
      <c r="H28" s="142"/>
      <c r="I28" s="142"/>
      <c r="J28" s="142"/>
      <c r="K28" s="142"/>
      <c r="L28" s="142"/>
    </row>
    <row r="29" spans="1:12" x14ac:dyDescent="0.25">
      <c r="A29" s="140"/>
      <c r="B29" s="141"/>
      <c r="C29" s="142"/>
      <c r="D29" s="142"/>
      <c r="E29" s="142"/>
      <c r="F29" s="142"/>
      <c r="G29" s="142"/>
      <c r="H29" s="142"/>
      <c r="I29" s="142"/>
      <c r="J29" s="142"/>
      <c r="K29" s="142"/>
      <c r="L29" s="142"/>
    </row>
    <row r="30" spans="1:12" x14ac:dyDescent="0.25">
      <c r="A30" s="140"/>
      <c r="B30" s="141"/>
      <c r="C30" s="142"/>
      <c r="D30" s="142"/>
      <c r="E30" s="142"/>
      <c r="F30" s="142"/>
      <c r="G30" s="142"/>
      <c r="H30" s="142"/>
      <c r="I30" s="142"/>
      <c r="J30" s="142"/>
      <c r="K30" s="142"/>
      <c r="L30" s="142"/>
    </row>
    <row r="31" spans="1:12" x14ac:dyDescent="0.25">
      <c r="A31" s="140"/>
      <c r="B31" s="141"/>
      <c r="C31" s="142"/>
      <c r="D31" s="142"/>
      <c r="E31" s="142"/>
      <c r="F31" s="142"/>
      <c r="G31" s="142"/>
      <c r="H31" s="142"/>
      <c r="I31" s="142"/>
      <c r="J31" s="142"/>
      <c r="K31" s="142"/>
      <c r="L31" s="142"/>
    </row>
    <row r="32" spans="1:12" x14ac:dyDescent="0.25">
      <c r="A32" s="140"/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</row>
    <row r="33" spans="1:12" x14ac:dyDescent="0.25">
      <c r="A33" s="140"/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</row>
    <row r="34" spans="1:12" x14ac:dyDescent="0.25">
      <c r="A34" s="140"/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</row>
    <row r="35" spans="1:12" x14ac:dyDescent="0.25">
      <c r="A35" s="140"/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</row>
    <row r="36" spans="1:12" x14ac:dyDescent="0.25">
      <c r="A36" s="140"/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</row>
    <row r="37" spans="1:12" x14ac:dyDescent="0.25">
      <c r="A37" s="140"/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</row>
    <row r="38" spans="1:12" x14ac:dyDescent="0.25">
      <c r="A38" s="140"/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</row>
    <row r="39" spans="1:12" x14ac:dyDescent="0.25">
      <c r="A39" s="140"/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</row>
    <row r="40" spans="1:12" x14ac:dyDescent="0.25">
      <c r="A40" s="140"/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</row>
    <row r="41" spans="1:12" x14ac:dyDescent="0.25">
      <c r="A41" s="140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</row>
    <row r="42" spans="1:12" x14ac:dyDescent="0.25">
      <c r="A42" s="140"/>
      <c r="B42" s="141"/>
      <c r="C42" s="142"/>
      <c r="D42" s="142"/>
      <c r="E42" s="142"/>
      <c r="F42" s="142"/>
      <c r="G42" s="142"/>
      <c r="H42" s="142"/>
      <c r="I42" s="142"/>
      <c r="J42" s="142"/>
      <c r="K42" s="142"/>
      <c r="L42" s="142"/>
    </row>
    <row r="43" spans="1:12" x14ac:dyDescent="0.25">
      <c r="A43" s="140"/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</row>
    <row r="44" spans="1:12" x14ac:dyDescent="0.25">
      <c r="A44" s="140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</row>
    <row r="45" spans="1:12" x14ac:dyDescent="0.25">
      <c r="A45" s="140"/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</row>
    <row r="46" spans="1:12" x14ac:dyDescent="0.25">
      <c r="A46" s="140"/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</row>
    <row r="47" spans="1:12" x14ac:dyDescent="0.25">
      <c r="A47" s="140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</row>
    <row r="48" spans="1:12" x14ac:dyDescent="0.25">
      <c r="A48" s="140"/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</row>
    <row r="49" spans="1:12" x14ac:dyDescent="0.25">
      <c r="A49" s="140"/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</row>
    <row r="50" spans="1:12" x14ac:dyDescent="0.25">
      <c r="A50" s="140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</row>
    <row r="51" spans="1:12" x14ac:dyDescent="0.25">
      <c r="A51" s="140"/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</row>
    <row r="52" spans="1:12" x14ac:dyDescent="0.25">
      <c r="A52" s="140"/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</row>
    <row r="53" spans="1:12" x14ac:dyDescent="0.25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</row>
    <row r="54" spans="1:12" x14ac:dyDescent="0.25">
      <c r="A54" s="140"/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</row>
    <row r="55" spans="1:12" x14ac:dyDescent="0.25">
      <c r="A55" s="140"/>
      <c r="B55" s="141"/>
      <c r="C55" s="142"/>
      <c r="D55" s="142"/>
      <c r="E55" s="142"/>
      <c r="F55" s="142"/>
      <c r="G55" s="142"/>
      <c r="H55" s="142"/>
      <c r="I55" s="142"/>
      <c r="J55" s="142"/>
      <c r="K55" s="142"/>
      <c r="L55" s="142"/>
    </row>
    <row r="56" spans="1:12" x14ac:dyDescent="0.25">
      <c r="A56" s="140"/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</row>
    <row r="57" spans="1:12" x14ac:dyDescent="0.25">
      <c r="A57" s="140"/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</row>
    <row r="58" spans="1:12" x14ac:dyDescent="0.25">
      <c r="A58" s="140"/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</row>
    <row r="59" spans="1:12" x14ac:dyDescent="0.25">
      <c r="A59" s="140"/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</row>
    <row r="60" spans="1:12" x14ac:dyDescent="0.25">
      <c r="A60" s="140"/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</row>
    <row r="61" spans="1:12" x14ac:dyDescent="0.25">
      <c r="A61" s="140"/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</row>
    <row r="62" spans="1:12" x14ac:dyDescent="0.25">
      <c r="A62" s="140"/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77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43" customWidth="1"/>
    <col min="2" max="2" width="46.7109375" style="144" customWidth="1"/>
    <col min="3" max="12" width="15.28515625" style="145" bestFit="1" customWidth="1"/>
    <col min="13" max="16384" width="9.140625" style="139"/>
  </cols>
  <sheetData>
    <row r="1" spans="1:12" ht="22.5" x14ac:dyDescent="0.25">
      <c r="A1" s="149" t="s">
        <v>344</v>
      </c>
      <c r="B1" s="150" t="s">
        <v>345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408</v>
      </c>
      <c r="B2" s="141" t="s">
        <v>409</v>
      </c>
      <c r="C2" s="142">
        <v>0</v>
      </c>
      <c r="D2" s="142">
        <v>0</v>
      </c>
      <c r="E2" s="142">
        <v>4490</v>
      </c>
      <c r="F2" s="142">
        <v>0</v>
      </c>
      <c r="G2" s="142">
        <v>5770</v>
      </c>
      <c r="H2" s="142">
        <v>0</v>
      </c>
      <c r="I2" s="142">
        <v>10260</v>
      </c>
      <c r="J2" s="142">
        <v>0</v>
      </c>
      <c r="K2" s="142">
        <v>10260</v>
      </c>
      <c r="L2" s="142">
        <v>0</v>
      </c>
    </row>
    <row r="3" spans="1:12" x14ac:dyDescent="0.25">
      <c r="A3" s="140" t="s">
        <v>410</v>
      </c>
      <c r="B3" s="141" t="s">
        <v>411</v>
      </c>
      <c r="C3" s="142">
        <v>0</v>
      </c>
      <c r="D3" s="142">
        <v>0</v>
      </c>
      <c r="E3" s="142">
        <v>14922.13</v>
      </c>
      <c r="F3" s="142">
        <v>0</v>
      </c>
      <c r="G3" s="142">
        <v>0</v>
      </c>
      <c r="H3" s="142">
        <v>0</v>
      </c>
      <c r="I3" s="142">
        <v>14922.13</v>
      </c>
      <c r="J3" s="142">
        <v>0</v>
      </c>
      <c r="K3" s="142">
        <v>14922.13</v>
      </c>
      <c r="L3" s="142">
        <v>0</v>
      </c>
    </row>
    <row r="4" spans="1:12" x14ac:dyDescent="0.25">
      <c r="A4" s="140" t="s">
        <v>412</v>
      </c>
      <c r="B4" s="141" t="s">
        <v>413</v>
      </c>
      <c r="C4" s="142">
        <v>0</v>
      </c>
      <c r="D4" s="142">
        <v>0</v>
      </c>
      <c r="E4" s="142">
        <v>15526.82</v>
      </c>
      <c r="F4" s="142">
        <v>0</v>
      </c>
      <c r="G4" s="142">
        <v>0</v>
      </c>
      <c r="H4" s="142">
        <v>0</v>
      </c>
      <c r="I4" s="142">
        <v>15526.82</v>
      </c>
      <c r="J4" s="142">
        <v>0</v>
      </c>
      <c r="K4" s="142">
        <v>15526.82</v>
      </c>
      <c r="L4" s="142">
        <v>0</v>
      </c>
    </row>
    <row r="5" spans="1:12" x14ac:dyDescent="0.25">
      <c r="A5" s="140" t="s">
        <v>414</v>
      </c>
      <c r="B5" s="141" t="s">
        <v>415</v>
      </c>
      <c r="C5" s="142">
        <v>0</v>
      </c>
      <c r="D5" s="142">
        <v>0</v>
      </c>
      <c r="E5" s="142">
        <v>14228.38</v>
      </c>
      <c r="F5" s="142">
        <v>0</v>
      </c>
      <c r="G5" s="142">
        <v>0</v>
      </c>
      <c r="H5" s="142">
        <v>0</v>
      </c>
      <c r="I5" s="142">
        <v>14228.38</v>
      </c>
      <c r="J5" s="142">
        <v>0</v>
      </c>
      <c r="K5" s="142">
        <v>14228.38</v>
      </c>
      <c r="L5" s="142">
        <v>0</v>
      </c>
    </row>
    <row r="6" spans="1:12" x14ac:dyDescent="0.25">
      <c r="A6" s="140" t="s">
        <v>416</v>
      </c>
      <c r="B6" s="141" t="s">
        <v>417</v>
      </c>
      <c r="C6" s="142">
        <v>0</v>
      </c>
      <c r="D6" s="142">
        <v>0</v>
      </c>
      <c r="E6" s="142">
        <v>13792.89</v>
      </c>
      <c r="F6" s="142">
        <v>0</v>
      </c>
      <c r="G6" s="142">
        <v>1300</v>
      </c>
      <c r="H6" s="142">
        <v>0</v>
      </c>
      <c r="I6" s="142">
        <v>15092.89</v>
      </c>
      <c r="J6" s="142">
        <v>0</v>
      </c>
      <c r="K6" s="142">
        <v>15092.89</v>
      </c>
      <c r="L6" s="142">
        <v>0</v>
      </c>
    </row>
    <row r="7" spans="1:12" x14ac:dyDescent="0.25">
      <c r="A7" s="140" t="s">
        <v>418</v>
      </c>
      <c r="B7" s="141" t="s">
        <v>419</v>
      </c>
      <c r="C7" s="142">
        <v>0</v>
      </c>
      <c r="D7" s="142">
        <v>0</v>
      </c>
      <c r="E7" s="142">
        <v>4774.6899999999996</v>
      </c>
      <c r="F7" s="142">
        <v>0</v>
      </c>
      <c r="G7" s="142">
        <v>0</v>
      </c>
      <c r="H7" s="142">
        <v>0</v>
      </c>
      <c r="I7" s="142">
        <v>4774.6899999999996</v>
      </c>
      <c r="J7" s="142">
        <v>0</v>
      </c>
      <c r="K7" s="142">
        <v>4774.6899999999996</v>
      </c>
      <c r="L7" s="142">
        <v>0</v>
      </c>
    </row>
    <row r="8" spans="1:12" x14ac:dyDescent="0.25">
      <c r="A8" s="140" t="s">
        <v>420</v>
      </c>
      <c r="B8" s="141" t="s">
        <v>421</v>
      </c>
      <c r="C8" s="142">
        <v>0</v>
      </c>
      <c r="D8" s="142">
        <v>0</v>
      </c>
      <c r="E8" s="142">
        <v>14407.48</v>
      </c>
      <c r="F8" s="142">
        <v>0</v>
      </c>
      <c r="G8" s="142">
        <v>0</v>
      </c>
      <c r="H8" s="142">
        <v>0</v>
      </c>
      <c r="I8" s="142">
        <v>14407.48</v>
      </c>
      <c r="J8" s="142">
        <v>0</v>
      </c>
      <c r="K8" s="142">
        <v>14407.48</v>
      </c>
      <c r="L8" s="142">
        <v>0</v>
      </c>
    </row>
    <row r="9" spans="1:12" x14ac:dyDescent="0.25">
      <c r="A9" s="140" t="s">
        <v>422</v>
      </c>
      <c r="B9" s="141" t="s">
        <v>423</v>
      </c>
      <c r="C9" s="142">
        <v>0</v>
      </c>
      <c r="D9" s="142">
        <v>0</v>
      </c>
      <c r="E9" s="142">
        <v>161865.4</v>
      </c>
      <c r="F9" s="142">
        <v>0</v>
      </c>
      <c r="G9" s="142">
        <v>0</v>
      </c>
      <c r="H9" s="142">
        <v>0</v>
      </c>
      <c r="I9" s="142">
        <v>161865.4</v>
      </c>
      <c r="J9" s="142">
        <v>0</v>
      </c>
      <c r="K9" s="142">
        <v>161865.4</v>
      </c>
      <c r="L9" s="142">
        <v>0</v>
      </c>
    </row>
    <row r="10" spans="1:12" x14ac:dyDescent="0.25">
      <c r="A10" s="140" t="s">
        <v>424</v>
      </c>
      <c r="B10" s="141" t="s">
        <v>425</v>
      </c>
      <c r="C10" s="142">
        <v>0</v>
      </c>
      <c r="D10" s="142">
        <v>0</v>
      </c>
      <c r="E10" s="142">
        <v>20600.54</v>
      </c>
      <c r="F10" s="142">
        <v>0</v>
      </c>
      <c r="G10" s="142">
        <v>790</v>
      </c>
      <c r="H10" s="142">
        <v>0</v>
      </c>
      <c r="I10" s="142">
        <v>21390.54</v>
      </c>
      <c r="J10" s="142">
        <v>0</v>
      </c>
      <c r="K10" s="142">
        <v>21390.54</v>
      </c>
      <c r="L10" s="142">
        <v>0</v>
      </c>
    </row>
    <row r="11" spans="1:12" x14ac:dyDescent="0.25">
      <c r="A11" s="140" t="s">
        <v>426</v>
      </c>
      <c r="B11" s="141" t="s">
        <v>427</v>
      </c>
      <c r="C11" s="142">
        <v>0</v>
      </c>
      <c r="D11" s="142">
        <v>0</v>
      </c>
      <c r="E11" s="142">
        <v>20309.22</v>
      </c>
      <c r="F11" s="142">
        <v>0</v>
      </c>
      <c r="G11" s="142">
        <v>0</v>
      </c>
      <c r="H11" s="142">
        <v>0</v>
      </c>
      <c r="I11" s="142">
        <v>20309.22</v>
      </c>
      <c r="J11" s="142">
        <v>0</v>
      </c>
      <c r="K11" s="142">
        <v>20309.22</v>
      </c>
      <c r="L11" s="142">
        <v>0</v>
      </c>
    </row>
    <row r="12" spans="1:12" x14ac:dyDescent="0.25">
      <c r="A12" s="140" t="s">
        <v>428</v>
      </c>
      <c r="B12" s="141" t="s">
        <v>429</v>
      </c>
      <c r="C12" s="142">
        <v>0</v>
      </c>
      <c r="D12" s="142">
        <v>0</v>
      </c>
      <c r="E12" s="142">
        <v>15071.14</v>
      </c>
      <c r="F12" s="142">
        <v>0</v>
      </c>
      <c r="G12" s="142">
        <v>0</v>
      </c>
      <c r="H12" s="142">
        <v>0</v>
      </c>
      <c r="I12" s="142">
        <v>15071.14</v>
      </c>
      <c r="J12" s="142">
        <v>0</v>
      </c>
      <c r="K12" s="142">
        <v>15071.14</v>
      </c>
      <c r="L12" s="142">
        <v>0</v>
      </c>
    </row>
    <row r="13" spans="1:12" x14ac:dyDescent="0.25">
      <c r="A13" s="140" t="s">
        <v>430</v>
      </c>
      <c r="B13" s="141" t="s">
        <v>431</v>
      </c>
      <c r="C13" s="142">
        <v>0</v>
      </c>
      <c r="D13" s="142">
        <v>0</v>
      </c>
      <c r="E13" s="142">
        <v>16305.55</v>
      </c>
      <c r="F13" s="142">
        <v>0</v>
      </c>
      <c r="G13" s="142">
        <v>0</v>
      </c>
      <c r="H13" s="142">
        <v>0</v>
      </c>
      <c r="I13" s="142">
        <v>16305.55</v>
      </c>
      <c r="J13" s="142">
        <v>0</v>
      </c>
      <c r="K13" s="142">
        <v>16305.55</v>
      </c>
      <c r="L13" s="142">
        <v>0</v>
      </c>
    </row>
    <row r="14" spans="1:12" x14ac:dyDescent="0.25">
      <c r="A14" s="140" t="s">
        <v>432</v>
      </c>
      <c r="B14" s="141" t="s">
        <v>433</v>
      </c>
      <c r="C14" s="142">
        <v>0</v>
      </c>
      <c r="D14" s="142">
        <v>0</v>
      </c>
      <c r="E14" s="142">
        <v>13870.99</v>
      </c>
      <c r="F14" s="142">
        <v>0</v>
      </c>
      <c r="G14" s="142">
        <v>0</v>
      </c>
      <c r="H14" s="142">
        <v>0</v>
      </c>
      <c r="I14" s="142">
        <v>13870.99</v>
      </c>
      <c r="J14" s="142">
        <v>0</v>
      </c>
      <c r="K14" s="142">
        <v>13870.99</v>
      </c>
      <c r="L14" s="142">
        <v>0</v>
      </c>
    </row>
    <row r="15" spans="1:12" x14ac:dyDescent="0.25">
      <c r="A15" s="140" t="s">
        <v>434</v>
      </c>
      <c r="B15" s="141" t="s">
        <v>435</v>
      </c>
      <c r="C15" s="142">
        <v>0</v>
      </c>
      <c r="D15" s="142">
        <v>0</v>
      </c>
      <c r="E15" s="142">
        <v>16229.39</v>
      </c>
      <c r="F15" s="142">
        <v>0</v>
      </c>
      <c r="G15" s="142">
        <v>401</v>
      </c>
      <c r="H15" s="142">
        <v>0</v>
      </c>
      <c r="I15" s="142">
        <v>16630.39</v>
      </c>
      <c r="J15" s="142">
        <v>0</v>
      </c>
      <c r="K15" s="142">
        <v>16630.39</v>
      </c>
      <c r="L15" s="142">
        <v>0</v>
      </c>
    </row>
    <row r="16" spans="1:12" x14ac:dyDescent="0.25">
      <c r="A16" s="140" t="s">
        <v>436</v>
      </c>
      <c r="B16" s="141" t="s">
        <v>437</v>
      </c>
      <c r="C16" s="142">
        <v>0</v>
      </c>
      <c r="D16" s="142">
        <v>0</v>
      </c>
      <c r="E16" s="142">
        <v>7737.8</v>
      </c>
      <c r="F16" s="142">
        <v>0</v>
      </c>
      <c r="G16" s="142">
        <v>9250</v>
      </c>
      <c r="H16" s="142">
        <v>0</v>
      </c>
      <c r="I16" s="142">
        <v>16987.8</v>
      </c>
      <c r="J16" s="142">
        <v>0</v>
      </c>
      <c r="K16" s="142">
        <v>16987.8</v>
      </c>
      <c r="L16" s="142">
        <v>0</v>
      </c>
    </row>
    <row r="17" spans="1:12" x14ac:dyDescent="0.25">
      <c r="A17" s="140" t="s">
        <v>438</v>
      </c>
      <c r="B17" s="141" t="s">
        <v>439</v>
      </c>
      <c r="C17" s="142">
        <v>0</v>
      </c>
      <c r="D17" s="142">
        <v>0</v>
      </c>
      <c r="E17" s="142">
        <v>0</v>
      </c>
      <c r="F17" s="142">
        <v>0</v>
      </c>
      <c r="G17" s="142">
        <v>5770</v>
      </c>
      <c r="H17" s="142">
        <v>5770</v>
      </c>
      <c r="I17" s="142">
        <v>10260</v>
      </c>
      <c r="J17" s="142">
        <v>10260</v>
      </c>
      <c r="K17" s="142">
        <v>0</v>
      </c>
      <c r="L17" s="142">
        <v>0</v>
      </c>
    </row>
    <row r="18" spans="1:12" x14ac:dyDescent="0.25">
      <c r="A18" s="140" t="s">
        <v>440</v>
      </c>
      <c r="B18" s="141" t="s">
        <v>441</v>
      </c>
      <c r="C18" s="142">
        <v>55750</v>
      </c>
      <c r="D18" s="142">
        <v>0</v>
      </c>
      <c r="E18" s="142">
        <v>-100985.86</v>
      </c>
      <c r="F18" s="142">
        <v>0</v>
      </c>
      <c r="G18" s="142">
        <v>112731.1</v>
      </c>
      <c r="H18" s="142">
        <v>11745.24</v>
      </c>
      <c r="I18" s="142">
        <v>305637.65999999997</v>
      </c>
      <c r="J18" s="142">
        <v>361387.66</v>
      </c>
      <c r="K18" s="142">
        <v>0</v>
      </c>
      <c r="L18" s="142">
        <v>0</v>
      </c>
    </row>
    <row r="19" spans="1:12" x14ac:dyDescent="0.25">
      <c r="A19" s="140" t="s">
        <v>442</v>
      </c>
      <c r="B19" s="141" t="s">
        <v>443</v>
      </c>
      <c r="C19" s="142">
        <v>0</v>
      </c>
      <c r="D19" s="142">
        <v>0</v>
      </c>
      <c r="E19" s="142">
        <v>21700</v>
      </c>
      <c r="F19" s="142">
        <v>0</v>
      </c>
      <c r="G19" s="142">
        <v>2182.4</v>
      </c>
      <c r="H19" s="142">
        <v>15000</v>
      </c>
      <c r="I19" s="142">
        <v>88882.4</v>
      </c>
      <c r="J19" s="142">
        <v>80000</v>
      </c>
      <c r="K19" s="142">
        <v>8882.4</v>
      </c>
      <c r="L19" s="142">
        <v>0</v>
      </c>
    </row>
    <row r="20" spans="1:12" x14ac:dyDescent="0.25">
      <c r="A20" s="143" t="s">
        <v>444</v>
      </c>
      <c r="B20" s="144" t="s">
        <v>445</v>
      </c>
      <c r="C20" s="145">
        <v>0</v>
      </c>
      <c r="D20" s="145">
        <v>0</v>
      </c>
      <c r="E20" s="145">
        <v>5000</v>
      </c>
      <c r="F20" s="145">
        <v>0</v>
      </c>
      <c r="G20" s="145">
        <v>651.37</v>
      </c>
      <c r="H20" s="145">
        <v>0</v>
      </c>
      <c r="I20" s="145">
        <v>5651.37</v>
      </c>
      <c r="J20" s="145">
        <v>0</v>
      </c>
      <c r="K20" s="145">
        <v>5651.37</v>
      </c>
      <c r="L20" s="145">
        <v>0</v>
      </c>
    </row>
    <row r="21" spans="1:12" x14ac:dyDescent="0.25">
      <c r="A21" s="143" t="s">
        <v>446</v>
      </c>
      <c r="B21" s="144" t="s">
        <v>447</v>
      </c>
      <c r="C21" s="145">
        <v>0</v>
      </c>
      <c r="D21" s="145">
        <v>0</v>
      </c>
      <c r="E21" s="145">
        <v>11300</v>
      </c>
      <c r="F21" s="145">
        <v>0</v>
      </c>
      <c r="G21" s="145">
        <v>600.47</v>
      </c>
      <c r="H21" s="145">
        <v>0</v>
      </c>
      <c r="I21" s="145">
        <v>11900.47</v>
      </c>
      <c r="J21" s="145">
        <v>0</v>
      </c>
      <c r="K21" s="145">
        <v>11900.47</v>
      </c>
      <c r="L21" s="145">
        <v>0</v>
      </c>
    </row>
    <row r="22" spans="1:12" x14ac:dyDescent="0.25">
      <c r="A22" s="143" t="s">
        <v>448</v>
      </c>
      <c r="B22" s="144" t="s">
        <v>449</v>
      </c>
      <c r="C22" s="145">
        <v>0</v>
      </c>
      <c r="D22" s="145">
        <v>0</v>
      </c>
      <c r="E22" s="145">
        <v>-658</v>
      </c>
      <c r="F22" s="145">
        <v>0</v>
      </c>
      <c r="G22" s="145">
        <v>0</v>
      </c>
      <c r="H22" s="145">
        <v>1052</v>
      </c>
      <c r="I22" s="145">
        <v>0</v>
      </c>
      <c r="J22" s="145">
        <v>1710</v>
      </c>
      <c r="K22" s="145">
        <v>-1710</v>
      </c>
      <c r="L22" s="145">
        <v>0</v>
      </c>
    </row>
    <row r="23" spans="1:12" x14ac:dyDescent="0.25">
      <c r="A23" s="143" t="s">
        <v>450</v>
      </c>
      <c r="B23" s="144" t="s">
        <v>451</v>
      </c>
      <c r="C23" s="145">
        <v>0</v>
      </c>
      <c r="D23" s="145">
        <v>0</v>
      </c>
      <c r="E23" s="145">
        <v>-559</v>
      </c>
      <c r="F23" s="145">
        <v>0</v>
      </c>
      <c r="G23" s="145">
        <v>0</v>
      </c>
      <c r="H23" s="145">
        <v>126</v>
      </c>
      <c r="I23" s="145">
        <v>0</v>
      </c>
      <c r="J23" s="145">
        <v>685</v>
      </c>
      <c r="K23" s="145">
        <v>-685</v>
      </c>
      <c r="L23" s="145">
        <v>0</v>
      </c>
    </row>
    <row r="24" spans="1:12" x14ac:dyDescent="0.25">
      <c r="A24" s="143" t="s">
        <v>452</v>
      </c>
      <c r="B24" s="144" t="s">
        <v>453</v>
      </c>
      <c r="C24" s="145">
        <v>0</v>
      </c>
      <c r="D24" s="145">
        <v>0</v>
      </c>
      <c r="E24" s="145">
        <v>-575</v>
      </c>
      <c r="F24" s="145">
        <v>0</v>
      </c>
      <c r="G24" s="145">
        <v>0</v>
      </c>
      <c r="H24" s="145">
        <v>81</v>
      </c>
      <c r="I24" s="145">
        <v>0</v>
      </c>
      <c r="J24" s="145">
        <v>656</v>
      </c>
      <c r="K24" s="145">
        <v>-656</v>
      </c>
      <c r="L24" s="145">
        <v>0</v>
      </c>
    </row>
    <row r="25" spans="1:12" x14ac:dyDescent="0.25">
      <c r="A25" s="143" t="s">
        <v>454</v>
      </c>
      <c r="B25" s="144" t="s">
        <v>455</v>
      </c>
      <c r="C25" s="145">
        <v>0</v>
      </c>
      <c r="D25" s="145">
        <v>0</v>
      </c>
      <c r="E25" s="145">
        <v>-472</v>
      </c>
      <c r="F25" s="145">
        <v>0</v>
      </c>
      <c r="G25" s="145">
        <v>0</v>
      </c>
      <c r="H25" s="145">
        <v>181</v>
      </c>
      <c r="I25" s="145">
        <v>0</v>
      </c>
      <c r="J25" s="145">
        <v>653</v>
      </c>
      <c r="K25" s="145">
        <v>-653</v>
      </c>
      <c r="L25" s="145">
        <v>0</v>
      </c>
    </row>
    <row r="26" spans="1:12" x14ac:dyDescent="0.25">
      <c r="A26" s="143" t="s">
        <v>456</v>
      </c>
      <c r="B26" s="144" t="s">
        <v>457</v>
      </c>
      <c r="C26" s="145">
        <v>0</v>
      </c>
      <c r="D26" s="145">
        <v>0</v>
      </c>
      <c r="E26" s="145">
        <v>-336</v>
      </c>
      <c r="F26" s="145">
        <v>0</v>
      </c>
      <c r="G26" s="145">
        <v>0</v>
      </c>
      <c r="H26" s="145">
        <v>73</v>
      </c>
      <c r="I26" s="145">
        <v>0</v>
      </c>
      <c r="J26" s="145">
        <v>409</v>
      </c>
      <c r="K26" s="145">
        <v>-409</v>
      </c>
      <c r="L26" s="145">
        <v>0</v>
      </c>
    </row>
    <row r="27" spans="1:12" x14ac:dyDescent="0.25">
      <c r="A27" s="143" t="s">
        <v>458</v>
      </c>
      <c r="B27" s="144" t="s">
        <v>459</v>
      </c>
      <c r="C27" s="145">
        <v>0</v>
      </c>
      <c r="D27" s="145">
        <v>0</v>
      </c>
      <c r="E27" s="145">
        <v>-103</v>
      </c>
      <c r="F27" s="145">
        <v>0</v>
      </c>
      <c r="G27" s="145">
        <v>0</v>
      </c>
      <c r="H27" s="145">
        <v>37</v>
      </c>
      <c r="I27" s="145">
        <v>0</v>
      </c>
      <c r="J27" s="145">
        <v>140</v>
      </c>
      <c r="K27" s="145">
        <v>-140</v>
      </c>
      <c r="L27" s="145">
        <v>0</v>
      </c>
    </row>
    <row r="28" spans="1:12" x14ac:dyDescent="0.25">
      <c r="A28" s="143" t="s">
        <v>460</v>
      </c>
      <c r="B28" s="144" t="s">
        <v>461</v>
      </c>
      <c r="C28" s="145">
        <v>0</v>
      </c>
      <c r="D28" s="145">
        <v>0</v>
      </c>
      <c r="E28" s="145">
        <v>-122</v>
      </c>
      <c r="F28" s="145">
        <v>0</v>
      </c>
      <c r="G28" s="145">
        <v>0</v>
      </c>
      <c r="H28" s="145">
        <v>59</v>
      </c>
      <c r="I28" s="145">
        <v>0</v>
      </c>
      <c r="J28" s="145">
        <v>181</v>
      </c>
      <c r="K28" s="145">
        <v>-181</v>
      </c>
      <c r="L28" s="145">
        <v>0</v>
      </c>
    </row>
    <row r="29" spans="1:12" x14ac:dyDescent="0.25">
      <c r="A29" s="143" t="s">
        <v>462</v>
      </c>
      <c r="B29" s="144" t="s">
        <v>463</v>
      </c>
      <c r="C29" s="145">
        <v>0</v>
      </c>
      <c r="D29" s="145">
        <v>0</v>
      </c>
      <c r="E29" s="145">
        <v>-12094</v>
      </c>
      <c r="F29" s="145">
        <v>0</v>
      </c>
      <c r="G29" s="145">
        <v>0</v>
      </c>
      <c r="H29" s="145">
        <v>1697</v>
      </c>
      <c r="I29" s="145">
        <v>0</v>
      </c>
      <c r="J29" s="145">
        <v>13791</v>
      </c>
      <c r="K29" s="145">
        <v>-13791</v>
      </c>
      <c r="L29" s="145">
        <v>0</v>
      </c>
    </row>
    <row r="30" spans="1:12" x14ac:dyDescent="0.25">
      <c r="A30" s="143" t="s">
        <v>464</v>
      </c>
      <c r="B30" s="144" t="s">
        <v>465</v>
      </c>
      <c r="C30" s="145">
        <v>0</v>
      </c>
      <c r="D30" s="145">
        <v>0</v>
      </c>
      <c r="E30" s="145">
        <v>-2888</v>
      </c>
      <c r="F30" s="145">
        <v>0</v>
      </c>
      <c r="G30" s="145">
        <v>0</v>
      </c>
      <c r="H30" s="145">
        <v>312</v>
      </c>
      <c r="I30" s="145">
        <v>0</v>
      </c>
      <c r="J30" s="145">
        <v>3200</v>
      </c>
      <c r="K30" s="145">
        <v>-3200</v>
      </c>
      <c r="L30" s="145">
        <v>0</v>
      </c>
    </row>
    <row r="31" spans="1:12" x14ac:dyDescent="0.25">
      <c r="A31" s="143" t="s">
        <v>466</v>
      </c>
      <c r="B31" s="144" t="s">
        <v>467</v>
      </c>
      <c r="C31" s="145">
        <v>0</v>
      </c>
      <c r="D31" s="145">
        <v>0</v>
      </c>
      <c r="E31" s="145">
        <v>-2583</v>
      </c>
      <c r="F31" s="145">
        <v>0</v>
      </c>
      <c r="G31" s="145">
        <v>0</v>
      </c>
      <c r="H31" s="145">
        <v>284</v>
      </c>
      <c r="I31" s="145">
        <v>0</v>
      </c>
      <c r="J31" s="145">
        <v>2867</v>
      </c>
      <c r="K31" s="145">
        <v>-2867</v>
      </c>
      <c r="L31" s="145">
        <v>0</v>
      </c>
    </row>
    <row r="32" spans="1:12" x14ac:dyDescent="0.25">
      <c r="A32" s="143" t="s">
        <v>468</v>
      </c>
      <c r="B32" s="144" t="s">
        <v>469</v>
      </c>
      <c r="C32" s="145">
        <v>0</v>
      </c>
      <c r="D32" s="145">
        <v>0</v>
      </c>
      <c r="E32" s="145">
        <v>-2050</v>
      </c>
      <c r="F32" s="145">
        <v>0</v>
      </c>
      <c r="G32" s="145">
        <v>0</v>
      </c>
      <c r="H32" s="145">
        <v>261</v>
      </c>
      <c r="I32" s="145">
        <v>0</v>
      </c>
      <c r="J32" s="145">
        <v>2311</v>
      </c>
      <c r="K32" s="145">
        <v>-2311</v>
      </c>
      <c r="L32" s="145">
        <v>0</v>
      </c>
    </row>
    <row r="33" spans="1:12" x14ac:dyDescent="0.25">
      <c r="A33" s="143" t="s">
        <v>470</v>
      </c>
      <c r="B33" s="144" t="s">
        <v>471</v>
      </c>
      <c r="C33" s="145">
        <v>0</v>
      </c>
      <c r="D33" s="145">
        <v>0</v>
      </c>
      <c r="E33" s="145">
        <v>-1565</v>
      </c>
      <c r="F33" s="145">
        <v>0</v>
      </c>
      <c r="G33" s="145">
        <v>0</v>
      </c>
      <c r="H33" s="145">
        <v>247</v>
      </c>
      <c r="I33" s="145">
        <v>0</v>
      </c>
      <c r="J33" s="145">
        <v>1812</v>
      </c>
      <c r="K33" s="145">
        <v>-1812</v>
      </c>
      <c r="L33" s="145">
        <v>0</v>
      </c>
    </row>
    <row r="34" spans="1:12" x14ac:dyDescent="0.25">
      <c r="A34" s="143" t="s">
        <v>472</v>
      </c>
      <c r="B34" s="144" t="s">
        <v>473</v>
      </c>
      <c r="C34" s="145">
        <v>0</v>
      </c>
      <c r="D34" s="145">
        <v>0</v>
      </c>
      <c r="E34" s="145">
        <v>-1376</v>
      </c>
      <c r="F34" s="145">
        <v>0</v>
      </c>
      <c r="G34" s="145">
        <v>0</v>
      </c>
      <c r="H34" s="145">
        <v>215</v>
      </c>
      <c r="I34" s="145">
        <v>0</v>
      </c>
      <c r="J34" s="145">
        <v>1591</v>
      </c>
      <c r="K34" s="145">
        <v>-1591</v>
      </c>
      <c r="L34" s="145">
        <v>0</v>
      </c>
    </row>
    <row r="35" spans="1:12" x14ac:dyDescent="0.25">
      <c r="A35" s="143" t="s">
        <v>474</v>
      </c>
      <c r="B35" s="144" t="s">
        <v>475</v>
      </c>
      <c r="C35" s="145">
        <v>0</v>
      </c>
      <c r="D35" s="145">
        <v>0</v>
      </c>
      <c r="E35" s="145">
        <v>-306</v>
      </c>
      <c r="F35" s="145">
        <v>0</v>
      </c>
      <c r="G35" s="145">
        <v>0</v>
      </c>
      <c r="H35" s="145">
        <v>195</v>
      </c>
      <c r="I35" s="145">
        <v>0</v>
      </c>
      <c r="J35" s="145">
        <v>501</v>
      </c>
      <c r="K35" s="145">
        <v>-501</v>
      </c>
      <c r="L35" s="145">
        <v>0</v>
      </c>
    </row>
    <row r="36" spans="1:12" x14ac:dyDescent="0.25">
      <c r="A36" s="143" t="s">
        <v>476</v>
      </c>
      <c r="B36" s="144" t="s">
        <v>477</v>
      </c>
      <c r="C36" s="145">
        <v>0</v>
      </c>
      <c r="D36" s="145">
        <v>0</v>
      </c>
      <c r="E36" s="145">
        <v>-1078</v>
      </c>
      <c r="F36" s="145">
        <v>0</v>
      </c>
      <c r="G36" s="145">
        <v>0</v>
      </c>
      <c r="H36" s="145">
        <v>194</v>
      </c>
      <c r="I36" s="145">
        <v>0</v>
      </c>
      <c r="J36" s="145">
        <v>1272</v>
      </c>
      <c r="K36" s="145">
        <v>-1272</v>
      </c>
      <c r="L36" s="145">
        <v>0</v>
      </c>
    </row>
    <row r="37" spans="1:12" x14ac:dyDescent="0.25">
      <c r="A37" s="143" t="s">
        <v>478</v>
      </c>
      <c r="B37" s="144" t="s">
        <v>479</v>
      </c>
      <c r="C37" s="145">
        <v>0</v>
      </c>
      <c r="D37" s="145">
        <v>0</v>
      </c>
      <c r="E37" s="145">
        <v>101737.67</v>
      </c>
      <c r="F37" s="145">
        <v>0</v>
      </c>
      <c r="G37" s="145">
        <v>45073.99</v>
      </c>
      <c r="H37" s="145">
        <v>146811.66</v>
      </c>
      <c r="I37" s="145">
        <v>330518.44</v>
      </c>
      <c r="J37" s="145">
        <v>330518.44</v>
      </c>
      <c r="K37" s="145">
        <v>0</v>
      </c>
      <c r="L37" s="145">
        <v>0</v>
      </c>
    </row>
    <row r="38" spans="1:12" x14ac:dyDescent="0.25">
      <c r="A38" s="143" t="s">
        <v>480</v>
      </c>
      <c r="B38" s="144" t="s">
        <v>481</v>
      </c>
      <c r="C38" s="145">
        <v>0</v>
      </c>
      <c r="D38" s="145">
        <v>0</v>
      </c>
      <c r="E38" s="145">
        <v>1430.55</v>
      </c>
      <c r="F38" s="145">
        <v>0</v>
      </c>
      <c r="G38" s="145">
        <v>0</v>
      </c>
      <c r="H38" s="145">
        <v>1430.55</v>
      </c>
      <c r="I38" s="145">
        <v>1430.55</v>
      </c>
      <c r="J38" s="145">
        <v>1430.55</v>
      </c>
      <c r="K38" s="145">
        <v>0</v>
      </c>
      <c r="L38" s="145">
        <v>0</v>
      </c>
    </row>
    <row r="39" spans="1:12" x14ac:dyDescent="0.25">
      <c r="A39" s="143" t="s">
        <v>482</v>
      </c>
      <c r="B39" s="144" t="s">
        <v>483</v>
      </c>
      <c r="C39" s="145">
        <v>0</v>
      </c>
      <c r="D39" s="145">
        <v>0</v>
      </c>
      <c r="E39" s="145">
        <v>18082.68</v>
      </c>
      <c r="F39" s="145">
        <v>0</v>
      </c>
      <c r="G39" s="145">
        <v>0</v>
      </c>
      <c r="H39" s="145">
        <v>18082.68</v>
      </c>
      <c r="I39" s="145">
        <v>18082.68</v>
      </c>
      <c r="J39" s="145">
        <v>18082.68</v>
      </c>
      <c r="K39" s="145">
        <v>0</v>
      </c>
      <c r="L39" s="145">
        <v>0</v>
      </c>
    </row>
    <row r="40" spans="1:12" x14ac:dyDescent="0.25">
      <c r="A40" s="143" t="s">
        <v>484</v>
      </c>
      <c r="B40" s="144" t="s">
        <v>485</v>
      </c>
      <c r="C40" s="145">
        <v>0</v>
      </c>
      <c r="D40" s="145">
        <v>0</v>
      </c>
      <c r="E40" s="145">
        <v>482.17</v>
      </c>
      <c r="F40" s="145">
        <v>0</v>
      </c>
      <c r="G40" s="145">
        <v>204374.31</v>
      </c>
      <c r="H40" s="145">
        <v>139481.76999999999</v>
      </c>
      <c r="I40" s="145">
        <v>204856.48</v>
      </c>
      <c r="J40" s="145">
        <v>139481.76999999999</v>
      </c>
      <c r="K40" s="145">
        <v>65374.71</v>
      </c>
      <c r="L40" s="145">
        <v>0</v>
      </c>
    </row>
    <row r="41" spans="1:12" x14ac:dyDescent="0.25">
      <c r="A41" s="143" t="s">
        <v>486</v>
      </c>
      <c r="B41" s="144" t="s">
        <v>487</v>
      </c>
      <c r="C41" s="145">
        <v>0</v>
      </c>
      <c r="D41" s="145">
        <v>0</v>
      </c>
      <c r="E41" s="145">
        <v>3077.25</v>
      </c>
      <c r="F41" s="145">
        <v>0</v>
      </c>
      <c r="G41" s="145">
        <v>9063.52</v>
      </c>
      <c r="H41" s="145">
        <v>9286.25</v>
      </c>
      <c r="I41" s="145">
        <v>74504.240000000005</v>
      </c>
      <c r="J41" s="145">
        <v>71649.72</v>
      </c>
      <c r="K41" s="145">
        <v>2854.52</v>
      </c>
      <c r="L41" s="145">
        <v>0</v>
      </c>
    </row>
    <row r="42" spans="1:12" x14ac:dyDescent="0.25">
      <c r="A42" s="143" t="s">
        <v>488</v>
      </c>
      <c r="B42" s="144" t="s">
        <v>489</v>
      </c>
      <c r="C42" s="145">
        <v>0</v>
      </c>
      <c r="D42" s="145">
        <v>0</v>
      </c>
      <c r="E42" s="145">
        <v>9242.41</v>
      </c>
      <c r="F42" s="145">
        <v>0</v>
      </c>
      <c r="G42" s="145">
        <v>8457.25</v>
      </c>
      <c r="H42" s="145">
        <v>14577.12</v>
      </c>
      <c r="I42" s="145">
        <v>67570.350000000006</v>
      </c>
      <c r="J42" s="145">
        <v>64447.81</v>
      </c>
      <c r="K42" s="145">
        <v>3122.54</v>
      </c>
      <c r="L42" s="145">
        <v>0</v>
      </c>
    </row>
    <row r="43" spans="1:12" x14ac:dyDescent="0.25">
      <c r="A43" s="143" t="s">
        <v>490</v>
      </c>
      <c r="B43" s="144" t="s">
        <v>491</v>
      </c>
      <c r="C43" s="145">
        <v>0</v>
      </c>
      <c r="D43" s="145">
        <v>0</v>
      </c>
      <c r="E43" s="145">
        <v>-3347.02</v>
      </c>
      <c r="F43" s="145">
        <v>0</v>
      </c>
      <c r="G43" s="145">
        <v>18151.29</v>
      </c>
      <c r="H43" s="145">
        <v>13091.75</v>
      </c>
      <c r="I43" s="145">
        <v>100920.47</v>
      </c>
      <c r="J43" s="145">
        <v>99207.95</v>
      </c>
      <c r="K43" s="145">
        <v>1712.52</v>
      </c>
      <c r="L43" s="145">
        <v>0</v>
      </c>
    </row>
    <row r="44" spans="1:12" x14ac:dyDescent="0.25">
      <c r="A44" s="143" t="s">
        <v>492</v>
      </c>
      <c r="B44" s="144" t="s">
        <v>493</v>
      </c>
      <c r="C44" s="145">
        <v>0</v>
      </c>
      <c r="D44" s="145">
        <v>0</v>
      </c>
      <c r="E44" s="145">
        <v>3832.96</v>
      </c>
      <c r="F44" s="145">
        <v>0</v>
      </c>
      <c r="G44" s="145">
        <v>7638.93</v>
      </c>
      <c r="H44" s="145">
        <v>7976.44</v>
      </c>
      <c r="I44" s="145">
        <v>53194.879999999997</v>
      </c>
      <c r="J44" s="145">
        <v>49699.43</v>
      </c>
      <c r="K44" s="145">
        <v>3495.45</v>
      </c>
      <c r="L44" s="145">
        <v>0</v>
      </c>
    </row>
    <row r="45" spans="1:12" x14ac:dyDescent="0.25">
      <c r="A45" s="143" t="s">
        <v>494</v>
      </c>
      <c r="B45" s="144" t="s">
        <v>495</v>
      </c>
      <c r="C45" s="145">
        <v>0</v>
      </c>
      <c r="D45" s="145">
        <v>0</v>
      </c>
      <c r="E45" s="145">
        <v>3956.08</v>
      </c>
      <c r="F45" s="145">
        <v>0</v>
      </c>
      <c r="G45" s="145">
        <v>7194.67</v>
      </c>
      <c r="H45" s="145">
        <v>7008.98</v>
      </c>
      <c r="I45" s="145">
        <v>53321.45</v>
      </c>
      <c r="J45" s="145">
        <v>49179.68</v>
      </c>
      <c r="K45" s="145">
        <v>4141.7700000000004</v>
      </c>
      <c r="L45" s="145">
        <v>0</v>
      </c>
    </row>
    <row r="46" spans="1:12" x14ac:dyDescent="0.25">
      <c r="A46" s="143" t="s">
        <v>496</v>
      </c>
      <c r="B46" s="144" t="s">
        <v>497</v>
      </c>
      <c r="C46" s="145">
        <v>0</v>
      </c>
      <c r="D46" s="145">
        <v>0</v>
      </c>
      <c r="E46" s="145">
        <v>2147.75</v>
      </c>
      <c r="F46" s="145">
        <v>0</v>
      </c>
      <c r="G46" s="145">
        <v>3315.96</v>
      </c>
      <c r="H46" s="145">
        <v>4126.6499999999996</v>
      </c>
      <c r="I46" s="145">
        <v>8816.1299999999992</v>
      </c>
      <c r="J46" s="145">
        <v>7479.07</v>
      </c>
      <c r="K46" s="145">
        <v>1337.06</v>
      </c>
      <c r="L46" s="145">
        <v>0</v>
      </c>
    </row>
    <row r="47" spans="1:12" x14ac:dyDescent="0.25">
      <c r="A47" s="143" t="s">
        <v>498</v>
      </c>
      <c r="B47" s="144" t="s">
        <v>499</v>
      </c>
      <c r="C47" s="145">
        <v>0</v>
      </c>
      <c r="D47" s="145">
        <v>0</v>
      </c>
      <c r="E47" s="145">
        <v>-101123.38</v>
      </c>
      <c r="F47" s="145">
        <v>0</v>
      </c>
      <c r="G47" s="145">
        <v>130893.39</v>
      </c>
      <c r="H47" s="145">
        <v>29770.01</v>
      </c>
      <c r="I47" s="145">
        <v>150826.26</v>
      </c>
      <c r="J47" s="145">
        <v>150826.26</v>
      </c>
      <c r="K47" s="145">
        <v>0</v>
      </c>
      <c r="L47" s="145">
        <v>0</v>
      </c>
    </row>
    <row r="48" spans="1:12" x14ac:dyDescent="0.25">
      <c r="A48" s="143" t="s">
        <v>500</v>
      </c>
      <c r="B48" s="144" t="s">
        <v>501</v>
      </c>
      <c r="C48" s="145">
        <v>0</v>
      </c>
      <c r="D48" s="145">
        <v>0</v>
      </c>
      <c r="E48" s="145">
        <v>-4551.58</v>
      </c>
      <c r="F48" s="145">
        <v>0</v>
      </c>
      <c r="G48" s="145">
        <v>27872.57</v>
      </c>
      <c r="H48" s="145">
        <v>14255.37</v>
      </c>
      <c r="I48" s="145">
        <v>27872.57</v>
      </c>
      <c r="J48" s="145">
        <v>18806.95</v>
      </c>
      <c r="K48" s="145">
        <v>9065.6200000000008</v>
      </c>
      <c r="L48" s="145">
        <v>0</v>
      </c>
    </row>
    <row r="49" spans="1:12" x14ac:dyDescent="0.25">
      <c r="A49" s="143" t="s">
        <v>502</v>
      </c>
      <c r="B49" s="144" t="s">
        <v>503</v>
      </c>
      <c r="C49" s="145">
        <v>0</v>
      </c>
      <c r="D49" s="145">
        <v>0</v>
      </c>
      <c r="E49" s="145">
        <v>4260.1499999999996</v>
      </c>
      <c r="F49" s="145">
        <v>0</v>
      </c>
      <c r="G49" s="145">
        <v>12961.06</v>
      </c>
      <c r="H49" s="145">
        <v>14759</v>
      </c>
      <c r="I49" s="145">
        <v>96451.21</v>
      </c>
      <c r="J49" s="145">
        <v>93989</v>
      </c>
      <c r="K49" s="145">
        <v>2462.21</v>
      </c>
      <c r="L49" s="145">
        <v>0</v>
      </c>
    </row>
    <row r="50" spans="1:12" x14ac:dyDescent="0.25">
      <c r="A50" s="143" t="s">
        <v>504</v>
      </c>
      <c r="B50" s="144" t="s">
        <v>505</v>
      </c>
      <c r="C50" s="145">
        <v>0</v>
      </c>
      <c r="D50" s="145">
        <v>0</v>
      </c>
      <c r="E50" s="145">
        <v>3310.31</v>
      </c>
      <c r="F50" s="145">
        <v>0</v>
      </c>
      <c r="G50" s="145">
        <v>6414.49</v>
      </c>
      <c r="H50" s="145">
        <v>7712.2</v>
      </c>
      <c r="I50" s="145">
        <v>63034.8</v>
      </c>
      <c r="J50" s="145">
        <v>61022.2</v>
      </c>
      <c r="K50" s="145">
        <v>2012.6</v>
      </c>
      <c r="L50" s="145">
        <v>0</v>
      </c>
    </row>
    <row r="51" spans="1:12" x14ac:dyDescent="0.25">
      <c r="A51" s="143" t="s">
        <v>506</v>
      </c>
      <c r="B51" s="144" t="s">
        <v>507</v>
      </c>
      <c r="C51" s="145">
        <v>0</v>
      </c>
      <c r="D51" s="145">
        <v>0</v>
      </c>
      <c r="E51" s="145">
        <v>8009.35</v>
      </c>
      <c r="F51" s="145">
        <v>0</v>
      </c>
      <c r="G51" s="145">
        <v>19905.54</v>
      </c>
      <c r="H51" s="145">
        <v>26490</v>
      </c>
      <c r="I51" s="145">
        <v>146970.96</v>
      </c>
      <c r="J51" s="145">
        <v>145546.07</v>
      </c>
      <c r="K51" s="145">
        <v>1424.89</v>
      </c>
      <c r="L51" s="145">
        <v>0</v>
      </c>
    </row>
    <row r="52" spans="1:12" x14ac:dyDescent="0.25">
      <c r="A52" s="143" t="s">
        <v>508</v>
      </c>
      <c r="B52" s="144" t="s">
        <v>509</v>
      </c>
      <c r="C52" s="145">
        <v>0</v>
      </c>
      <c r="D52" s="145">
        <v>0</v>
      </c>
      <c r="E52" s="145">
        <v>4025.1</v>
      </c>
      <c r="F52" s="145">
        <v>0</v>
      </c>
      <c r="G52" s="145">
        <v>8311.56</v>
      </c>
      <c r="H52" s="145">
        <v>10745</v>
      </c>
      <c r="I52" s="145">
        <v>53211.66</v>
      </c>
      <c r="J52" s="145">
        <v>51620</v>
      </c>
      <c r="K52" s="145">
        <v>1591.66</v>
      </c>
      <c r="L52" s="145">
        <v>0</v>
      </c>
    </row>
    <row r="53" spans="1:12" x14ac:dyDescent="0.25">
      <c r="A53" s="143" t="s">
        <v>510</v>
      </c>
      <c r="B53" s="144" t="s">
        <v>511</v>
      </c>
      <c r="C53" s="145">
        <v>0</v>
      </c>
      <c r="D53" s="145">
        <v>0</v>
      </c>
      <c r="E53" s="145">
        <v>4070.01</v>
      </c>
      <c r="F53" s="145">
        <v>0</v>
      </c>
      <c r="G53" s="145">
        <v>9151.65</v>
      </c>
      <c r="H53" s="145">
        <v>11315</v>
      </c>
      <c r="I53" s="145">
        <v>63333.16</v>
      </c>
      <c r="J53" s="145">
        <v>61426.5</v>
      </c>
      <c r="K53" s="145">
        <v>1906.66</v>
      </c>
      <c r="L53" s="145">
        <v>0</v>
      </c>
    </row>
    <row r="54" spans="1:12" x14ac:dyDescent="0.25">
      <c r="A54" s="143" t="s">
        <v>512</v>
      </c>
      <c r="B54" s="144" t="s">
        <v>513</v>
      </c>
      <c r="C54" s="145">
        <v>0</v>
      </c>
      <c r="D54" s="145">
        <v>0</v>
      </c>
      <c r="E54" s="145">
        <v>3331.23</v>
      </c>
      <c r="F54" s="145">
        <v>0</v>
      </c>
      <c r="G54" s="145">
        <v>4908.3500000000004</v>
      </c>
      <c r="H54" s="145">
        <v>6500</v>
      </c>
      <c r="I54" s="145">
        <v>9639.58</v>
      </c>
      <c r="J54" s="145">
        <v>7900</v>
      </c>
      <c r="K54" s="145">
        <v>1739.58</v>
      </c>
      <c r="L54" s="145">
        <v>0</v>
      </c>
    </row>
    <row r="55" spans="1:12" x14ac:dyDescent="0.25">
      <c r="A55" s="143" t="s">
        <v>514</v>
      </c>
      <c r="B55" s="144" t="s">
        <v>515</v>
      </c>
      <c r="C55" s="145">
        <v>0</v>
      </c>
      <c r="D55" s="145">
        <v>0</v>
      </c>
      <c r="E55" s="145">
        <v>-324.48</v>
      </c>
      <c r="F55" s="145">
        <v>0</v>
      </c>
      <c r="G55" s="145">
        <v>13067.08</v>
      </c>
      <c r="H55" s="145">
        <v>12742.6</v>
      </c>
      <c r="I55" s="145">
        <v>13067.08</v>
      </c>
      <c r="J55" s="145">
        <v>13067.08</v>
      </c>
      <c r="K55" s="145">
        <v>0</v>
      </c>
      <c r="L55" s="145">
        <v>0</v>
      </c>
    </row>
    <row r="56" spans="1:12" x14ac:dyDescent="0.25">
      <c r="A56" s="143" t="s">
        <v>516</v>
      </c>
      <c r="B56" s="144" t="s">
        <v>517</v>
      </c>
      <c r="C56" s="145">
        <v>0</v>
      </c>
      <c r="D56" s="145">
        <v>0</v>
      </c>
      <c r="E56" s="145">
        <v>2308.21</v>
      </c>
      <c r="F56" s="145">
        <v>0</v>
      </c>
      <c r="G56" s="145">
        <v>721.3</v>
      </c>
      <c r="H56" s="145">
        <v>2477.5100000000002</v>
      </c>
      <c r="I56" s="145">
        <v>5226.62</v>
      </c>
      <c r="J56" s="145">
        <v>4674.62</v>
      </c>
      <c r="K56" s="145">
        <v>552</v>
      </c>
      <c r="L56" s="145">
        <v>0</v>
      </c>
    </row>
    <row r="57" spans="1:12" x14ac:dyDescent="0.25">
      <c r="A57" s="143" t="s">
        <v>518</v>
      </c>
      <c r="B57" s="144" t="s">
        <v>519</v>
      </c>
      <c r="C57" s="145">
        <v>0</v>
      </c>
      <c r="D57" s="145">
        <v>0</v>
      </c>
      <c r="E57" s="145">
        <v>1679</v>
      </c>
      <c r="F57" s="145">
        <v>0</v>
      </c>
      <c r="G57" s="145">
        <v>654.4</v>
      </c>
      <c r="H57" s="145">
        <v>2566.2800000000002</v>
      </c>
      <c r="I57" s="145">
        <v>3932.14</v>
      </c>
      <c r="J57" s="145">
        <v>4165.0200000000004</v>
      </c>
      <c r="K57" s="145">
        <v>-232.88</v>
      </c>
      <c r="L57" s="145">
        <v>0</v>
      </c>
    </row>
    <row r="58" spans="1:12" x14ac:dyDescent="0.25">
      <c r="A58" s="143" t="s">
        <v>520</v>
      </c>
      <c r="B58" s="144" t="s">
        <v>521</v>
      </c>
      <c r="C58" s="145">
        <v>0</v>
      </c>
      <c r="D58" s="145">
        <v>0</v>
      </c>
      <c r="E58" s="145">
        <v>3008.47</v>
      </c>
      <c r="F58" s="145">
        <v>0</v>
      </c>
      <c r="G58" s="145">
        <v>1149.4000000000001</v>
      </c>
      <c r="H58" s="145">
        <v>3332.63</v>
      </c>
      <c r="I58" s="145">
        <v>6419.09</v>
      </c>
      <c r="J58" s="145">
        <v>5593.85</v>
      </c>
      <c r="K58" s="145">
        <v>825.24</v>
      </c>
      <c r="L58" s="145">
        <v>0</v>
      </c>
    </row>
    <row r="59" spans="1:12" x14ac:dyDescent="0.25">
      <c r="A59" s="143" t="s">
        <v>522</v>
      </c>
      <c r="B59" s="144" t="s">
        <v>523</v>
      </c>
      <c r="C59" s="145">
        <v>0</v>
      </c>
      <c r="D59" s="145">
        <v>0</v>
      </c>
      <c r="E59" s="145">
        <v>2049.56</v>
      </c>
      <c r="F59" s="145">
        <v>0</v>
      </c>
      <c r="G59" s="145">
        <v>807.8</v>
      </c>
      <c r="H59" s="145">
        <v>2213.77</v>
      </c>
      <c r="I59" s="145">
        <v>4293.8599999999997</v>
      </c>
      <c r="J59" s="145">
        <v>3650.27</v>
      </c>
      <c r="K59" s="145">
        <v>643.59</v>
      </c>
      <c r="L59" s="145">
        <v>0</v>
      </c>
    </row>
    <row r="60" spans="1:12" x14ac:dyDescent="0.25">
      <c r="A60" s="143" t="s">
        <v>524</v>
      </c>
      <c r="B60" s="144" t="s">
        <v>525</v>
      </c>
      <c r="C60" s="145">
        <v>0</v>
      </c>
      <c r="D60" s="145">
        <v>0</v>
      </c>
      <c r="E60" s="145">
        <v>1009.16</v>
      </c>
      <c r="F60" s="145">
        <v>0</v>
      </c>
      <c r="G60" s="145">
        <v>462.58</v>
      </c>
      <c r="H60" s="145">
        <v>1244.6600000000001</v>
      </c>
      <c r="I60" s="145">
        <v>2737.6</v>
      </c>
      <c r="J60" s="145">
        <v>2510.52</v>
      </c>
      <c r="K60" s="145">
        <v>227.08</v>
      </c>
      <c r="L60" s="145">
        <v>0</v>
      </c>
    </row>
    <row r="61" spans="1:12" x14ac:dyDescent="0.25">
      <c r="A61" s="143" t="s">
        <v>526</v>
      </c>
      <c r="B61" s="144" t="s">
        <v>527</v>
      </c>
      <c r="C61" s="145">
        <v>0</v>
      </c>
      <c r="D61" s="145">
        <v>0</v>
      </c>
      <c r="E61" s="145">
        <v>242.52</v>
      </c>
      <c r="F61" s="145">
        <v>0</v>
      </c>
      <c r="G61" s="145">
        <v>300.27999999999997</v>
      </c>
      <c r="H61" s="145">
        <v>379.14</v>
      </c>
      <c r="I61" s="145">
        <v>542.79999999999995</v>
      </c>
      <c r="J61" s="145">
        <v>379.14</v>
      </c>
      <c r="K61" s="145">
        <v>163.66</v>
      </c>
      <c r="L61" s="145">
        <v>0</v>
      </c>
    </row>
    <row r="62" spans="1:12" x14ac:dyDescent="0.25">
      <c r="A62" s="143" t="s">
        <v>528</v>
      </c>
      <c r="B62" s="144" t="s">
        <v>529</v>
      </c>
      <c r="C62" s="145">
        <v>0</v>
      </c>
      <c r="D62" s="145">
        <v>0</v>
      </c>
      <c r="E62" s="145">
        <v>-2.56</v>
      </c>
      <c r="F62" s="145">
        <v>0</v>
      </c>
      <c r="G62" s="145">
        <v>0</v>
      </c>
      <c r="H62" s="145">
        <v>0</v>
      </c>
      <c r="I62" s="145">
        <v>32.44</v>
      </c>
      <c r="J62" s="145">
        <v>35</v>
      </c>
      <c r="K62" s="145">
        <v>-2.56</v>
      </c>
      <c r="L62" s="145">
        <v>0</v>
      </c>
    </row>
    <row r="63" spans="1:12" x14ac:dyDescent="0.25">
      <c r="A63" s="143" t="s">
        <v>530</v>
      </c>
      <c r="B63" s="144" t="s">
        <v>531</v>
      </c>
      <c r="C63" s="145">
        <v>3749.73</v>
      </c>
      <c r="D63" s="145">
        <v>0</v>
      </c>
      <c r="E63" s="145">
        <v>4520.42</v>
      </c>
      <c r="F63" s="145">
        <v>0</v>
      </c>
      <c r="G63" s="145">
        <v>123291.62</v>
      </c>
      <c r="H63" s="145">
        <v>103717.39</v>
      </c>
      <c r="I63" s="145">
        <v>1237506.3899999999</v>
      </c>
      <c r="J63" s="145">
        <v>1217161.47</v>
      </c>
      <c r="K63" s="145">
        <v>24094.65</v>
      </c>
      <c r="L63" s="145">
        <v>0</v>
      </c>
    </row>
    <row r="64" spans="1:12" x14ac:dyDescent="0.25">
      <c r="A64" s="143" t="s">
        <v>532</v>
      </c>
      <c r="B64" s="144" t="s">
        <v>533</v>
      </c>
      <c r="C64" s="145">
        <v>0</v>
      </c>
      <c r="D64" s="145">
        <v>0</v>
      </c>
      <c r="E64" s="145">
        <v>22292.57</v>
      </c>
      <c r="F64" s="145">
        <v>0</v>
      </c>
      <c r="G64" s="145">
        <v>77325</v>
      </c>
      <c r="H64" s="145">
        <v>99617.57</v>
      </c>
      <c r="I64" s="145">
        <v>421307.57</v>
      </c>
      <c r="J64" s="145">
        <v>421307.57</v>
      </c>
      <c r="K64" s="145">
        <v>0</v>
      </c>
      <c r="L64" s="145">
        <v>0</v>
      </c>
    </row>
    <row r="65" spans="1:12" x14ac:dyDescent="0.25">
      <c r="A65" s="143" t="s">
        <v>534</v>
      </c>
      <c r="B65" s="144" t="s">
        <v>535</v>
      </c>
      <c r="C65" s="145">
        <v>0</v>
      </c>
      <c r="D65" s="145">
        <v>0</v>
      </c>
      <c r="E65" s="145">
        <v>744.87</v>
      </c>
      <c r="F65" s="145">
        <v>0</v>
      </c>
      <c r="G65" s="145">
        <v>23682.53</v>
      </c>
      <c r="H65" s="145">
        <v>23688.32</v>
      </c>
      <c r="I65" s="145">
        <v>147918.70000000001</v>
      </c>
      <c r="J65" s="145">
        <v>147179.62</v>
      </c>
      <c r="K65" s="145">
        <v>739.08</v>
      </c>
      <c r="L65" s="145">
        <v>0</v>
      </c>
    </row>
    <row r="66" spans="1:12" x14ac:dyDescent="0.25">
      <c r="A66" s="143" t="s">
        <v>536</v>
      </c>
      <c r="B66" s="144" t="s">
        <v>537</v>
      </c>
      <c r="C66" s="145">
        <v>0</v>
      </c>
      <c r="D66" s="145">
        <v>0</v>
      </c>
      <c r="E66" s="145">
        <v>1990</v>
      </c>
      <c r="F66" s="145">
        <v>0</v>
      </c>
      <c r="G66" s="145">
        <v>11780</v>
      </c>
      <c r="H66" s="145">
        <v>13770</v>
      </c>
      <c r="I66" s="145">
        <v>13770</v>
      </c>
      <c r="J66" s="145">
        <v>13770</v>
      </c>
      <c r="K66" s="145">
        <v>0</v>
      </c>
      <c r="L66" s="145">
        <v>0</v>
      </c>
    </row>
    <row r="67" spans="1:12" x14ac:dyDescent="0.25">
      <c r="A67" s="143" t="s">
        <v>538</v>
      </c>
      <c r="B67" s="144" t="s">
        <v>539</v>
      </c>
      <c r="C67" s="145">
        <v>0</v>
      </c>
      <c r="D67" s="145">
        <v>0</v>
      </c>
      <c r="E67" s="145">
        <v>24567.52</v>
      </c>
      <c r="F67" s="145">
        <v>0</v>
      </c>
      <c r="G67" s="145">
        <v>14565.39</v>
      </c>
      <c r="H67" s="145">
        <v>7007.68</v>
      </c>
      <c r="I67" s="145">
        <v>39734.33</v>
      </c>
      <c r="J67" s="145">
        <v>7609.1</v>
      </c>
      <c r="K67" s="145">
        <v>32125.23</v>
      </c>
      <c r="L67" s="145">
        <v>0</v>
      </c>
    </row>
    <row r="68" spans="1:12" x14ac:dyDescent="0.25">
      <c r="A68" s="143" t="s">
        <v>540</v>
      </c>
      <c r="B68" s="144" t="s">
        <v>541</v>
      </c>
      <c r="C68" s="145">
        <v>0</v>
      </c>
      <c r="D68" s="145">
        <v>0</v>
      </c>
      <c r="E68" s="145">
        <v>0</v>
      </c>
      <c r="F68" s="145">
        <v>0</v>
      </c>
      <c r="G68" s="145">
        <v>123018.61</v>
      </c>
      <c r="H68" s="145">
        <v>0</v>
      </c>
      <c r="I68" s="145">
        <v>123018.61</v>
      </c>
      <c r="J68" s="145">
        <v>0</v>
      </c>
      <c r="K68" s="145">
        <v>123018.61</v>
      </c>
      <c r="L68" s="145">
        <v>0</v>
      </c>
    </row>
    <row r="69" spans="1:12" x14ac:dyDescent="0.25">
      <c r="A69" s="143" t="s">
        <v>542</v>
      </c>
      <c r="B69" s="144" t="s">
        <v>543</v>
      </c>
      <c r="C69" s="145">
        <v>0</v>
      </c>
      <c r="D69" s="145">
        <v>0</v>
      </c>
      <c r="E69" s="145">
        <v>106325.67</v>
      </c>
      <c r="F69" s="145">
        <v>0</v>
      </c>
      <c r="G69" s="145">
        <v>1000</v>
      </c>
      <c r="H69" s="145">
        <v>107155.67</v>
      </c>
      <c r="I69" s="145">
        <v>115370.19</v>
      </c>
      <c r="J69" s="145">
        <v>115200.19</v>
      </c>
      <c r="K69" s="145">
        <v>170</v>
      </c>
      <c r="L69" s="145">
        <v>0</v>
      </c>
    </row>
    <row r="70" spans="1:12" x14ac:dyDescent="0.25">
      <c r="A70" s="143" t="s">
        <v>544</v>
      </c>
      <c r="B70" s="144" t="s">
        <v>545</v>
      </c>
      <c r="C70" s="145">
        <v>0</v>
      </c>
      <c r="D70" s="145">
        <v>0</v>
      </c>
      <c r="E70" s="145">
        <v>23732.03</v>
      </c>
      <c r="F70" s="145">
        <v>0</v>
      </c>
      <c r="G70" s="145">
        <v>0</v>
      </c>
      <c r="H70" s="145">
        <v>0</v>
      </c>
      <c r="I70" s="145">
        <v>23732.03</v>
      </c>
      <c r="J70" s="145">
        <v>0</v>
      </c>
      <c r="K70" s="145">
        <v>23732.03</v>
      </c>
      <c r="L70" s="145">
        <v>0</v>
      </c>
    </row>
    <row r="71" spans="1:12" x14ac:dyDescent="0.25">
      <c r="A71" s="143" t="s">
        <v>546</v>
      </c>
      <c r="B71" s="144" t="s">
        <v>547</v>
      </c>
      <c r="C71" s="145">
        <v>0</v>
      </c>
      <c r="D71" s="145">
        <v>0</v>
      </c>
      <c r="E71" s="145">
        <v>69021.14</v>
      </c>
      <c r="F71" s="145">
        <v>0</v>
      </c>
      <c r="G71" s="145">
        <v>843.12</v>
      </c>
      <c r="H71" s="145">
        <v>63552.12</v>
      </c>
      <c r="I71" s="145">
        <v>128919.37</v>
      </c>
      <c r="J71" s="145">
        <v>122607.23</v>
      </c>
      <c r="K71" s="145">
        <v>6312.14</v>
      </c>
      <c r="L71" s="145">
        <v>0</v>
      </c>
    </row>
    <row r="72" spans="1:12" x14ac:dyDescent="0.25">
      <c r="A72" s="143" t="s">
        <v>548</v>
      </c>
      <c r="B72" s="144" t="s">
        <v>549</v>
      </c>
      <c r="C72" s="145">
        <v>0</v>
      </c>
      <c r="D72" s="145">
        <v>0</v>
      </c>
      <c r="E72" s="145">
        <v>0</v>
      </c>
      <c r="F72" s="145">
        <v>0</v>
      </c>
      <c r="G72" s="145">
        <v>0</v>
      </c>
      <c r="H72" s="145">
        <v>0</v>
      </c>
      <c r="I72" s="145">
        <v>0</v>
      </c>
      <c r="J72" s="145">
        <v>0</v>
      </c>
      <c r="K72" s="145">
        <v>0</v>
      </c>
      <c r="L72" s="145">
        <v>0</v>
      </c>
    </row>
    <row r="73" spans="1:12" x14ac:dyDescent="0.25">
      <c r="A73" s="143" t="s">
        <v>550</v>
      </c>
      <c r="B73" s="144" t="s">
        <v>551</v>
      </c>
      <c r="C73" s="145">
        <v>0</v>
      </c>
      <c r="D73" s="145">
        <v>0</v>
      </c>
      <c r="E73" s="145">
        <v>0</v>
      </c>
      <c r="F73" s="145">
        <v>0</v>
      </c>
      <c r="G73" s="145">
        <v>0</v>
      </c>
      <c r="H73" s="145">
        <v>0</v>
      </c>
      <c r="I73" s="145">
        <v>0</v>
      </c>
      <c r="J73" s="145">
        <v>0</v>
      </c>
      <c r="K73" s="145">
        <v>0</v>
      </c>
      <c r="L73" s="145">
        <v>0</v>
      </c>
    </row>
    <row r="74" spans="1:12" x14ac:dyDescent="0.25">
      <c r="A74" s="143" t="s">
        <v>552</v>
      </c>
      <c r="B74" s="144" t="s">
        <v>553</v>
      </c>
      <c r="C74" s="145">
        <v>0</v>
      </c>
      <c r="D74" s="145">
        <v>0</v>
      </c>
      <c r="E74" s="145">
        <v>-60.06</v>
      </c>
      <c r="F74" s="145">
        <v>0</v>
      </c>
      <c r="G74" s="145">
        <v>60.06</v>
      </c>
      <c r="H74" s="145">
        <v>0</v>
      </c>
      <c r="I74" s="145">
        <v>3066.78</v>
      </c>
      <c r="J74" s="145">
        <v>3066.78</v>
      </c>
      <c r="K74" s="145">
        <v>0</v>
      </c>
      <c r="L74" s="145">
        <v>0</v>
      </c>
    </row>
    <row r="75" spans="1:12" x14ac:dyDescent="0.25">
      <c r="A75" s="143" t="s">
        <v>554</v>
      </c>
      <c r="B75" s="144" t="s">
        <v>555</v>
      </c>
      <c r="C75" s="145">
        <v>0</v>
      </c>
      <c r="D75" s="145">
        <v>0</v>
      </c>
      <c r="E75" s="145">
        <v>118.52</v>
      </c>
      <c r="F75" s="145">
        <v>0</v>
      </c>
      <c r="G75" s="145">
        <v>49.54</v>
      </c>
      <c r="H75" s="145">
        <v>75.36</v>
      </c>
      <c r="I75" s="145">
        <v>232.5</v>
      </c>
      <c r="J75" s="145">
        <v>139.80000000000001</v>
      </c>
      <c r="K75" s="145">
        <v>92.7</v>
      </c>
      <c r="L75" s="145">
        <v>0</v>
      </c>
    </row>
    <row r="76" spans="1:12" x14ac:dyDescent="0.25">
      <c r="A76" s="143" t="s">
        <v>556</v>
      </c>
      <c r="B76" s="144" t="s">
        <v>557</v>
      </c>
      <c r="C76" s="145">
        <v>0</v>
      </c>
      <c r="D76" s="145">
        <v>0</v>
      </c>
      <c r="E76" s="145">
        <v>411.34</v>
      </c>
      <c r="F76" s="145">
        <v>0</v>
      </c>
      <c r="G76" s="145">
        <v>641.4</v>
      </c>
      <c r="H76" s="145">
        <v>987.06</v>
      </c>
      <c r="I76" s="145">
        <v>2413.67</v>
      </c>
      <c r="J76" s="145">
        <v>2347.9899999999998</v>
      </c>
      <c r="K76" s="145">
        <v>65.680000000000007</v>
      </c>
      <c r="L76" s="145">
        <v>0</v>
      </c>
    </row>
    <row r="77" spans="1:12" x14ac:dyDescent="0.25">
      <c r="A77" s="143" t="s">
        <v>558</v>
      </c>
      <c r="B77" s="144" t="s">
        <v>559</v>
      </c>
      <c r="C77" s="145">
        <v>0</v>
      </c>
      <c r="D77" s="145">
        <v>0</v>
      </c>
      <c r="E77" s="145">
        <v>8380.74</v>
      </c>
      <c r="F77" s="145">
        <v>0</v>
      </c>
      <c r="G77" s="145">
        <v>12213.99</v>
      </c>
      <c r="H77" s="145">
        <v>14982.88</v>
      </c>
      <c r="I77" s="145">
        <v>20973.42</v>
      </c>
      <c r="J77" s="145">
        <v>15361.57</v>
      </c>
      <c r="K77" s="145">
        <v>5611.85</v>
      </c>
      <c r="L77" s="145">
        <v>0</v>
      </c>
    </row>
    <row r="78" spans="1:12" x14ac:dyDescent="0.25">
      <c r="A78" s="143" t="s">
        <v>560</v>
      </c>
      <c r="B78" s="144" t="s">
        <v>561</v>
      </c>
      <c r="C78" s="145">
        <v>0</v>
      </c>
      <c r="D78" s="145">
        <v>2084.7600000000002</v>
      </c>
      <c r="E78" s="145">
        <v>0</v>
      </c>
      <c r="F78" s="145">
        <v>85721.16</v>
      </c>
      <c r="G78" s="145">
        <v>45325.03</v>
      </c>
      <c r="H78" s="145">
        <v>96039.33</v>
      </c>
      <c r="I78" s="145">
        <v>526848.26</v>
      </c>
      <c r="J78" s="145">
        <v>661198.96</v>
      </c>
      <c r="K78" s="145">
        <v>0</v>
      </c>
      <c r="L78" s="145">
        <v>136435.46</v>
      </c>
    </row>
    <row r="79" spans="1:12" x14ac:dyDescent="0.25">
      <c r="A79" s="143" t="s">
        <v>562</v>
      </c>
      <c r="B79" s="144" t="s">
        <v>563</v>
      </c>
      <c r="C79" s="145">
        <v>0</v>
      </c>
      <c r="D79" s="145">
        <v>0</v>
      </c>
      <c r="E79" s="145">
        <v>0</v>
      </c>
      <c r="F79" s="145">
        <v>100707.86</v>
      </c>
      <c r="G79" s="145">
        <v>3058.59</v>
      </c>
      <c r="H79" s="145">
        <v>9228.76</v>
      </c>
      <c r="I79" s="145">
        <v>76124.509999999995</v>
      </c>
      <c r="J79" s="145">
        <v>183002.54</v>
      </c>
      <c r="K79" s="145">
        <v>0</v>
      </c>
      <c r="L79" s="145">
        <v>106878.03</v>
      </c>
    </row>
    <row r="80" spans="1:12" x14ac:dyDescent="0.25">
      <c r="A80" s="143" t="s">
        <v>564</v>
      </c>
      <c r="B80" s="144" t="s">
        <v>565</v>
      </c>
      <c r="C80" s="145">
        <v>0</v>
      </c>
      <c r="D80" s="145">
        <v>0</v>
      </c>
      <c r="E80" s="145">
        <v>0</v>
      </c>
      <c r="F80" s="145">
        <v>0</v>
      </c>
      <c r="G80" s="145">
        <v>0</v>
      </c>
      <c r="H80" s="145">
        <v>13350.37</v>
      </c>
      <c r="I80" s="145">
        <v>0</v>
      </c>
      <c r="J80" s="145">
        <v>13350.37</v>
      </c>
      <c r="K80" s="145">
        <v>0</v>
      </c>
      <c r="L80" s="145">
        <v>13350.37</v>
      </c>
    </row>
    <row r="81" spans="1:12" x14ac:dyDescent="0.25">
      <c r="A81" s="143" t="s">
        <v>566</v>
      </c>
      <c r="B81" s="144" t="s">
        <v>567</v>
      </c>
      <c r="C81" s="145">
        <v>0</v>
      </c>
      <c r="D81" s="145">
        <v>0</v>
      </c>
      <c r="E81" s="145">
        <v>0</v>
      </c>
      <c r="F81" s="145">
        <v>0</v>
      </c>
      <c r="G81" s="145">
        <v>0</v>
      </c>
      <c r="H81" s="145">
        <v>3360</v>
      </c>
      <c r="I81" s="145">
        <v>25200</v>
      </c>
      <c r="J81" s="145">
        <v>28560</v>
      </c>
      <c r="K81" s="145">
        <v>0</v>
      </c>
      <c r="L81" s="145">
        <v>3360</v>
      </c>
    </row>
    <row r="82" spans="1:12" x14ac:dyDescent="0.25">
      <c r="A82" s="143" t="s">
        <v>568</v>
      </c>
      <c r="B82" s="144" t="s">
        <v>569</v>
      </c>
      <c r="C82" s="145">
        <v>0</v>
      </c>
      <c r="D82" s="145">
        <v>0</v>
      </c>
      <c r="E82" s="145">
        <v>0</v>
      </c>
      <c r="F82" s="145">
        <v>4800</v>
      </c>
      <c r="G82" s="145">
        <v>4800</v>
      </c>
      <c r="H82" s="145">
        <v>4800</v>
      </c>
      <c r="I82" s="145">
        <v>38090.32</v>
      </c>
      <c r="J82" s="145">
        <v>42890.32</v>
      </c>
      <c r="K82" s="145">
        <v>0</v>
      </c>
      <c r="L82" s="145">
        <v>4800</v>
      </c>
    </row>
    <row r="83" spans="1:12" x14ac:dyDescent="0.25">
      <c r="A83" s="143" t="s">
        <v>570</v>
      </c>
      <c r="B83" s="144" t="s">
        <v>571</v>
      </c>
      <c r="C83" s="145">
        <v>0</v>
      </c>
      <c r="D83" s="145">
        <v>0</v>
      </c>
      <c r="E83" s="145">
        <v>0</v>
      </c>
      <c r="F83" s="145">
        <v>-2599.9899999999998</v>
      </c>
      <c r="G83" s="145">
        <v>0</v>
      </c>
      <c r="H83" s="145">
        <v>2600</v>
      </c>
      <c r="I83" s="145">
        <v>9200</v>
      </c>
      <c r="J83" s="145">
        <v>9200.01</v>
      </c>
      <c r="K83" s="145">
        <v>0</v>
      </c>
      <c r="L83" s="145">
        <v>0.01</v>
      </c>
    </row>
    <row r="84" spans="1:12" x14ac:dyDescent="0.25">
      <c r="A84" s="143" t="s">
        <v>572</v>
      </c>
      <c r="B84" s="144" t="s">
        <v>573</v>
      </c>
      <c r="C84" s="145">
        <v>0</v>
      </c>
      <c r="D84" s="145">
        <v>0</v>
      </c>
      <c r="E84" s="145">
        <v>0</v>
      </c>
      <c r="F84" s="145">
        <v>0</v>
      </c>
      <c r="G84" s="145">
        <v>0</v>
      </c>
      <c r="H84" s="145">
        <v>3991.09</v>
      </c>
      <c r="I84" s="145">
        <v>0</v>
      </c>
      <c r="J84" s="145">
        <v>3991.09</v>
      </c>
      <c r="K84" s="145">
        <v>0</v>
      </c>
      <c r="L84" s="145">
        <v>3991.09</v>
      </c>
    </row>
    <row r="85" spans="1:12" x14ac:dyDescent="0.25">
      <c r="A85" s="143" t="s">
        <v>574</v>
      </c>
      <c r="B85" s="144" t="s">
        <v>575</v>
      </c>
      <c r="C85" s="145">
        <v>0</v>
      </c>
      <c r="D85" s="145">
        <v>0</v>
      </c>
      <c r="E85" s="145">
        <v>0</v>
      </c>
      <c r="F85" s="145">
        <v>0</v>
      </c>
      <c r="G85" s="145">
        <v>0</v>
      </c>
      <c r="H85" s="145">
        <v>2467.81</v>
      </c>
      <c r="I85" s="145">
        <v>0</v>
      </c>
      <c r="J85" s="145">
        <v>2467.81</v>
      </c>
      <c r="K85" s="145">
        <v>0</v>
      </c>
      <c r="L85" s="145">
        <v>2467.81</v>
      </c>
    </row>
    <row r="86" spans="1:12" x14ac:dyDescent="0.25">
      <c r="A86" s="143" t="s">
        <v>576</v>
      </c>
      <c r="B86" s="144" t="s">
        <v>577</v>
      </c>
      <c r="C86" s="145">
        <v>0</v>
      </c>
      <c r="D86" s="145">
        <v>0</v>
      </c>
      <c r="E86" s="145">
        <v>0</v>
      </c>
      <c r="F86" s="145">
        <v>119705.62</v>
      </c>
      <c r="G86" s="145">
        <v>170165.83</v>
      </c>
      <c r="H86" s="145">
        <v>50460.21</v>
      </c>
      <c r="I86" s="145">
        <v>267353.55</v>
      </c>
      <c r="J86" s="145">
        <v>267353.55</v>
      </c>
      <c r="K86" s="145">
        <v>0</v>
      </c>
      <c r="L86" s="145">
        <v>0</v>
      </c>
    </row>
    <row r="87" spans="1:12" x14ac:dyDescent="0.25">
      <c r="A87" s="143" t="s">
        <v>578</v>
      </c>
      <c r="B87" s="144" t="s">
        <v>579</v>
      </c>
      <c r="C87" s="145">
        <v>0</v>
      </c>
      <c r="D87" s="145">
        <v>0</v>
      </c>
      <c r="E87" s="145">
        <v>0</v>
      </c>
      <c r="F87" s="145">
        <v>-94235.97</v>
      </c>
      <c r="G87" s="145">
        <v>34171.31</v>
      </c>
      <c r="H87" s="145">
        <v>153384.91</v>
      </c>
      <c r="I87" s="145">
        <v>198536.99</v>
      </c>
      <c r="J87" s="145">
        <v>223514.62</v>
      </c>
      <c r="K87" s="145">
        <v>0</v>
      </c>
      <c r="L87" s="145">
        <v>24977.63</v>
      </c>
    </row>
    <row r="88" spans="1:12" x14ac:dyDescent="0.25">
      <c r="A88" s="143" t="s">
        <v>580</v>
      </c>
      <c r="B88" s="144" t="s">
        <v>581</v>
      </c>
      <c r="C88" s="145">
        <v>0</v>
      </c>
      <c r="D88" s="145">
        <v>0</v>
      </c>
      <c r="E88" s="145">
        <v>0</v>
      </c>
      <c r="F88" s="145">
        <v>316.3</v>
      </c>
      <c r="G88" s="145">
        <v>513.19000000000005</v>
      </c>
      <c r="H88" s="145">
        <v>196.89</v>
      </c>
      <c r="I88" s="145">
        <v>513.19000000000005</v>
      </c>
      <c r="J88" s="145">
        <v>513.19000000000005</v>
      </c>
      <c r="K88" s="145">
        <v>0</v>
      </c>
      <c r="L88" s="145">
        <v>0</v>
      </c>
    </row>
    <row r="89" spans="1:12" x14ac:dyDescent="0.25">
      <c r="A89" s="143" t="s">
        <v>582</v>
      </c>
      <c r="B89" s="144" t="s">
        <v>583</v>
      </c>
      <c r="C89" s="145">
        <v>0</v>
      </c>
      <c r="D89" s="145">
        <v>0</v>
      </c>
      <c r="E89" s="145">
        <v>-4314.75</v>
      </c>
      <c r="F89" s="145">
        <v>0</v>
      </c>
      <c r="G89" s="145">
        <v>6118.58</v>
      </c>
      <c r="H89" s="145">
        <v>1803.83</v>
      </c>
      <c r="I89" s="145">
        <v>6842.62</v>
      </c>
      <c r="J89" s="145">
        <v>6842.62</v>
      </c>
      <c r="K89" s="145">
        <v>0</v>
      </c>
      <c r="L89" s="145">
        <v>0</v>
      </c>
    </row>
    <row r="90" spans="1:12" x14ac:dyDescent="0.25">
      <c r="A90" s="143" t="s">
        <v>584</v>
      </c>
      <c r="B90" s="144" t="s">
        <v>585</v>
      </c>
      <c r="C90" s="145">
        <v>0</v>
      </c>
      <c r="D90" s="145">
        <v>0</v>
      </c>
      <c r="E90" s="145">
        <v>1600</v>
      </c>
      <c r="F90" s="145">
        <v>0</v>
      </c>
      <c r="G90" s="145">
        <v>400</v>
      </c>
      <c r="H90" s="145">
        <v>2000</v>
      </c>
      <c r="I90" s="145">
        <v>2000</v>
      </c>
      <c r="J90" s="145">
        <v>2000</v>
      </c>
      <c r="K90" s="145">
        <v>0</v>
      </c>
      <c r="L90" s="145">
        <v>0</v>
      </c>
    </row>
    <row r="91" spans="1:12" x14ac:dyDescent="0.25">
      <c r="A91" s="143" t="s">
        <v>586</v>
      </c>
      <c r="B91" s="144" t="s">
        <v>587</v>
      </c>
      <c r="C91" s="145">
        <v>0</v>
      </c>
      <c r="D91" s="145">
        <v>0</v>
      </c>
      <c r="E91" s="145">
        <v>0</v>
      </c>
      <c r="F91" s="145">
        <v>21598.62</v>
      </c>
      <c r="G91" s="145">
        <v>26113.66</v>
      </c>
      <c r="H91" s="145">
        <v>4515.04</v>
      </c>
      <c r="I91" s="145">
        <v>26113.66</v>
      </c>
      <c r="J91" s="145">
        <v>26113.66</v>
      </c>
      <c r="K91" s="145">
        <v>0</v>
      </c>
      <c r="L91" s="145">
        <v>0</v>
      </c>
    </row>
    <row r="92" spans="1:12" x14ac:dyDescent="0.25">
      <c r="A92" s="143" t="s">
        <v>588</v>
      </c>
      <c r="B92" s="144" t="s">
        <v>589</v>
      </c>
      <c r="C92" s="145">
        <v>0</v>
      </c>
      <c r="D92" s="145">
        <v>0</v>
      </c>
      <c r="E92" s="145">
        <v>0</v>
      </c>
      <c r="F92" s="145">
        <v>23055.74</v>
      </c>
      <c r="G92" s="145">
        <v>9879.4</v>
      </c>
      <c r="H92" s="145">
        <v>11635.65</v>
      </c>
      <c r="I92" s="145">
        <v>44196.69</v>
      </c>
      <c r="J92" s="145">
        <v>69008.679999999993</v>
      </c>
      <c r="K92" s="145">
        <v>0</v>
      </c>
      <c r="L92" s="145">
        <v>24811.99</v>
      </c>
    </row>
    <row r="93" spans="1:12" x14ac:dyDescent="0.25">
      <c r="A93" s="143" t="s">
        <v>590</v>
      </c>
      <c r="B93" s="144" t="s">
        <v>591</v>
      </c>
      <c r="C93" s="145">
        <v>0</v>
      </c>
      <c r="D93" s="145">
        <v>0</v>
      </c>
      <c r="E93" s="145">
        <v>0</v>
      </c>
      <c r="F93" s="145">
        <v>-11315.94</v>
      </c>
      <c r="G93" s="145">
        <v>3850.73</v>
      </c>
      <c r="H93" s="145">
        <v>21240.83</v>
      </c>
      <c r="I93" s="145">
        <v>15913.22</v>
      </c>
      <c r="J93" s="145">
        <v>21987.38</v>
      </c>
      <c r="K93" s="145">
        <v>0</v>
      </c>
      <c r="L93" s="145">
        <v>6074.16</v>
      </c>
    </row>
    <row r="94" spans="1:12" x14ac:dyDescent="0.25">
      <c r="A94" s="143" t="s">
        <v>592</v>
      </c>
      <c r="B94" s="144" t="s">
        <v>593</v>
      </c>
      <c r="C94" s="145">
        <v>0</v>
      </c>
      <c r="D94" s="145">
        <v>0</v>
      </c>
      <c r="E94" s="145">
        <v>0</v>
      </c>
      <c r="F94" s="145">
        <v>-1236.58</v>
      </c>
      <c r="G94" s="145">
        <v>0</v>
      </c>
      <c r="H94" s="145">
        <v>3848.05</v>
      </c>
      <c r="I94" s="145">
        <v>1474.58</v>
      </c>
      <c r="J94" s="145">
        <v>4086.05</v>
      </c>
      <c r="K94" s="145">
        <v>0</v>
      </c>
      <c r="L94" s="145">
        <v>2611.4699999999998</v>
      </c>
    </row>
    <row r="95" spans="1:12" x14ac:dyDescent="0.25">
      <c r="A95" s="143" t="s">
        <v>594</v>
      </c>
      <c r="B95" s="144" t="s">
        <v>595</v>
      </c>
      <c r="C95" s="145">
        <v>0</v>
      </c>
      <c r="D95" s="145">
        <v>0</v>
      </c>
      <c r="E95" s="145">
        <v>0</v>
      </c>
      <c r="F95" s="145">
        <v>0</v>
      </c>
      <c r="G95" s="145">
        <v>0</v>
      </c>
      <c r="H95" s="145">
        <v>1254.0899999999999</v>
      </c>
      <c r="I95" s="145">
        <v>0</v>
      </c>
      <c r="J95" s="145">
        <v>1254.0899999999999</v>
      </c>
      <c r="K95" s="145">
        <v>0</v>
      </c>
      <c r="L95" s="145">
        <v>1254.0899999999999</v>
      </c>
    </row>
    <row r="96" spans="1:12" x14ac:dyDescent="0.25">
      <c r="A96" s="143" t="s">
        <v>596</v>
      </c>
      <c r="B96" s="144" t="s">
        <v>597</v>
      </c>
      <c r="C96" s="145">
        <v>-720</v>
      </c>
      <c r="D96" s="145">
        <v>0</v>
      </c>
      <c r="E96" s="145">
        <v>0</v>
      </c>
      <c r="F96" s="145">
        <v>0</v>
      </c>
      <c r="G96" s="145">
        <v>0</v>
      </c>
      <c r="H96" s="145">
        <v>960</v>
      </c>
      <c r="I96" s="145">
        <v>720</v>
      </c>
      <c r="J96" s="145">
        <v>960</v>
      </c>
      <c r="K96" s="145">
        <v>-960</v>
      </c>
      <c r="L96" s="145">
        <v>0</v>
      </c>
    </row>
    <row r="97" spans="1:12" x14ac:dyDescent="0.25">
      <c r="A97" s="143" t="s">
        <v>598</v>
      </c>
      <c r="B97" s="144" t="s">
        <v>599</v>
      </c>
      <c r="C97" s="145">
        <v>0</v>
      </c>
      <c r="D97" s="145">
        <v>0</v>
      </c>
      <c r="E97" s="145">
        <v>0</v>
      </c>
      <c r="F97" s="145">
        <v>13924.41</v>
      </c>
      <c r="G97" s="145">
        <v>17058.419999999998</v>
      </c>
      <c r="H97" s="145">
        <v>3134.01</v>
      </c>
      <c r="I97" s="145">
        <v>17465.21</v>
      </c>
      <c r="J97" s="145">
        <v>17465.21</v>
      </c>
      <c r="K97" s="145">
        <v>0</v>
      </c>
      <c r="L97" s="145">
        <v>0</v>
      </c>
    </row>
    <row r="98" spans="1:12" x14ac:dyDescent="0.25">
      <c r="A98" s="143" t="s">
        <v>600</v>
      </c>
      <c r="B98" s="144" t="s">
        <v>601</v>
      </c>
      <c r="C98" s="145">
        <v>0</v>
      </c>
      <c r="D98" s="145">
        <v>0</v>
      </c>
      <c r="E98" s="145">
        <v>8011.63</v>
      </c>
      <c r="F98" s="145">
        <v>0</v>
      </c>
      <c r="G98" s="145">
        <v>2821.46</v>
      </c>
      <c r="H98" s="145">
        <v>16972.78</v>
      </c>
      <c r="I98" s="145">
        <v>11538.45</v>
      </c>
      <c r="J98" s="145">
        <v>17678.14</v>
      </c>
      <c r="K98" s="145">
        <v>-6139.69</v>
      </c>
      <c r="L98" s="145">
        <v>0</v>
      </c>
    </row>
    <row r="99" spans="1:12" x14ac:dyDescent="0.25">
      <c r="A99" s="143" t="s">
        <v>602</v>
      </c>
      <c r="B99" s="144" t="s">
        <v>603</v>
      </c>
      <c r="C99" s="145">
        <v>0</v>
      </c>
      <c r="D99" s="145">
        <v>0</v>
      </c>
      <c r="E99" s="145">
        <v>0</v>
      </c>
      <c r="F99" s="145">
        <v>13.82</v>
      </c>
      <c r="G99" s="145">
        <v>173.65</v>
      </c>
      <c r="H99" s="145">
        <v>162.94999999999999</v>
      </c>
      <c r="I99" s="145">
        <v>627.25</v>
      </c>
      <c r="J99" s="145">
        <v>630.37</v>
      </c>
      <c r="K99" s="145">
        <v>0</v>
      </c>
      <c r="L99" s="145">
        <v>3.12</v>
      </c>
    </row>
    <row r="100" spans="1:12" x14ac:dyDescent="0.25">
      <c r="A100" s="143" t="s">
        <v>604</v>
      </c>
      <c r="B100" s="144" t="s">
        <v>605</v>
      </c>
      <c r="C100" s="145">
        <v>0</v>
      </c>
      <c r="D100" s="145">
        <v>0</v>
      </c>
      <c r="E100" s="145">
        <v>0</v>
      </c>
      <c r="F100" s="145">
        <v>2835.09</v>
      </c>
      <c r="G100" s="145">
        <v>17027.82</v>
      </c>
      <c r="H100" s="145">
        <v>14192.73</v>
      </c>
      <c r="I100" s="145">
        <v>115809.83</v>
      </c>
      <c r="J100" s="145">
        <v>115809.83</v>
      </c>
      <c r="K100" s="145">
        <v>0</v>
      </c>
      <c r="L100" s="145">
        <v>0</v>
      </c>
    </row>
    <row r="101" spans="1:12" x14ac:dyDescent="0.25">
      <c r="A101" s="143" t="s">
        <v>606</v>
      </c>
      <c r="B101" s="144" t="s">
        <v>607</v>
      </c>
      <c r="C101" s="145">
        <v>0</v>
      </c>
      <c r="D101" s="145">
        <v>0</v>
      </c>
      <c r="E101" s="145">
        <v>0</v>
      </c>
      <c r="F101" s="145">
        <v>118.77</v>
      </c>
      <c r="G101" s="145">
        <v>2114.6</v>
      </c>
      <c r="H101" s="145">
        <v>1995.83</v>
      </c>
      <c r="I101" s="145">
        <v>32747.200000000001</v>
      </c>
      <c r="J101" s="145">
        <v>32747.200000000001</v>
      </c>
      <c r="K101" s="145">
        <v>0</v>
      </c>
      <c r="L101" s="145">
        <v>0</v>
      </c>
    </row>
    <row r="102" spans="1:12" x14ac:dyDescent="0.25">
      <c r="A102" s="143" t="s">
        <v>608</v>
      </c>
      <c r="B102" s="144" t="s">
        <v>609</v>
      </c>
      <c r="C102" s="145">
        <v>0</v>
      </c>
      <c r="D102" s="145">
        <v>-525.57000000000005</v>
      </c>
      <c r="E102" s="145">
        <v>0</v>
      </c>
      <c r="F102" s="145">
        <v>9542.42</v>
      </c>
      <c r="G102" s="145">
        <v>4411.47</v>
      </c>
      <c r="H102" s="145">
        <v>3049.78</v>
      </c>
      <c r="I102" s="145">
        <v>36278.19</v>
      </c>
      <c r="J102" s="145">
        <v>44984.49</v>
      </c>
      <c r="K102" s="145">
        <v>0</v>
      </c>
      <c r="L102" s="145">
        <v>8180.73</v>
      </c>
    </row>
    <row r="103" spans="1:12" x14ac:dyDescent="0.25">
      <c r="A103" s="143" t="s">
        <v>610</v>
      </c>
      <c r="B103" s="144" t="s">
        <v>611</v>
      </c>
      <c r="C103" s="145">
        <v>0</v>
      </c>
      <c r="D103" s="145">
        <v>0</v>
      </c>
      <c r="E103" s="145">
        <v>0</v>
      </c>
      <c r="F103" s="145">
        <v>27.38</v>
      </c>
      <c r="G103" s="145">
        <v>17405.46</v>
      </c>
      <c r="H103" s="145">
        <v>17405.46</v>
      </c>
      <c r="I103" s="145">
        <v>107821.57</v>
      </c>
      <c r="J103" s="145">
        <v>107848.95</v>
      </c>
      <c r="K103" s="145">
        <v>0</v>
      </c>
      <c r="L103" s="145">
        <v>27.38</v>
      </c>
    </row>
    <row r="104" spans="1:12" x14ac:dyDescent="0.25">
      <c r="A104" s="143" t="s">
        <v>612</v>
      </c>
      <c r="B104" s="144" t="s">
        <v>613</v>
      </c>
      <c r="C104" s="145">
        <v>0</v>
      </c>
      <c r="D104" s="145">
        <v>0</v>
      </c>
      <c r="E104" s="145">
        <v>0</v>
      </c>
      <c r="F104" s="145">
        <v>-118.77</v>
      </c>
      <c r="G104" s="145">
        <v>1995.83</v>
      </c>
      <c r="H104" s="145">
        <v>2114.6</v>
      </c>
      <c r="I104" s="145">
        <v>32747.200000000001</v>
      </c>
      <c r="J104" s="145">
        <v>32747.200000000001</v>
      </c>
      <c r="K104" s="145">
        <v>0</v>
      </c>
      <c r="L104" s="145">
        <v>0</v>
      </c>
    </row>
    <row r="105" spans="1:12" x14ac:dyDescent="0.25">
      <c r="A105" s="143" t="s">
        <v>614</v>
      </c>
      <c r="B105" s="144" t="s">
        <v>615</v>
      </c>
      <c r="C105" s="145">
        <v>0</v>
      </c>
      <c r="D105" s="145">
        <v>5000</v>
      </c>
      <c r="E105" s="145">
        <v>0</v>
      </c>
      <c r="F105" s="145">
        <v>11000</v>
      </c>
      <c r="G105" s="145">
        <v>11000</v>
      </c>
      <c r="H105" s="145">
        <v>0</v>
      </c>
      <c r="I105" s="145">
        <v>11000</v>
      </c>
      <c r="J105" s="145">
        <v>6000</v>
      </c>
      <c r="K105" s="145">
        <v>0</v>
      </c>
      <c r="L105" s="145">
        <v>0</v>
      </c>
    </row>
    <row r="106" spans="1:12" x14ac:dyDescent="0.25">
      <c r="A106" s="143" t="s">
        <v>616</v>
      </c>
      <c r="B106" s="144" t="s">
        <v>617</v>
      </c>
      <c r="C106" s="145">
        <v>0</v>
      </c>
      <c r="D106" s="145">
        <v>0</v>
      </c>
      <c r="E106" s="145">
        <v>0</v>
      </c>
      <c r="F106" s="145">
        <v>-999.99</v>
      </c>
      <c r="G106" s="145">
        <v>0</v>
      </c>
      <c r="H106" s="145">
        <v>999.99</v>
      </c>
      <c r="I106" s="145">
        <v>1306.18</v>
      </c>
      <c r="J106" s="145">
        <v>1306.18</v>
      </c>
      <c r="K106" s="145">
        <v>0</v>
      </c>
      <c r="L106" s="145">
        <v>0</v>
      </c>
    </row>
    <row r="107" spans="1:12" x14ac:dyDescent="0.25">
      <c r="A107" s="143" t="s">
        <v>618</v>
      </c>
      <c r="B107" s="144" t="s">
        <v>619</v>
      </c>
      <c r="C107" s="145">
        <v>0</v>
      </c>
      <c r="D107" s="145">
        <v>0</v>
      </c>
      <c r="E107" s="145">
        <v>0</v>
      </c>
      <c r="F107" s="145">
        <v>-7812.2</v>
      </c>
      <c r="G107" s="145">
        <v>939.62</v>
      </c>
      <c r="H107" s="145">
        <v>8751.82</v>
      </c>
      <c r="I107" s="145">
        <v>13710.71</v>
      </c>
      <c r="J107" s="145">
        <v>13710.71</v>
      </c>
      <c r="K107" s="145">
        <v>0</v>
      </c>
      <c r="L107" s="145">
        <v>0</v>
      </c>
    </row>
    <row r="108" spans="1:12" x14ac:dyDescent="0.25">
      <c r="A108" s="143" t="s">
        <v>620</v>
      </c>
      <c r="B108" s="144" t="s">
        <v>621</v>
      </c>
      <c r="C108" s="145">
        <v>0</v>
      </c>
      <c r="D108" s="145">
        <v>0</v>
      </c>
      <c r="E108" s="145">
        <v>0</v>
      </c>
      <c r="F108" s="145">
        <v>-60.06</v>
      </c>
      <c r="G108" s="145">
        <v>0</v>
      </c>
      <c r="H108" s="145">
        <v>60.06</v>
      </c>
      <c r="I108" s="145">
        <v>60.06</v>
      </c>
      <c r="J108" s="145">
        <v>60.06</v>
      </c>
      <c r="K108" s="145">
        <v>0</v>
      </c>
      <c r="L108" s="145">
        <v>0</v>
      </c>
    </row>
    <row r="109" spans="1:12" x14ac:dyDescent="0.25">
      <c r="A109" s="143" t="s">
        <v>622</v>
      </c>
      <c r="B109" s="144" t="s">
        <v>623</v>
      </c>
      <c r="C109" s="145">
        <v>0</v>
      </c>
      <c r="D109" s="145">
        <v>0</v>
      </c>
      <c r="E109" s="145">
        <v>0</v>
      </c>
      <c r="F109" s="145">
        <v>35000</v>
      </c>
      <c r="G109" s="145">
        <v>0</v>
      </c>
      <c r="H109" s="145">
        <v>0</v>
      </c>
      <c r="I109" s="145">
        <v>0</v>
      </c>
      <c r="J109" s="145">
        <v>35000</v>
      </c>
      <c r="K109" s="145">
        <v>0</v>
      </c>
      <c r="L109" s="145">
        <v>35000</v>
      </c>
    </row>
    <row r="110" spans="1:12" x14ac:dyDescent="0.25">
      <c r="A110" s="143" t="s">
        <v>624</v>
      </c>
      <c r="B110" s="144" t="s">
        <v>625</v>
      </c>
      <c r="C110" s="145">
        <v>0</v>
      </c>
      <c r="D110" s="145">
        <v>0</v>
      </c>
      <c r="E110" s="145">
        <v>0</v>
      </c>
      <c r="F110" s="145">
        <v>70000</v>
      </c>
      <c r="G110" s="145">
        <v>0</v>
      </c>
      <c r="H110" s="145">
        <v>0</v>
      </c>
      <c r="I110" s="145">
        <v>0</v>
      </c>
      <c r="J110" s="145">
        <v>70000</v>
      </c>
      <c r="K110" s="145">
        <v>0</v>
      </c>
      <c r="L110" s="145">
        <v>70000</v>
      </c>
    </row>
    <row r="111" spans="1:12" x14ac:dyDescent="0.25">
      <c r="A111" s="143" t="s">
        <v>626</v>
      </c>
      <c r="B111" s="144" t="s">
        <v>627</v>
      </c>
      <c r="C111" s="145">
        <v>0</v>
      </c>
      <c r="D111" s="145">
        <v>0</v>
      </c>
      <c r="E111" s="145">
        <v>0</v>
      </c>
      <c r="F111" s="145">
        <v>12500</v>
      </c>
      <c r="G111" s="145">
        <v>0</v>
      </c>
      <c r="H111" s="145">
        <v>0</v>
      </c>
      <c r="I111" s="145">
        <v>0</v>
      </c>
      <c r="J111" s="145">
        <v>12500</v>
      </c>
      <c r="K111" s="145">
        <v>0</v>
      </c>
      <c r="L111" s="145">
        <v>12500</v>
      </c>
    </row>
    <row r="112" spans="1:12" x14ac:dyDescent="0.25">
      <c r="A112" s="143" t="s">
        <v>628</v>
      </c>
      <c r="B112" s="144" t="s">
        <v>629</v>
      </c>
      <c r="C112" s="145">
        <v>0</v>
      </c>
      <c r="D112" s="145">
        <v>56000</v>
      </c>
      <c r="E112" s="145">
        <v>0</v>
      </c>
      <c r="F112" s="145">
        <v>469600</v>
      </c>
      <c r="G112" s="145">
        <v>0</v>
      </c>
      <c r="H112" s="145">
        <v>22460.14</v>
      </c>
      <c r="I112" s="145">
        <v>7000</v>
      </c>
      <c r="J112" s="145">
        <v>443060.14</v>
      </c>
      <c r="K112" s="145">
        <v>0</v>
      </c>
      <c r="L112" s="145">
        <v>492060.14</v>
      </c>
    </row>
    <row r="113" spans="1:12" x14ac:dyDescent="0.25">
      <c r="A113" s="143" t="s">
        <v>630</v>
      </c>
      <c r="B113" s="144" t="s">
        <v>631</v>
      </c>
      <c r="C113" s="145">
        <v>0</v>
      </c>
      <c r="D113" s="145">
        <v>0</v>
      </c>
      <c r="E113" s="145">
        <v>0</v>
      </c>
      <c r="F113" s="145">
        <v>15000</v>
      </c>
      <c r="G113" s="145">
        <v>15000</v>
      </c>
      <c r="H113" s="145">
        <v>0</v>
      </c>
      <c r="I113" s="145">
        <v>15000</v>
      </c>
      <c r="J113" s="145">
        <v>15000</v>
      </c>
      <c r="K113" s="145">
        <v>0</v>
      </c>
      <c r="L113" s="145">
        <v>0</v>
      </c>
    </row>
    <row r="114" spans="1:12" x14ac:dyDescent="0.25">
      <c r="A114" s="143" t="s">
        <v>632</v>
      </c>
      <c r="B114" s="144" t="s">
        <v>633</v>
      </c>
      <c r="C114" s="145">
        <v>0</v>
      </c>
      <c r="D114" s="145">
        <v>0</v>
      </c>
      <c r="E114" s="145">
        <v>0</v>
      </c>
      <c r="F114" s="145">
        <v>10000</v>
      </c>
      <c r="G114" s="145">
        <v>0</v>
      </c>
      <c r="H114" s="145">
        <v>0</v>
      </c>
      <c r="I114" s="145">
        <v>0</v>
      </c>
      <c r="J114" s="145">
        <v>10000</v>
      </c>
      <c r="K114" s="145">
        <v>0</v>
      </c>
      <c r="L114" s="145">
        <v>10000</v>
      </c>
    </row>
    <row r="115" spans="1:12" x14ac:dyDescent="0.25">
      <c r="A115" s="143" t="s">
        <v>634</v>
      </c>
      <c r="B115" s="144" t="s">
        <v>635</v>
      </c>
      <c r="C115" s="145">
        <v>0</v>
      </c>
      <c r="D115" s="145">
        <v>0</v>
      </c>
      <c r="E115" s="145">
        <v>0</v>
      </c>
      <c r="F115" s="145">
        <v>0</v>
      </c>
      <c r="G115" s="145">
        <v>6010.68</v>
      </c>
      <c r="H115" s="145">
        <v>0</v>
      </c>
      <c r="I115" s="145">
        <v>6010.68</v>
      </c>
      <c r="J115" s="145">
        <v>0</v>
      </c>
      <c r="K115" s="145">
        <v>6010.68</v>
      </c>
      <c r="L115" s="145">
        <v>0</v>
      </c>
    </row>
    <row r="116" spans="1:12" x14ac:dyDescent="0.25">
      <c r="A116" s="143" t="s">
        <v>636</v>
      </c>
      <c r="B116" s="144" t="s">
        <v>637</v>
      </c>
      <c r="C116" s="145">
        <v>0</v>
      </c>
      <c r="D116" s="145">
        <v>0</v>
      </c>
      <c r="E116" s="145">
        <v>0</v>
      </c>
      <c r="F116" s="145">
        <v>0</v>
      </c>
      <c r="G116" s="145">
        <v>2800</v>
      </c>
      <c r="H116" s="145">
        <v>2800</v>
      </c>
      <c r="I116" s="145">
        <v>2800</v>
      </c>
      <c r="J116" s="145">
        <v>2800</v>
      </c>
      <c r="K116" s="145">
        <v>0</v>
      </c>
      <c r="L116" s="145">
        <v>0</v>
      </c>
    </row>
    <row r="117" spans="1:12" x14ac:dyDescent="0.25">
      <c r="A117" s="143" t="s">
        <v>638</v>
      </c>
      <c r="B117" s="144" t="s">
        <v>639</v>
      </c>
      <c r="C117" s="145">
        <v>0</v>
      </c>
      <c r="D117" s="145">
        <v>0</v>
      </c>
      <c r="E117" s="145">
        <v>0</v>
      </c>
      <c r="F117" s="145">
        <v>0</v>
      </c>
      <c r="G117" s="145">
        <v>0</v>
      </c>
      <c r="H117" s="145">
        <v>3800</v>
      </c>
      <c r="I117" s="145">
        <v>0</v>
      </c>
      <c r="J117" s="145">
        <v>3800</v>
      </c>
      <c r="K117" s="145">
        <v>0</v>
      </c>
      <c r="L117" s="145">
        <v>3800</v>
      </c>
    </row>
    <row r="118" spans="1:12" x14ac:dyDescent="0.25">
      <c r="A118" s="143" t="s">
        <v>640</v>
      </c>
      <c r="B118" s="144" t="s">
        <v>641</v>
      </c>
      <c r="C118" s="145">
        <v>0</v>
      </c>
      <c r="D118" s="145">
        <v>0</v>
      </c>
      <c r="E118" s="145">
        <v>0</v>
      </c>
      <c r="F118" s="145">
        <v>0</v>
      </c>
      <c r="G118" s="145">
        <v>402.74</v>
      </c>
      <c r="H118" s="145">
        <v>0</v>
      </c>
      <c r="I118" s="145">
        <v>402.74</v>
      </c>
      <c r="J118" s="145">
        <v>0</v>
      </c>
      <c r="K118" s="145">
        <v>402.74</v>
      </c>
      <c r="L118" s="145">
        <v>0</v>
      </c>
    </row>
    <row r="119" spans="1:12" x14ac:dyDescent="0.25">
      <c r="A119" s="143" t="s">
        <v>642</v>
      </c>
      <c r="B119" s="144" t="s">
        <v>643</v>
      </c>
      <c r="C119" s="145">
        <v>0</v>
      </c>
      <c r="D119" s="145">
        <v>0</v>
      </c>
      <c r="E119" s="145">
        <v>0</v>
      </c>
      <c r="F119" s="145">
        <v>0</v>
      </c>
      <c r="G119" s="145">
        <v>3779.46</v>
      </c>
      <c r="H119" s="145">
        <v>0</v>
      </c>
      <c r="I119" s="145">
        <v>3779.46</v>
      </c>
      <c r="J119" s="145">
        <v>0</v>
      </c>
      <c r="K119" s="145">
        <v>0</v>
      </c>
      <c r="L119" s="145">
        <v>-3779.46</v>
      </c>
    </row>
    <row r="120" spans="1:12" x14ac:dyDescent="0.25">
      <c r="A120" s="143" t="s">
        <v>644</v>
      </c>
      <c r="B120" s="144" t="s">
        <v>645</v>
      </c>
      <c r="C120" s="145">
        <v>3779.46</v>
      </c>
      <c r="D120" s="145">
        <v>0</v>
      </c>
      <c r="E120" s="145">
        <v>0</v>
      </c>
      <c r="F120" s="145">
        <v>-3779.46</v>
      </c>
      <c r="G120" s="145">
        <v>0</v>
      </c>
      <c r="H120" s="145">
        <v>3779.46</v>
      </c>
      <c r="I120" s="145">
        <v>0</v>
      </c>
      <c r="J120" s="145">
        <v>3779.46</v>
      </c>
      <c r="K120" s="145">
        <v>0</v>
      </c>
      <c r="L120" s="145">
        <v>0</v>
      </c>
    </row>
    <row r="121" spans="1:12" x14ac:dyDescent="0.25">
      <c r="A121" s="143" t="s">
        <v>646</v>
      </c>
      <c r="B121" s="144" t="s">
        <v>647</v>
      </c>
      <c r="C121" s="145">
        <v>0</v>
      </c>
      <c r="D121" s="145">
        <v>0</v>
      </c>
      <c r="E121" s="145">
        <v>0</v>
      </c>
      <c r="F121" s="145">
        <v>875.59</v>
      </c>
      <c r="G121" s="145">
        <v>3.82</v>
      </c>
      <c r="H121" s="145">
        <v>181.51</v>
      </c>
      <c r="I121" s="145">
        <v>6.7</v>
      </c>
      <c r="J121" s="145">
        <v>1059.98</v>
      </c>
      <c r="K121" s="145">
        <v>0</v>
      </c>
      <c r="L121" s="145">
        <v>1053.28</v>
      </c>
    </row>
    <row r="122" spans="1:12" x14ac:dyDescent="0.25">
      <c r="A122" s="143" t="s">
        <v>648</v>
      </c>
      <c r="B122" s="144" t="s">
        <v>649</v>
      </c>
      <c r="C122" s="145">
        <v>0</v>
      </c>
      <c r="D122" s="145">
        <v>0</v>
      </c>
      <c r="E122" s="145">
        <v>24979.65</v>
      </c>
      <c r="F122" s="145">
        <v>0</v>
      </c>
      <c r="G122" s="145">
        <v>15350.35</v>
      </c>
      <c r="H122" s="145">
        <v>0</v>
      </c>
      <c r="I122" s="145">
        <v>40330</v>
      </c>
      <c r="J122" s="145">
        <v>0</v>
      </c>
      <c r="K122" s="145">
        <v>40330</v>
      </c>
      <c r="L122" s="145">
        <v>0</v>
      </c>
    </row>
    <row r="123" spans="1:12" x14ac:dyDescent="0.25">
      <c r="A123" s="143" t="s">
        <v>650</v>
      </c>
      <c r="B123" s="144" t="s">
        <v>651</v>
      </c>
      <c r="C123" s="145">
        <v>0</v>
      </c>
      <c r="D123" s="145">
        <v>0</v>
      </c>
      <c r="E123" s="145">
        <v>653.36</v>
      </c>
      <c r="F123" s="145">
        <v>0</v>
      </c>
      <c r="G123" s="145">
        <v>0</v>
      </c>
      <c r="H123" s="145">
        <v>0</v>
      </c>
      <c r="I123" s="145">
        <v>653.36</v>
      </c>
      <c r="J123" s="145">
        <v>0</v>
      </c>
      <c r="K123" s="145">
        <v>653.36</v>
      </c>
      <c r="L123" s="145">
        <v>0</v>
      </c>
    </row>
    <row r="124" spans="1:12" x14ac:dyDescent="0.25">
      <c r="A124" s="143" t="s">
        <v>652</v>
      </c>
      <c r="B124" s="144" t="s">
        <v>653</v>
      </c>
      <c r="C124" s="145">
        <v>0</v>
      </c>
      <c r="D124" s="145">
        <v>0</v>
      </c>
      <c r="E124" s="145">
        <v>833.39</v>
      </c>
      <c r="F124" s="145">
        <v>0</v>
      </c>
      <c r="G124" s="145">
        <v>0</v>
      </c>
      <c r="H124" s="145">
        <v>0</v>
      </c>
      <c r="I124" s="145">
        <v>833.39</v>
      </c>
      <c r="J124" s="145">
        <v>0</v>
      </c>
      <c r="K124" s="145">
        <v>833.39</v>
      </c>
      <c r="L124" s="145">
        <v>0</v>
      </c>
    </row>
    <row r="125" spans="1:12" x14ac:dyDescent="0.25">
      <c r="A125" s="143" t="s">
        <v>654</v>
      </c>
      <c r="B125" s="144" t="s">
        <v>655</v>
      </c>
      <c r="C125" s="145">
        <v>0</v>
      </c>
      <c r="D125" s="145">
        <v>0</v>
      </c>
      <c r="E125" s="145">
        <v>0</v>
      </c>
      <c r="F125" s="145">
        <v>0</v>
      </c>
      <c r="G125" s="145">
        <v>596.79999999999995</v>
      </c>
      <c r="H125" s="145">
        <v>0</v>
      </c>
      <c r="I125" s="145">
        <v>596.79999999999995</v>
      </c>
      <c r="J125" s="145">
        <v>0</v>
      </c>
      <c r="K125" s="145">
        <v>596.79999999999995</v>
      </c>
      <c r="L125" s="145">
        <v>0</v>
      </c>
    </row>
    <row r="126" spans="1:12" x14ac:dyDescent="0.25">
      <c r="A126" s="143" t="s">
        <v>656</v>
      </c>
      <c r="B126" s="144" t="s">
        <v>657</v>
      </c>
      <c r="C126" s="145">
        <v>0</v>
      </c>
      <c r="D126" s="145">
        <v>0</v>
      </c>
      <c r="E126" s="145">
        <v>0</v>
      </c>
      <c r="F126" s="145">
        <v>0</v>
      </c>
      <c r="G126" s="145">
        <v>10</v>
      </c>
      <c r="H126" s="145">
        <v>0</v>
      </c>
      <c r="I126" s="145">
        <v>10</v>
      </c>
      <c r="J126" s="145">
        <v>0</v>
      </c>
      <c r="K126" s="145">
        <v>10</v>
      </c>
      <c r="L126" s="145">
        <v>0</v>
      </c>
    </row>
    <row r="127" spans="1:12" x14ac:dyDescent="0.25">
      <c r="A127" s="143" t="s">
        <v>658</v>
      </c>
      <c r="B127" s="144" t="s">
        <v>659</v>
      </c>
      <c r="C127" s="145">
        <v>0</v>
      </c>
      <c r="D127" s="145">
        <v>0</v>
      </c>
      <c r="E127" s="145">
        <v>14554.03</v>
      </c>
      <c r="F127" s="145">
        <v>0</v>
      </c>
      <c r="G127" s="145">
        <v>3677.98</v>
      </c>
      <c r="H127" s="145">
        <v>0</v>
      </c>
      <c r="I127" s="145">
        <v>18232.009999999998</v>
      </c>
      <c r="J127" s="145">
        <v>0</v>
      </c>
      <c r="K127" s="145">
        <v>18232.009999999998</v>
      </c>
      <c r="L127" s="145">
        <v>0</v>
      </c>
    </row>
    <row r="128" spans="1:12" x14ac:dyDescent="0.25">
      <c r="A128" s="143" t="s">
        <v>660</v>
      </c>
      <c r="B128" s="144" t="s">
        <v>661</v>
      </c>
      <c r="C128" s="145">
        <v>0</v>
      </c>
      <c r="D128" s="145">
        <v>0</v>
      </c>
      <c r="E128" s="145">
        <v>1238.3800000000001</v>
      </c>
      <c r="F128" s="145">
        <v>0</v>
      </c>
      <c r="G128" s="145">
        <v>-239.32</v>
      </c>
      <c r="H128" s="145">
        <v>0</v>
      </c>
      <c r="I128" s="145">
        <v>999.06</v>
      </c>
      <c r="J128" s="145">
        <v>0</v>
      </c>
      <c r="K128" s="145">
        <v>999.06</v>
      </c>
      <c r="L128" s="145">
        <v>0</v>
      </c>
    </row>
    <row r="129" spans="1:12" x14ac:dyDescent="0.25">
      <c r="A129" s="143" t="s">
        <v>662</v>
      </c>
      <c r="B129" s="144" t="s">
        <v>663</v>
      </c>
      <c r="C129" s="145">
        <v>0</v>
      </c>
      <c r="D129" s="145">
        <v>0</v>
      </c>
      <c r="E129" s="145">
        <v>215.44</v>
      </c>
      <c r="F129" s="145">
        <v>0</v>
      </c>
      <c r="G129" s="145">
        <v>33.42</v>
      </c>
      <c r="H129" s="145">
        <v>0</v>
      </c>
      <c r="I129" s="145">
        <v>248.86</v>
      </c>
      <c r="J129" s="145">
        <v>0</v>
      </c>
      <c r="K129" s="145">
        <v>248.86</v>
      </c>
      <c r="L129" s="145">
        <v>0</v>
      </c>
    </row>
    <row r="130" spans="1:12" x14ac:dyDescent="0.25">
      <c r="A130" s="143" t="s">
        <v>664</v>
      </c>
      <c r="B130" s="144" t="s">
        <v>665</v>
      </c>
      <c r="C130" s="145">
        <v>0</v>
      </c>
      <c r="D130" s="145">
        <v>0</v>
      </c>
      <c r="E130" s="145">
        <v>112.03</v>
      </c>
      <c r="F130" s="145">
        <v>0</v>
      </c>
      <c r="G130" s="145">
        <v>0</v>
      </c>
      <c r="H130" s="145">
        <v>0</v>
      </c>
      <c r="I130" s="145">
        <v>112.03</v>
      </c>
      <c r="J130" s="145">
        <v>0</v>
      </c>
      <c r="K130" s="145">
        <v>112.03</v>
      </c>
      <c r="L130" s="145">
        <v>0</v>
      </c>
    </row>
    <row r="131" spans="1:12" x14ac:dyDescent="0.25">
      <c r="A131" s="143" t="s">
        <v>666</v>
      </c>
      <c r="B131" s="144" t="s">
        <v>665</v>
      </c>
      <c r="C131" s="145">
        <v>0</v>
      </c>
      <c r="D131" s="145">
        <v>0</v>
      </c>
      <c r="E131" s="145">
        <v>199345.34</v>
      </c>
      <c r="F131" s="145">
        <v>0</v>
      </c>
      <c r="G131" s="145">
        <v>56670.66</v>
      </c>
      <c r="H131" s="145">
        <v>0</v>
      </c>
      <c r="I131" s="145">
        <v>256016</v>
      </c>
      <c r="J131" s="145">
        <v>0</v>
      </c>
      <c r="K131" s="145">
        <v>256016</v>
      </c>
      <c r="L131" s="145">
        <v>0</v>
      </c>
    </row>
    <row r="132" spans="1:12" x14ac:dyDescent="0.25">
      <c r="A132" s="143" t="s">
        <v>667</v>
      </c>
      <c r="B132" s="144" t="s">
        <v>668</v>
      </c>
      <c r="C132" s="145">
        <v>0</v>
      </c>
      <c r="D132" s="145">
        <v>0</v>
      </c>
      <c r="E132" s="145">
        <v>58150.28</v>
      </c>
      <c r="F132" s="145">
        <v>0</v>
      </c>
      <c r="G132" s="145">
        <v>10294.790000000001</v>
      </c>
      <c r="H132" s="145">
        <v>0</v>
      </c>
      <c r="I132" s="145">
        <v>68445.070000000007</v>
      </c>
      <c r="J132" s="145">
        <v>0</v>
      </c>
      <c r="K132" s="145">
        <v>68445.070000000007</v>
      </c>
      <c r="L132" s="145">
        <v>0</v>
      </c>
    </row>
    <row r="133" spans="1:12" x14ac:dyDescent="0.25">
      <c r="A133" s="143" t="s">
        <v>669</v>
      </c>
      <c r="B133" s="144" t="s">
        <v>670</v>
      </c>
      <c r="C133" s="145">
        <v>0</v>
      </c>
      <c r="D133" s="145">
        <v>0</v>
      </c>
      <c r="E133" s="145">
        <v>1991.64</v>
      </c>
      <c r="F133" s="145">
        <v>0</v>
      </c>
      <c r="G133" s="145">
        <v>0</v>
      </c>
      <c r="H133" s="145">
        <v>0</v>
      </c>
      <c r="I133" s="145">
        <v>1991.64</v>
      </c>
      <c r="J133" s="145">
        <v>0</v>
      </c>
      <c r="K133" s="145">
        <v>1991.64</v>
      </c>
      <c r="L133" s="145">
        <v>0</v>
      </c>
    </row>
    <row r="134" spans="1:12" x14ac:dyDescent="0.25">
      <c r="A134" s="143" t="s">
        <v>671</v>
      </c>
      <c r="B134" s="144" t="s">
        <v>672</v>
      </c>
      <c r="C134" s="145">
        <v>0</v>
      </c>
      <c r="D134" s="145">
        <v>0</v>
      </c>
      <c r="E134" s="145">
        <v>-8629.56</v>
      </c>
      <c r="F134" s="145">
        <v>0</v>
      </c>
      <c r="G134" s="145">
        <v>-1649.05</v>
      </c>
      <c r="H134" s="145">
        <v>0</v>
      </c>
      <c r="I134" s="145">
        <v>-10278.61</v>
      </c>
      <c r="J134" s="145">
        <v>0</v>
      </c>
      <c r="K134" s="145">
        <v>-10278.61</v>
      </c>
      <c r="L134" s="145">
        <v>0</v>
      </c>
    </row>
    <row r="135" spans="1:12" x14ac:dyDescent="0.25">
      <c r="A135" s="143" t="s">
        <v>673</v>
      </c>
      <c r="B135" s="144" t="s">
        <v>674</v>
      </c>
      <c r="C135" s="145">
        <v>0</v>
      </c>
      <c r="D135" s="145">
        <v>0</v>
      </c>
      <c r="E135" s="145">
        <v>-5263.3</v>
      </c>
      <c r="F135" s="145">
        <v>0</v>
      </c>
      <c r="G135" s="145">
        <v>832.39</v>
      </c>
      <c r="H135" s="145">
        <v>0</v>
      </c>
      <c r="I135" s="145">
        <v>-4909.34</v>
      </c>
      <c r="J135" s="145">
        <v>-478.43</v>
      </c>
      <c r="K135" s="145">
        <v>-4430.91</v>
      </c>
      <c r="L135" s="145">
        <v>0</v>
      </c>
    </row>
    <row r="136" spans="1:12" x14ac:dyDescent="0.25">
      <c r="A136" s="143" t="s">
        <v>675</v>
      </c>
      <c r="B136" s="144" t="s">
        <v>676</v>
      </c>
      <c r="C136" s="145">
        <v>0</v>
      </c>
      <c r="D136" s="145">
        <v>0</v>
      </c>
      <c r="E136" s="145">
        <v>148.44</v>
      </c>
      <c r="F136" s="145">
        <v>0</v>
      </c>
      <c r="G136" s="145">
        <v>0</v>
      </c>
      <c r="H136" s="145">
        <v>0</v>
      </c>
      <c r="I136" s="145">
        <v>148.44</v>
      </c>
      <c r="J136" s="145">
        <v>0</v>
      </c>
      <c r="K136" s="145">
        <v>148.44</v>
      </c>
      <c r="L136" s="145">
        <v>0</v>
      </c>
    </row>
    <row r="137" spans="1:12" x14ac:dyDescent="0.25">
      <c r="A137" s="143" t="s">
        <v>677</v>
      </c>
      <c r="B137" s="144" t="s">
        <v>678</v>
      </c>
      <c r="C137" s="145">
        <v>0</v>
      </c>
      <c r="D137" s="145">
        <v>0</v>
      </c>
      <c r="E137" s="145">
        <v>22652.28</v>
      </c>
      <c r="F137" s="145">
        <v>0</v>
      </c>
      <c r="G137" s="145">
        <v>20822.91</v>
      </c>
      <c r="H137" s="145">
        <v>0</v>
      </c>
      <c r="I137" s="145">
        <v>43475.19</v>
      </c>
      <c r="J137" s="145">
        <v>0</v>
      </c>
      <c r="K137" s="145">
        <v>43475.19</v>
      </c>
      <c r="L137" s="145">
        <v>0</v>
      </c>
    </row>
    <row r="138" spans="1:12" x14ac:dyDescent="0.25">
      <c r="A138" s="143" t="s">
        <v>679</v>
      </c>
      <c r="B138" s="144" t="s">
        <v>680</v>
      </c>
      <c r="C138" s="145">
        <v>0</v>
      </c>
      <c r="D138" s="145">
        <v>0</v>
      </c>
      <c r="E138" s="145">
        <v>103962.14</v>
      </c>
      <c r="F138" s="145">
        <v>0</v>
      </c>
      <c r="G138" s="145">
        <v>10816.99</v>
      </c>
      <c r="H138" s="145">
        <v>0</v>
      </c>
      <c r="I138" s="145">
        <v>114779.13</v>
      </c>
      <c r="J138" s="145">
        <v>0</v>
      </c>
      <c r="K138" s="145">
        <v>114779.13</v>
      </c>
      <c r="L138" s="145">
        <v>0</v>
      </c>
    </row>
    <row r="139" spans="1:12" x14ac:dyDescent="0.25">
      <c r="A139" s="143" t="s">
        <v>681</v>
      </c>
      <c r="B139" s="144" t="s">
        <v>682</v>
      </c>
      <c r="C139" s="145">
        <v>0</v>
      </c>
      <c r="D139" s="145">
        <v>0</v>
      </c>
      <c r="E139" s="145">
        <v>4682.01</v>
      </c>
      <c r="F139" s="145">
        <v>0</v>
      </c>
      <c r="G139" s="145">
        <v>896.68</v>
      </c>
      <c r="H139" s="145">
        <v>0</v>
      </c>
      <c r="I139" s="145">
        <v>5578.69</v>
      </c>
      <c r="J139" s="145">
        <v>0</v>
      </c>
      <c r="K139" s="145">
        <v>5578.69</v>
      </c>
      <c r="L139" s="145">
        <v>0</v>
      </c>
    </row>
    <row r="140" spans="1:12" x14ac:dyDescent="0.25">
      <c r="A140" s="143" t="s">
        <v>683</v>
      </c>
      <c r="B140" s="144" t="s">
        <v>684</v>
      </c>
      <c r="C140" s="145">
        <v>0</v>
      </c>
      <c r="D140" s="145">
        <v>0</v>
      </c>
      <c r="E140" s="145">
        <v>2923.55</v>
      </c>
      <c r="F140" s="145">
        <v>0</v>
      </c>
      <c r="G140" s="145">
        <v>475.75</v>
      </c>
      <c r="H140" s="145">
        <v>0</v>
      </c>
      <c r="I140" s="145">
        <v>3399.3</v>
      </c>
      <c r="J140" s="145">
        <v>0</v>
      </c>
      <c r="K140" s="145">
        <v>3399.3</v>
      </c>
      <c r="L140" s="145">
        <v>0</v>
      </c>
    </row>
    <row r="141" spans="1:12" x14ac:dyDescent="0.25">
      <c r="A141" s="143" t="s">
        <v>685</v>
      </c>
      <c r="B141" s="144" t="s">
        <v>686</v>
      </c>
      <c r="C141" s="145">
        <v>0</v>
      </c>
      <c r="D141" s="145">
        <v>0</v>
      </c>
      <c r="E141" s="145">
        <v>220</v>
      </c>
      <c r="F141" s="145">
        <v>0</v>
      </c>
      <c r="G141" s="145">
        <v>30</v>
      </c>
      <c r="H141" s="145">
        <v>0</v>
      </c>
      <c r="I141" s="145">
        <v>250</v>
      </c>
      <c r="J141" s="145">
        <v>0</v>
      </c>
      <c r="K141" s="145">
        <v>250</v>
      </c>
      <c r="L141" s="145">
        <v>0</v>
      </c>
    </row>
    <row r="142" spans="1:12" x14ac:dyDescent="0.25">
      <c r="A142" s="143" t="s">
        <v>687</v>
      </c>
      <c r="B142" s="144" t="s">
        <v>688</v>
      </c>
      <c r="C142" s="145">
        <v>0</v>
      </c>
      <c r="D142" s="145">
        <v>0</v>
      </c>
      <c r="E142" s="145">
        <v>8382</v>
      </c>
      <c r="F142" s="145">
        <v>0</v>
      </c>
      <c r="G142" s="145">
        <v>0</v>
      </c>
      <c r="H142" s="145">
        <v>0</v>
      </c>
      <c r="I142" s="145">
        <v>8382</v>
      </c>
      <c r="J142" s="145">
        <v>0</v>
      </c>
      <c r="K142" s="145">
        <v>8382</v>
      </c>
      <c r="L142" s="145">
        <v>0</v>
      </c>
    </row>
    <row r="143" spans="1:12" x14ac:dyDescent="0.25">
      <c r="A143" s="143" t="s">
        <v>689</v>
      </c>
      <c r="B143" s="144" t="s">
        <v>690</v>
      </c>
      <c r="C143" s="145">
        <v>0</v>
      </c>
      <c r="D143" s="145">
        <v>0</v>
      </c>
      <c r="E143" s="145">
        <v>311.39999999999998</v>
      </c>
      <c r="F143" s="145">
        <v>0</v>
      </c>
      <c r="G143" s="145">
        <v>0</v>
      </c>
      <c r="H143" s="145">
        <v>0</v>
      </c>
      <c r="I143" s="145">
        <v>311.39999999999998</v>
      </c>
      <c r="J143" s="145">
        <v>0</v>
      </c>
      <c r="K143" s="145">
        <v>311.39999999999998</v>
      </c>
      <c r="L143" s="145">
        <v>0</v>
      </c>
    </row>
    <row r="144" spans="1:12" x14ac:dyDescent="0.25">
      <c r="A144" s="143" t="s">
        <v>691</v>
      </c>
      <c r="B144" s="144" t="s">
        <v>692</v>
      </c>
      <c r="C144" s="145">
        <v>0</v>
      </c>
      <c r="D144" s="145">
        <v>0</v>
      </c>
      <c r="E144" s="145">
        <v>16220.8</v>
      </c>
      <c r="F144" s="145">
        <v>0</v>
      </c>
      <c r="G144" s="145">
        <v>0</v>
      </c>
      <c r="H144" s="145">
        <v>0</v>
      </c>
      <c r="I144" s="145">
        <v>16220.8</v>
      </c>
      <c r="J144" s="145">
        <v>0</v>
      </c>
      <c r="K144" s="145">
        <v>16220.8</v>
      </c>
      <c r="L144" s="145">
        <v>0</v>
      </c>
    </row>
    <row r="145" spans="1:12" x14ac:dyDescent="0.25">
      <c r="A145" s="143" t="s">
        <v>693</v>
      </c>
      <c r="B145" s="144" t="s">
        <v>694</v>
      </c>
      <c r="C145" s="145">
        <v>0</v>
      </c>
      <c r="D145" s="145">
        <v>0</v>
      </c>
      <c r="E145" s="145">
        <v>1492.75</v>
      </c>
      <c r="F145" s="145">
        <v>0</v>
      </c>
      <c r="G145" s="145">
        <v>5375.68</v>
      </c>
      <c r="H145" s="145">
        <v>0</v>
      </c>
      <c r="I145" s="145">
        <v>6868.43</v>
      </c>
      <c r="J145" s="145">
        <v>0</v>
      </c>
      <c r="K145" s="145">
        <v>6868.43</v>
      </c>
      <c r="L145" s="145">
        <v>0</v>
      </c>
    </row>
    <row r="146" spans="1:12" x14ac:dyDescent="0.25">
      <c r="A146" s="143" t="s">
        <v>695</v>
      </c>
      <c r="B146" s="144" t="s">
        <v>696</v>
      </c>
      <c r="C146" s="145">
        <v>0</v>
      </c>
      <c r="D146" s="145">
        <v>0</v>
      </c>
      <c r="E146" s="145">
        <v>2252.4</v>
      </c>
      <c r="F146" s="145">
        <v>0</v>
      </c>
      <c r="G146" s="145">
        <v>0</v>
      </c>
      <c r="H146" s="145">
        <v>0</v>
      </c>
      <c r="I146" s="145">
        <v>2252.4</v>
      </c>
      <c r="J146" s="145">
        <v>0</v>
      </c>
      <c r="K146" s="145">
        <v>2252.4</v>
      </c>
      <c r="L146" s="145">
        <v>0</v>
      </c>
    </row>
    <row r="147" spans="1:12" x14ac:dyDescent="0.25">
      <c r="A147" s="143" t="s">
        <v>697</v>
      </c>
      <c r="B147" s="144" t="s">
        <v>698</v>
      </c>
      <c r="C147" s="145">
        <v>0</v>
      </c>
      <c r="D147" s="145">
        <v>0</v>
      </c>
      <c r="E147" s="145">
        <v>2105</v>
      </c>
      <c r="F147" s="145">
        <v>0</v>
      </c>
      <c r="G147" s="145">
        <v>0</v>
      </c>
      <c r="H147" s="145">
        <v>0</v>
      </c>
      <c r="I147" s="145">
        <v>2105</v>
      </c>
      <c r="J147" s="145">
        <v>0</v>
      </c>
      <c r="K147" s="145">
        <v>2105</v>
      </c>
      <c r="L147" s="145">
        <v>0</v>
      </c>
    </row>
    <row r="148" spans="1:12" x14ac:dyDescent="0.25">
      <c r="A148" s="143" t="s">
        <v>699</v>
      </c>
      <c r="B148" s="144" t="s">
        <v>700</v>
      </c>
      <c r="C148" s="145">
        <v>0</v>
      </c>
      <c r="D148" s="145">
        <v>0</v>
      </c>
      <c r="E148" s="145">
        <v>2526.9</v>
      </c>
      <c r="F148" s="145">
        <v>0</v>
      </c>
      <c r="G148" s="145">
        <v>340.85</v>
      </c>
      <c r="H148" s="145">
        <v>0</v>
      </c>
      <c r="I148" s="145">
        <v>2867.75</v>
      </c>
      <c r="J148" s="145">
        <v>0</v>
      </c>
      <c r="K148" s="145">
        <v>2867.75</v>
      </c>
      <c r="L148" s="145">
        <v>0</v>
      </c>
    </row>
    <row r="149" spans="1:12" x14ac:dyDescent="0.25">
      <c r="A149" s="143" t="s">
        <v>701</v>
      </c>
      <c r="B149" s="144" t="s">
        <v>702</v>
      </c>
      <c r="C149" s="145">
        <v>0</v>
      </c>
      <c r="D149" s="145">
        <v>0</v>
      </c>
      <c r="E149" s="145">
        <v>391.16</v>
      </c>
      <c r="F149" s="145">
        <v>0</v>
      </c>
      <c r="G149" s="145">
        <v>21.2</v>
      </c>
      <c r="H149" s="145">
        <v>0</v>
      </c>
      <c r="I149" s="145">
        <v>412.36</v>
      </c>
      <c r="J149" s="145">
        <v>0</v>
      </c>
      <c r="K149" s="145">
        <v>412.36</v>
      </c>
      <c r="L149" s="145">
        <v>0</v>
      </c>
    </row>
    <row r="150" spans="1:12" x14ac:dyDescent="0.25">
      <c r="A150" s="143" t="s">
        <v>703</v>
      </c>
      <c r="B150" s="144" t="s">
        <v>704</v>
      </c>
      <c r="C150" s="145">
        <v>0</v>
      </c>
      <c r="D150" s="145">
        <v>0</v>
      </c>
      <c r="E150" s="145">
        <v>4000</v>
      </c>
      <c r="F150" s="145">
        <v>0</v>
      </c>
      <c r="G150" s="145">
        <v>700</v>
      </c>
      <c r="H150" s="145">
        <v>0</v>
      </c>
      <c r="I150" s="145">
        <v>4700</v>
      </c>
      <c r="J150" s="145">
        <v>0</v>
      </c>
      <c r="K150" s="145">
        <v>4700</v>
      </c>
      <c r="L150" s="145">
        <v>0</v>
      </c>
    </row>
    <row r="151" spans="1:12" x14ac:dyDescent="0.25">
      <c r="A151" s="143" t="s">
        <v>705</v>
      </c>
      <c r="B151" s="144" t="s">
        <v>706</v>
      </c>
      <c r="C151" s="145">
        <v>0</v>
      </c>
      <c r="D151" s="145">
        <v>0</v>
      </c>
      <c r="E151" s="145">
        <v>3886.2</v>
      </c>
      <c r="F151" s="145">
        <v>0</v>
      </c>
      <c r="G151" s="145">
        <v>0</v>
      </c>
      <c r="H151" s="145">
        <v>0</v>
      </c>
      <c r="I151" s="145">
        <v>13312.61</v>
      </c>
      <c r="J151" s="145">
        <v>9426.41</v>
      </c>
      <c r="K151" s="145">
        <v>3886.2</v>
      </c>
      <c r="L151" s="145">
        <v>0</v>
      </c>
    </row>
    <row r="152" spans="1:12" x14ac:dyDescent="0.25">
      <c r="A152" s="143" t="s">
        <v>707</v>
      </c>
      <c r="B152" s="144" t="s">
        <v>708</v>
      </c>
      <c r="C152" s="145">
        <v>0</v>
      </c>
      <c r="D152" s="145">
        <v>0</v>
      </c>
      <c r="E152" s="145">
        <v>159571.47</v>
      </c>
      <c r="F152" s="145">
        <v>0</v>
      </c>
      <c r="G152" s="145">
        <v>43510.16</v>
      </c>
      <c r="H152" s="145">
        <v>0</v>
      </c>
      <c r="I152" s="145">
        <v>203081.63</v>
      </c>
      <c r="J152" s="145">
        <v>0</v>
      </c>
      <c r="K152" s="145">
        <v>203081.63</v>
      </c>
      <c r="L152" s="145">
        <v>0</v>
      </c>
    </row>
    <row r="153" spans="1:12" x14ac:dyDescent="0.25">
      <c r="A153" s="143" t="s">
        <v>709</v>
      </c>
      <c r="B153" s="144" t="s">
        <v>710</v>
      </c>
      <c r="C153" s="145">
        <v>0</v>
      </c>
      <c r="D153" s="145">
        <v>0</v>
      </c>
      <c r="E153" s="145">
        <v>7339.17</v>
      </c>
      <c r="F153" s="145">
        <v>0</v>
      </c>
      <c r="G153" s="145">
        <v>31.99</v>
      </c>
      <c r="H153" s="145">
        <v>0</v>
      </c>
      <c r="I153" s="145">
        <v>7371.16</v>
      </c>
      <c r="J153" s="145">
        <v>0</v>
      </c>
      <c r="K153" s="145">
        <v>7371.16</v>
      </c>
      <c r="L153" s="145">
        <v>0</v>
      </c>
    </row>
    <row r="154" spans="1:12" x14ac:dyDescent="0.25">
      <c r="A154" s="143" t="s">
        <v>711</v>
      </c>
      <c r="B154" s="144" t="s">
        <v>712</v>
      </c>
      <c r="C154" s="145">
        <v>0</v>
      </c>
      <c r="D154" s="145">
        <v>0</v>
      </c>
      <c r="E154" s="145">
        <v>55502.54</v>
      </c>
      <c r="F154" s="145">
        <v>0</v>
      </c>
      <c r="G154" s="145">
        <v>15175.83</v>
      </c>
      <c r="H154" s="145">
        <v>0</v>
      </c>
      <c r="I154" s="145">
        <v>70678.37</v>
      </c>
      <c r="J154" s="145">
        <v>0</v>
      </c>
      <c r="K154" s="145">
        <v>70678.37</v>
      </c>
      <c r="L154" s="145">
        <v>0</v>
      </c>
    </row>
    <row r="155" spans="1:12" x14ac:dyDescent="0.25">
      <c r="A155" s="143" t="s">
        <v>713</v>
      </c>
      <c r="B155" s="144" t="s">
        <v>714</v>
      </c>
      <c r="C155" s="145">
        <v>0</v>
      </c>
      <c r="D155" s="145">
        <v>0</v>
      </c>
      <c r="E155" s="145">
        <v>2475.37</v>
      </c>
      <c r="F155" s="145">
        <v>0</v>
      </c>
      <c r="G155" s="145">
        <v>7008.38</v>
      </c>
      <c r="H155" s="145">
        <v>0</v>
      </c>
      <c r="I155" s="145">
        <v>9483.75</v>
      </c>
      <c r="J155" s="145">
        <v>0</v>
      </c>
      <c r="K155" s="145">
        <v>9483.75</v>
      </c>
      <c r="L155" s="145">
        <v>0</v>
      </c>
    </row>
    <row r="156" spans="1:12" x14ac:dyDescent="0.25">
      <c r="A156" s="143" t="s">
        <v>715</v>
      </c>
      <c r="B156" s="144" t="s">
        <v>716</v>
      </c>
      <c r="C156" s="145">
        <v>0</v>
      </c>
      <c r="D156" s="145">
        <v>0</v>
      </c>
      <c r="E156" s="145">
        <v>1057.03</v>
      </c>
      <c r="F156" s="145">
        <v>0</v>
      </c>
      <c r="G156" s="145">
        <v>1612.06</v>
      </c>
      <c r="H156" s="145">
        <v>0</v>
      </c>
      <c r="I156" s="145">
        <v>2669.09</v>
      </c>
      <c r="J156" s="145">
        <v>0</v>
      </c>
      <c r="K156" s="145">
        <v>2669.09</v>
      </c>
      <c r="L156" s="145">
        <v>0</v>
      </c>
    </row>
    <row r="157" spans="1:12" x14ac:dyDescent="0.25">
      <c r="A157" s="143" t="s">
        <v>717</v>
      </c>
      <c r="B157" s="144" t="s">
        <v>718</v>
      </c>
      <c r="C157" s="145">
        <v>0</v>
      </c>
      <c r="D157" s="145">
        <v>0</v>
      </c>
      <c r="E157" s="145">
        <v>50</v>
      </c>
      <c r="F157" s="145">
        <v>0</v>
      </c>
      <c r="G157" s="145">
        <v>0</v>
      </c>
      <c r="H157" s="145">
        <v>0</v>
      </c>
      <c r="I157" s="145">
        <v>50</v>
      </c>
      <c r="J157" s="145">
        <v>0</v>
      </c>
      <c r="K157" s="145">
        <v>50</v>
      </c>
      <c r="L157" s="145">
        <v>0</v>
      </c>
    </row>
    <row r="158" spans="1:12" x14ac:dyDescent="0.25">
      <c r="A158" s="143" t="s">
        <v>719</v>
      </c>
      <c r="B158" s="144" t="s">
        <v>720</v>
      </c>
      <c r="C158" s="145">
        <v>0</v>
      </c>
      <c r="D158" s="145">
        <v>0</v>
      </c>
      <c r="E158" s="145">
        <v>0</v>
      </c>
      <c r="F158" s="145">
        <v>0</v>
      </c>
      <c r="G158" s="145">
        <v>5</v>
      </c>
      <c r="H158" s="145">
        <v>0</v>
      </c>
      <c r="I158" s="145">
        <v>5</v>
      </c>
      <c r="J158" s="145">
        <v>0</v>
      </c>
      <c r="K158" s="145">
        <v>5</v>
      </c>
      <c r="L158" s="145">
        <v>0</v>
      </c>
    </row>
    <row r="159" spans="1:12" x14ac:dyDescent="0.25">
      <c r="A159" s="143" t="s">
        <v>721</v>
      </c>
      <c r="B159" s="144" t="s">
        <v>722</v>
      </c>
      <c r="C159" s="145">
        <v>0</v>
      </c>
      <c r="D159" s="145">
        <v>0</v>
      </c>
      <c r="E159" s="145">
        <v>53.94</v>
      </c>
      <c r="F159" s="145">
        <v>0</v>
      </c>
      <c r="G159" s="145">
        <v>99</v>
      </c>
      <c r="H159" s="145">
        <v>0</v>
      </c>
      <c r="I159" s="145">
        <v>152.94</v>
      </c>
      <c r="J159" s="145">
        <v>0</v>
      </c>
      <c r="K159" s="145">
        <v>152.94</v>
      </c>
      <c r="L159" s="145">
        <v>0</v>
      </c>
    </row>
    <row r="160" spans="1:12" x14ac:dyDescent="0.25">
      <c r="A160" s="143" t="s">
        <v>723</v>
      </c>
      <c r="B160" s="144" t="s">
        <v>724</v>
      </c>
      <c r="C160" s="145">
        <v>0</v>
      </c>
      <c r="D160" s="145">
        <v>0</v>
      </c>
      <c r="E160" s="145">
        <v>839.71</v>
      </c>
      <c r="F160" s="145">
        <v>0</v>
      </c>
      <c r="G160" s="145">
        <v>60.06</v>
      </c>
      <c r="H160" s="145">
        <v>0</v>
      </c>
      <c r="I160" s="145">
        <v>899.77</v>
      </c>
      <c r="J160" s="145">
        <v>0</v>
      </c>
      <c r="K160" s="145">
        <v>899.77</v>
      </c>
      <c r="L160" s="145">
        <v>0</v>
      </c>
    </row>
    <row r="161" spans="1:12" x14ac:dyDescent="0.25">
      <c r="A161" s="143" t="s">
        <v>725</v>
      </c>
      <c r="B161" s="144" t="s">
        <v>726</v>
      </c>
      <c r="C161" s="145">
        <v>0</v>
      </c>
      <c r="D161" s="145">
        <v>0</v>
      </c>
      <c r="E161" s="145">
        <v>0</v>
      </c>
      <c r="F161" s="145">
        <v>0</v>
      </c>
      <c r="G161" s="145">
        <v>2672.14</v>
      </c>
      <c r="H161" s="145">
        <v>1539.62</v>
      </c>
      <c r="I161" s="145">
        <v>2672.14</v>
      </c>
      <c r="J161" s="145">
        <v>1539.62</v>
      </c>
      <c r="K161" s="145">
        <v>1132.52</v>
      </c>
      <c r="L161" s="145">
        <v>0</v>
      </c>
    </row>
    <row r="162" spans="1:12" x14ac:dyDescent="0.25">
      <c r="A162" s="143" t="s">
        <v>727</v>
      </c>
      <c r="B162" s="144" t="s">
        <v>728</v>
      </c>
      <c r="C162" s="145">
        <v>0</v>
      </c>
      <c r="D162" s="145">
        <v>0</v>
      </c>
      <c r="E162" s="145">
        <v>10708.94</v>
      </c>
      <c r="F162" s="145">
        <v>0</v>
      </c>
      <c r="G162" s="145">
        <v>244.31</v>
      </c>
      <c r="H162" s="145">
        <v>1534.35</v>
      </c>
      <c r="I162" s="145">
        <v>10953.25</v>
      </c>
      <c r="J162" s="145">
        <v>1534.35</v>
      </c>
      <c r="K162" s="145">
        <v>9418.9</v>
      </c>
      <c r="L162" s="145">
        <v>0</v>
      </c>
    </row>
    <row r="163" spans="1:12" x14ac:dyDescent="0.25">
      <c r="A163" s="143" t="s">
        <v>729</v>
      </c>
      <c r="B163" s="144" t="s">
        <v>730</v>
      </c>
      <c r="C163" s="145">
        <v>0</v>
      </c>
      <c r="D163" s="145">
        <v>0</v>
      </c>
      <c r="E163" s="145">
        <v>26765</v>
      </c>
      <c r="F163" s="145">
        <v>0</v>
      </c>
      <c r="G163" s="145">
        <v>5014</v>
      </c>
      <c r="H163" s="145">
        <v>0</v>
      </c>
      <c r="I163" s="145">
        <v>31779</v>
      </c>
      <c r="J163" s="145">
        <v>0</v>
      </c>
      <c r="K163" s="145">
        <v>31779</v>
      </c>
      <c r="L163" s="145">
        <v>0</v>
      </c>
    </row>
    <row r="164" spans="1:12" x14ac:dyDescent="0.25">
      <c r="A164" s="143" t="s">
        <v>731</v>
      </c>
      <c r="B164" s="144" t="s">
        <v>732</v>
      </c>
      <c r="C164" s="145">
        <v>0</v>
      </c>
      <c r="D164" s="145">
        <v>0</v>
      </c>
      <c r="E164" s="145">
        <v>0</v>
      </c>
      <c r="F164" s="145">
        <v>0</v>
      </c>
      <c r="G164" s="145">
        <v>9460.14</v>
      </c>
      <c r="H164" s="145">
        <v>0</v>
      </c>
      <c r="I164" s="145">
        <v>9460.14</v>
      </c>
      <c r="J164" s="145">
        <v>0</v>
      </c>
      <c r="K164" s="145">
        <v>9460.14</v>
      </c>
      <c r="L164" s="145">
        <v>0</v>
      </c>
    </row>
    <row r="165" spans="1:12" x14ac:dyDescent="0.25">
      <c r="A165" s="143" t="s">
        <v>733</v>
      </c>
      <c r="B165" s="144" t="s">
        <v>734</v>
      </c>
      <c r="C165" s="145">
        <v>0</v>
      </c>
      <c r="D165" s="145">
        <v>0</v>
      </c>
      <c r="E165" s="145">
        <v>2.92</v>
      </c>
      <c r="F165" s="145">
        <v>0</v>
      </c>
      <c r="G165" s="145">
        <v>0.01</v>
      </c>
      <c r="H165" s="145">
        <v>0</v>
      </c>
      <c r="I165" s="145">
        <v>2.93</v>
      </c>
      <c r="J165" s="145">
        <v>0</v>
      </c>
      <c r="K165" s="145">
        <v>2.93</v>
      </c>
      <c r="L165" s="145">
        <v>0</v>
      </c>
    </row>
    <row r="166" spans="1:12" x14ac:dyDescent="0.25">
      <c r="A166" s="143" t="s">
        <v>735</v>
      </c>
      <c r="B166" s="144" t="s">
        <v>736</v>
      </c>
      <c r="C166" s="145">
        <v>0</v>
      </c>
      <c r="D166" s="145">
        <v>0</v>
      </c>
      <c r="E166" s="145">
        <v>1848.56</v>
      </c>
      <c r="F166" s="145">
        <v>0</v>
      </c>
      <c r="G166" s="145">
        <v>257.94</v>
      </c>
      <c r="H166" s="145">
        <v>0</v>
      </c>
      <c r="I166" s="145">
        <v>2106.5</v>
      </c>
      <c r="J166" s="145">
        <v>0</v>
      </c>
      <c r="K166" s="145">
        <v>2106.5</v>
      </c>
      <c r="L166" s="145">
        <v>0</v>
      </c>
    </row>
    <row r="167" spans="1:12" x14ac:dyDescent="0.25">
      <c r="A167" s="143" t="s">
        <v>737</v>
      </c>
      <c r="B167" s="144" t="s">
        <v>738</v>
      </c>
      <c r="C167" s="145">
        <v>0</v>
      </c>
      <c r="D167" s="145">
        <v>0</v>
      </c>
      <c r="E167" s="145">
        <v>646.29</v>
      </c>
      <c r="F167" s="145">
        <v>0</v>
      </c>
      <c r="G167" s="145">
        <v>140.29</v>
      </c>
      <c r="H167" s="145">
        <v>0</v>
      </c>
      <c r="I167" s="145">
        <v>786.58</v>
      </c>
      <c r="J167" s="145">
        <v>0</v>
      </c>
      <c r="K167" s="145">
        <v>786.58</v>
      </c>
      <c r="L167" s="145">
        <v>0</v>
      </c>
    </row>
    <row r="168" spans="1:12" x14ac:dyDescent="0.25">
      <c r="A168" s="143" t="s">
        <v>739</v>
      </c>
      <c r="B168" s="144" t="s">
        <v>740</v>
      </c>
      <c r="C168" s="145">
        <v>0</v>
      </c>
      <c r="D168" s="145">
        <v>0</v>
      </c>
      <c r="E168" s="145">
        <v>0</v>
      </c>
      <c r="F168" s="145">
        <v>0</v>
      </c>
      <c r="G168" s="145">
        <v>960</v>
      </c>
      <c r="H168" s="145">
        <v>0</v>
      </c>
      <c r="I168" s="145">
        <v>960</v>
      </c>
      <c r="J168" s="145">
        <v>0</v>
      </c>
      <c r="K168" s="145">
        <v>960</v>
      </c>
      <c r="L168" s="145">
        <v>0</v>
      </c>
    </row>
    <row r="169" spans="1:12" x14ac:dyDescent="0.25">
      <c r="A169" s="143" t="s">
        <v>741</v>
      </c>
      <c r="B169" s="144" t="s">
        <v>742</v>
      </c>
      <c r="C169" s="145">
        <v>0</v>
      </c>
      <c r="D169" s="145">
        <v>0</v>
      </c>
      <c r="E169" s="145">
        <v>0</v>
      </c>
      <c r="F169" s="145">
        <v>0</v>
      </c>
      <c r="G169" s="145">
        <v>0</v>
      </c>
      <c r="H169" s="145">
        <v>118750</v>
      </c>
      <c r="I169" s="145">
        <v>0</v>
      </c>
      <c r="J169" s="145">
        <v>118750</v>
      </c>
      <c r="K169" s="145">
        <v>0</v>
      </c>
      <c r="L169" s="145">
        <v>118750</v>
      </c>
    </row>
    <row r="170" spans="1:12" x14ac:dyDescent="0.25">
      <c r="A170" s="143" t="s">
        <v>743</v>
      </c>
      <c r="B170" s="144" t="s">
        <v>744</v>
      </c>
      <c r="C170" s="145">
        <v>0</v>
      </c>
      <c r="D170" s="145">
        <v>0</v>
      </c>
      <c r="E170" s="145">
        <v>0</v>
      </c>
      <c r="F170" s="145">
        <v>0</v>
      </c>
      <c r="G170" s="145">
        <v>0</v>
      </c>
      <c r="H170" s="145">
        <v>10354.540000000001</v>
      </c>
      <c r="I170" s="145">
        <v>0</v>
      </c>
      <c r="J170" s="145">
        <v>10354.540000000001</v>
      </c>
      <c r="K170" s="145">
        <v>0</v>
      </c>
      <c r="L170" s="145">
        <v>10354.540000000001</v>
      </c>
    </row>
    <row r="171" spans="1:12" x14ac:dyDescent="0.25">
      <c r="A171" s="143" t="s">
        <v>745</v>
      </c>
      <c r="B171" s="144" t="s">
        <v>746</v>
      </c>
      <c r="C171" s="145">
        <v>0</v>
      </c>
      <c r="D171" s="145">
        <v>0</v>
      </c>
      <c r="E171" s="145">
        <v>0</v>
      </c>
      <c r="F171" s="145">
        <v>0</v>
      </c>
      <c r="G171" s="145">
        <v>0</v>
      </c>
      <c r="H171" s="145">
        <v>402.74</v>
      </c>
      <c r="I171" s="145">
        <v>0</v>
      </c>
      <c r="J171" s="145">
        <v>402.74</v>
      </c>
      <c r="K171" s="145">
        <v>0</v>
      </c>
      <c r="L171" s="145">
        <v>402.74</v>
      </c>
    </row>
    <row r="172" spans="1:12" x14ac:dyDescent="0.25">
      <c r="A172" s="143" t="s">
        <v>747</v>
      </c>
      <c r="B172" s="144" t="s">
        <v>748</v>
      </c>
      <c r="C172" s="145">
        <v>0</v>
      </c>
      <c r="D172" s="145">
        <v>0</v>
      </c>
      <c r="E172" s="145">
        <v>0</v>
      </c>
      <c r="F172" s="145">
        <v>19500</v>
      </c>
      <c r="G172" s="145">
        <v>0</v>
      </c>
      <c r="H172" s="145">
        <v>0</v>
      </c>
      <c r="I172" s="145">
        <v>0</v>
      </c>
      <c r="J172" s="145">
        <v>19500</v>
      </c>
      <c r="K172" s="145">
        <v>0</v>
      </c>
      <c r="L172" s="145">
        <v>19500</v>
      </c>
    </row>
    <row r="173" spans="1:12" x14ac:dyDescent="0.25">
      <c r="A173" s="143" t="s">
        <v>749</v>
      </c>
      <c r="B173" s="144" t="s">
        <v>750</v>
      </c>
      <c r="C173" s="145">
        <v>0</v>
      </c>
      <c r="D173" s="145">
        <v>0</v>
      </c>
      <c r="E173" s="145">
        <v>0</v>
      </c>
      <c r="F173" s="145">
        <v>430072.98</v>
      </c>
      <c r="G173" s="145">
        <v>0</v>
      </c>
      <c r="H173" s="145">
        <v>79407.509999999995</v>
      </c>
      <c r="I173" s="145">
        <v>0</v>
      </c>
      <c r="J173" s="145">
        <v>509480.49</v>
      </c>
      <c r="K173" s="145">
        <v>0</v>
      </c>
      <c r="L173" s="145">
        <v>509480.49</v>
      </c>
    </row>
    <row r="174" spans="1:12" x14ac:dyDescent="0.25">
      <c r="A174" s="143" t="s">
        <v>751</v>
      </c>
      <c r="B174" s="144" t="s">
        <v>752</v>
      </c>
      <c r="C174" s="145">
        <v>0</v>
      </c>
      <c r="D174" s="145">
        <v>0</v>
      </c>
      <c r="E174" s="145">
        <v>0</v>
      </c>
      <c r="F174" s="145">
        <v>1108.08</v>
      </c>
      <c r="G174" s="145">
        <v>0</v>
      </c>
      <c r="H174" s="145">
        <v>1274.77</v>
      </c>
      <c r="I174" s="145">
        <v>0</v>
      </c>
      <c r="J174" s="145">
        <v>2382.85</v>
      </c>
      <c r="K174" s="145">
        <v>0</v>
      </c>
      <c r="L174" s="145">
        <v>2382.85</v>
      </c>
    </row>
    <row r="175" spans="1:12" x14ac:dyDescent="0.25">
      <c r="A175" s="143" t="s">
        <v>753</v>
      </c>
      <c r="B175" s="144" t="s">
        <v>754</v>
      </c>
      <c r="C175" s="145">
        <v>0</v>
      </c>
      <c r="D175" s="145">
        <v>0</v>
      </c>
      <c r="E175" s="145">
        <v>0</v>
      </c>
      <c r="F175" s="145">
        <v>0</v>
      </c>
      <c r="G175" s="145">
        <v>0</v>
      </c>
      <c r="H175" s="145">
        <v>1263.6500000000001</v>
      </c>
      <c r="I175" s="145">
        <v>0</v>
      </c>
      <c r="J175" s="145">
        <v>1263.6500000000001</v>
      </c>
      <c r="K175" s="145">
        <v>0</v>
      </c>
      <c r="L175" s="145">
        <v>1263.6500000000001</v>
      </c>
    </row>
    <row r="176" spans="1:12" x14ac:dyDescent="0.25">
      <c r="A176" s="143" t="s">
        <v>755</v>
      </c>
      <c r="B176" s="144" t="s">
        <v>732</v>
      </c>
      <c r="C176" s="145">
        <v>0</v>
      </c>
      <c r="D176" s="145">
        <v>0</v>
      </c>
      <c r="E176" s="145">
        <v>0</v>
      </c>
      <c r="F176" s="145">
        <v>0</v>
      </c>
      <c r="G176" s="145">
        <v>0</v>
      </c>
      <c r="H176" s="145">
        <v>3434.24</v>
      </c>
      <c r="I176" s="145">
        <v>0</v>
      </c>
      <c r="J176" s="145">
        <v>3434.24</v>
      </c>
      <c r="K176" s="145">
        <v>0</v>
      </c>
      <c r="L176" s="145">
        <v>3434.24</v>
      </c>
    </row>
    <row r="177" spans="1:12" x14ac:dyDescent="0.25">
      <c r="A177" s="143" t="s">
        <v>756</v>
      </c>
      <c r="B177" s="144" t="s">
        <v>757</v>
      </c>
      <c r="C177" s="145">
        <v>0</v>
      </c>
      <c r="D177" s="145">
        <v>0</v>
      </c>
      <c r="E177" s="145">
        <v>0</v>
      </c>
      <c r="F177" s="145">
        <v>0.54</v>
      </c>
      <c r="G177" s="145">
        <v>0</v>
      </c>
      <c r="H177" s="145">
        <v>0</v>
      </c>
      <c r="I177" s="145">
        <v>0</v>
      </c>
      <c r="J177" s="145">
        <v>0.54</v>
      </c>
      <c r="K177" s="145">
        <v>0</v>
      </c>
      <c r="L177" s="145">
        <v>0.54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43" customWidth="1"/>
    <col min="2" max="2" width="46.7109375" style="144" customWidth="1"/>
    <col min="3" max="3" width="15.28515625" style="145" customWidth="1"/>
    <col min="4" max="4" width="15.28515625" style="145" bestFit="1" customWidth="1"/>
    <col min="5" max="5" width="15.140625" style="145" customWidth="1"/>
    <col min="6" max="7" width="15.28515625" style="145" bestFit="1" customWidth="1"/>
    <col min="8" max="8" width="15.28515625" style="145" customWidth="1"/>
    <col min="9" max="11" width="15.28515625" style="145" bestFit="1" customWidth="1"/>
    <col min="12" max="12" width="14.85546875" style="145" customWidth="1"/>
    <col min="13" max="16384" width="9.140625" style="139"/>
  </cols>
  <sheetData>
    <row r="1" spans="1:12" ht="22.5" x14ac:dyDescent="0.25">
      <c r="A1" s="149" t="s">
        <v>366</v>
      </c>
      <c r="B1" s="150" t="s">
        <v>367</v>
      </c>
      <c r="C1" s="151" t="s">
        <v>346</v>
      </c>
      <c r="D1" s="151" t="s">
        <v>347</v>
      </c>
      <c r="E1" s="151" t="s">
        <v>348</v>
      </c>
      <c r="F1" s="151" t="s">
        <v>349</v>
      </c>
      <c r="G1" s="151" t="s">
        <v>350</v>
      </c>
      <c r="H1" s="151" t="s">
        <v>351</v>
      </c>
      <c r="I1" s="151" t="s">
        <v>352</v>
      </c>
      <c r="J1" s="151" t="s">
        <v>353</v>
      </c>
      <c r="K1" s="151" t="s">
        <v>354</v>
      </c>
      <c r="L1" s="151" t="s">
        <v>355</v>
      </c>
    </row>
    <row r="2" spans="1:12" x14ac:dyDescent="0.25">
      <c r="A2" s="140" t="s">
        <v>758</v>
      </c>
      <c r="B2" s="141" t="s">
        <v>759</v>
      </c>
      <c r="C2" s="142">
        <v>0</v>
      </c>
      <c r="D2" s="142">
        <v>0</v>
      </c>
      <c r="E2" s="142">
        <v>4490</v>
      </c>
      <c r="F2" s="142">
        <v>0</v>
      </c>
      <c r="G2" s="142">
        <v>5770</v>
      </c>
      <c r="H2" s="142">
        <v>0</v>
      </c>
      <c r="I2" s="142">
        <v>10260</v>
      </c>
      <c r="J2" s="142">
        <v>0</v>
      </c>
      <c r="K2" s="142">
        <v>10260</v>
      </c>
      <c r="L2" s="142">
        <v>0</v>
      </c>
    </row>
    <row r="3" spans="1:12" x14ac:dyDescent="0.25">
      <c r="A3" s="140" t="s">
        <v>760</v>
      </c>
      <c r="B3" s="141" t="s">
        <v>30</v>
      </c>
      <c r="C3" s="142">
        <v>0</v>
      </c>
      <c r="D3" s="142">
        <v>0</v>
      </c>
      <c r="E3" s="142">
        <v>77652.39</v>
      </c>
      <c r="F3" s="142">
        <v>0</v>
      </c>
      <c r="G3" s="142">
        <v>1300</v>
      </c>
      <c r="H3" s="142">
        <v>0</v>
      </c>
      <c r="I3" s="142">
        <v>78952.39</v>
      </c>
      <c r="J3" s="142">
        <v>0</v>
      </c>
      <c r="K3" s="142">
        <v>78952.39</v>
      </c>
      <c r="L3" s="142">
        <v>0</v>
      </c>
    </row>
    <row r="4" spans="1:12" x14ac:dyDescent="0.25">
      <c r="A4" s="140" t="s">
        <v>761</v>
      </c>
      <c r="B4" s="141" t="s">
        <v>762</v>
      </c>
      <c r="C4" s="142">
        <v>0</v>
      </c>
      <c r="D4" s="142">
        <v>0</v>
      </c>
      <c r="E4" s="142">
        <v>271990.03000000003</v>
      </c>
      <c r="F4" s="142">
        <v>0</v>
      </c>
      <c r="G4" s="142">
        <v>10441</v>
      </c>
      <c r="H4" s="142">
        <v>0</v>
      </c>
      <c r="I4" s="142">
        <v>282431.03000000003</v>
      </c>
      <c r="J4" s="142">
        <v>0</v>
      </c>
      <c r="K4" s="142">
        <v>282431.03000000003</v>
      </c>
      <c r="L4" s="142">
        <v>0</v>
      </c>
    </row>
    <row r="5" spans="1:12" x14ac:dyDescent="0.25">
      <c r="A5" s="140" t="s">
        <v>763</v>
      </c>
      <c r="B5" s="141" t="s">
        <v>439</v>
      </c>
      <c r="C5" s="142">
        <v>0</v>
      </c>
      <c r="D5" s="142">
        <v>0</v>
      </c>
      <c r="E5" s="142">
        <v>0</v>
      </c>
      <c r="F5" s="142">
        <v>0</v>
      </c>
      <c r="G5" s="142">
        <v>5770</v>
      </c>
      <c r="H5" s="142">
        <v>5770</v>
      </c>
      <c r="I5" s="142">
        <v>10260</v>
      </c>
      <c r="J5" s="142">
        <v>10260</v>
      </c>
      <c r="K5" s="142">
        <v>0</v>
      </c>
      <c r="L5" s="142">
        <v>0</v>
      </c>
    </row>
    <row r="6" spans="1:12" x14ac:dyDescent="0.25">
      <c r="A6" s="140" t="s">
        <v>764</v>
      </c>
      <c r="B6" s="141" t="s">
        <v>441</v>
      </c>
      <c r="C6" s="142">
        <v>55750</v>
      </c>
      <c r="D6" s="142">
        <v>0</v>
      </c>
      <c r="E6" s="142">
        <v>-100985.86</v>
      </c>
      <c r="F6" s="142">
        <v>0</v>
      </c>
      <c r="G6" s="142">
        <v>112731.1</v>
      </c>
      <c r="H6" s="142">
        <v>11745.24</v>
      </c>
      <c r="I6" s="142">
        <v>305637.65999999997</v>
      </c>
      <c r="J6" s="142">
        <v>361387.66</v>
      </c>
      <c r="K6" s="142">
        <v>0</v>
      </c>
      <c r="L6" s="142">
        <v>0</v>
      </c>
    </row>
    <row r="7" spans="1:12" x14ac:dyDescent="0.25">
      <c r="A7" s="140" t="s">
        <v>765</v>
      </c>
      <c r="B7" s="141" t="s">
        <v>766</v>
      </c>
      <c r="C7" s="142">
        <v>0</v>
      </c>
      <c r="D7" s="142">
        <v>0</v>
      </c>
      <c r="E7" s="142">
        <v>38000</v>
      </c>
      <c r="F7" s="142">
        <v>0</v>
      </c>
      <c r="G7" s="142">
        <v>3434.24</v>
      </c>
      <c r="H7" s="142">
        <v>15000</v>
      </c>
      <c r="I7" s="142">
        <v>106434.24000000001</v>
      </c>
      <c r="J7" s="142">
        <v>80000</v>
      </c>
      <c r="K7" s="142">
        <v>26434.240000000002</v>
      </c>
      <c r="L7" s="142">
        <v>0</v>
      </c>
    </row>
    <row r="8" spans="1:12" x14ac:dyDescent="0.25">
      <c r="A8" s="140" t="s">
        <v>767</v>
      </c>
      <c r="B8" s="141" t="s">
        <v>768</v>
      </c>
      <c r="C8" s="142">
        <v>0</v>
      </c>
      <c r="D8" s="142">
        <v>0</v>
      </c>
      <c r="E8" s="142">
        <v>-658</v>
      </c>
      <c r="F8" s="142">
        <v>0</v>
      </c>
      <c r="G8" s="142">
        <v>0</v>
      </c>
      <c r="H8" s="142">
        <v>1052</v>
      </c>
      <c r="I8" s="142">
        <v>0</v>
      </c>
      <c r="J8" s="142">
        <v>1710</v>
      </c>
      <c r="K8" s="142">
        <v>-1710</v>
      </c>
      <c r="L8" s="142">
        <v>0</v>
      </c>
    </row>
    <row r="9" spans="1:12" x14ac:dyDescent="0.25">
      <c r="A9" s="140" t="s">
        <v>769</v>
      </c>
      <c r="B9" s="141" t="s">
        <v>770</v>
      </c>
      <c r="C9" s="142">
        <v>0</v>
      </c>
      <c r="D9" s="142">
        <v>0</v>
      </c>
      <c r="E9" s="142">
        <v>-2167</v>
      </c>
      <c r="F9" s="142">
        <v>0</v>
      </c>
      <c r="G9" s="142">
        <v>0</v>
      </c>
      <c r="H9" s="142">
        <v>557</v>
      </c>
      <c r="I9" s="142">
        <v>0</v>
      </c>
      <c r="J9" s="142">
        <v>2724</v>
      </c>
      <c r="K9" s="142">
        <v>-2724</v>
      </c>
      <c r="L9" s="142">
        <v>0</v>
      </c>
    </row>
    <row r="10" spans="1:12" x14ac:dyDescent="0.25">
      <c r="A10" s="140" t="s">
        <v>771</v>
      </c>
      <c r="B10" s="141" t="s">
        <v>772</v>
      </c>
      <c r="C10" s="142">
        <v>0</v>
      </c>
      <c r="D10" s="142">
        <v>0</v>
      </c>
      <c r="E10" s="142">
        <v>-23940</v>
      </c>
      <c r="F10" s="142">
        <v>0</v>
      </c>
      <c r="G10" s="142">
        <v>0</v>
      </c>
      <c r="H10" s="142">
        <v>3405</v>
      </c>
      <c r="I10" s="142">
        <v>0</v>
      </c>
      <c r="J10" s="142">
        <v>27345</v>
      </c>
      <c r="K10" s="142">
        <v>-27345</v>
      </c>
      <c r="L10" s="142">
        <v>0</v>
      </c>
    </row>
    <row r="11" spans="1:12" x14ac:dyDescent="0.25">
      <c r="A11" s="140" t="s">
        <v>773</v>
      </c>
      <c r="B11" s="141" t="s">
        <v>479</v>
      </c>
      <c r="C11" s="142">
        <v>0</v>
      </c>
      <c r="D11" s="142">
        <v>0</v>
      </c>
      <c r="E11" s="142">
        <v>101737.67</v>
      </c>
      <c r="F11" s="142">
        <v>0</v>
      </c>
      <c r="G11" s="142">
        <v>45073.99</v>
      </c>
      <c r="H11" s="142">
        <v>146811.66</v>
      </c>
      <c r="I11" s="142">
        <v>330518.44</v>
      </c>
      <c r="J11" s="142">
        <v>330518.44</v>
      </c>
      <c r="K11" s="142">
        <v>0</v>
      </c>
      <c r="L11" s="142">
        <v>0</v>
      </c>
    </row>
    <row r="12" spans="1:12" x14ac:dyDescent="0.25">
      <c r="A12" s="140" t="s">
        <v>774</v>
      </c>
      <c r="B12" s="141" t="s">
        <v>485</v>
      </c>
      <c r="C12" s="142">
        <v>0</v>
      </c>
      <c r="D12" s="142">
        <v>0</v>
      </c>
      <c r="E12" s="142">
        <v>38904.83</v>
      </c>
      <c r="F12" s="142">
        <v>0</v>
      </c>
      <c r="G12" s="142">
        <v>258195.93</v>
      </c>
      <c r="H12" s="142">
        <v>215062.19</v>
      </c>
      <c r="I12" s="142">
        <v>582697.23</v>
      </c>
      <c r="J12" s="142">
        <v>500658.66</v>
      </c>
      <c r="K12" s="142">
        <v>82038.570000000007</v>
      </c>
      <c r="L12" s="142">
        <v>0</v>
      </c>
    </row>
    <row r="13" spans="1:12" x14ac:dyDescent="0.25">
      <c r="A13" s="140" t="s">
        <v>775</v>
      </c>
      <c r="B13" s="141" t="s">
        <v>776</v>
      </c>
      <c r="C13" s="142">
        <v>0</v>
      </c>
      <c r="D13" s="142">
        <v>0</v>
      </c>
      <c r="E13" s="142">
        <v>-101123.38</v>
      </c>
      <c r="F13" s="142">
        <v>0</v>
      </c>
      <c r="G13" s="142">
        <v>130893.39</v>
      </c>
      <c r="H13" s="142">
        <v>29770.01</v>
      </c>
      <c r="I13" s="142">
        <v>150826.26</v>
      </c>
      <c r="J13" s="142">
        <v>150826.26</v>
      </c>
      <c r="K13" s="142">
        <v>0</v>
      </c>
      <c r="L13" s="142">
        <v>0</v>
      </c>
    </row>
    <row r="14" spans="1:12" x14ac:dyDescent="0.25">
      <c r="A14" s="140" t="s">
        <v>777</v>
      </c>
      <c r="B14" s="141" t="s">
        <v>778</v>
      </c>
      <c r="C14" s="142">
        <v>0</v>
      </c>
      <c r="D14" s="142">
        <v>0</v>
      </c>
      <c r="E14" s="142">
        <v>22454.57</v>
      </c>
      <c r="F14" s="142">
        <v>0</v>
      </c>
      <c r="G14" s="142">
        <v>89525.22</v>
      </c>
      <c r="H14" s="142">
        <v>91776.57</v>
      </c>
      <c r="I14" s="142">
        <v>460513.94</v>
      </c>
      <c r="J14" s="142">
        <v>440310.72</v>
      </c>
      <c r="K14" s="142">
        <v>20203.22</v>
      </c>
      <c r="L14" s="142">
        <v>0</v>
      </c>
    </row>
    <row r="15" spans="1:12" x14ac:dyDescent="0.25">
      <c r="A15" s="140" t="s">
        <v>779</v>
      </c>
      <c r="B15" s="141" t="s">
        <v>515</v>
      </c>
      <c r="C15" s="142">
        <v>0</v>
      </c>
      <c r="D15" s="142">
        <v>0</v>
      </c>
      <c r="E15" s="142">
        <v>9969.8799999999992</v>
      </c>
      <c r="F15" s="142">
        <v>0</v>
      </c>
      <c r="G15" s="142">
        <v>17162.84</v>
      </c>
      <c r="H15" s="142">
        <v>24956.59</v>
      </c>
      <c r="I15" s="142">
        <v>36251.629999999997</v>
      </c>
      <c r="J15" s="142">
        <v>34075.5</v>
      </c>
      <c r="K15" s="142">
        <v>2176.13</v>
      </c>
      <c r="L15" s="142">
        <v>0</v>
      </c>
    </row>
    <row r="16" spans="1:12" x14ac:dyDescent="0.25">
      <c r="A16" s="140" t="s">
        <v>780</v>
      </c>
      <c r="B16" s="141" t="s">
        <v>781</v>
      </c>
      <c r="C16" s="142">
        <v>3749.73</v>
      </c>
      <c r="D16" s="142">
        <v>0</v>
      </c>
      <c r="E16" s="142">
        <v>4520.42</v>
      </c>
      <c r="F16" s="142">
        <v>0</v>
      </c>
      <c r="G16" s="142">
        <v>123291.62</v>
      </c>
      <c r="H16" s="142">
        <v>103717.39</v>
      </c>
      <c r="I16" s="142">
        <v>1237506.3899999999</v>
      </c>
      <c r="J16" s="142">
        <v>1217161.47</v>
      </c>
      <c r="K16" s="142">
        <v>24094.65</v>
      </c>
      <c r="L16" s="142">
        <v>0</v>
      </c>
    </row>
    <row r="17" spans="1:12" x14ac:dyDescent="0.25">
      <c r="A17" s="140" t="s">
        <v>782</v>
      </c>
      <c r="B17" s="141" t="s">
        <v>537</v>
      </c>
      <c r="C17" s="142">
        <v>0</v>
      </c>
      <c r="D17" s="142">
        <v>0</v>
      </c>
      <c r="E17" s="142">
        <v>25027.439999999999</v>
      </c>
      <c r="F17" s="142">
        <v>0</v>
      </c>
      <c r="G17" s="142">
        <v>112787.53</v>
      </c>
      <c r="H17" s="142">
        <v>137075.89000000001</v>
      </c>
      <c r="I17" s="142">
        <v>582996.27</v>
      </c>
      <c r="J17" s="142">
        <v>582257.18999999994</v>
      </c>
      <c r="K17" s="142">
        <v>739.08</v>
      </c>
      <c r="L17" s="142">
        <v>0</v>
      </c>
    </row>
    <row r="18" spans="1:12" x14ac:dyDescent="0.25">
      <c r="A18" s="140" t="s">
        <v>783</v>
      </c>
      <c r="B18" s="141" t="s">
        <v>784</v>
      </c>
      <c r="C18" s="142">
        <v>0</v>
      </c>
      <c r="D18" s="142">
        <v>0</v>
      </c>
      <c r="E18" s="142">
        <v>24567.52</v>
      </c>
      <c r="F18" s="142">
        <v>0</v>
      </c>
      <c r="G18" s="142">
        <v>137584</v>
      </c>
      <c r="H18" s="142">
        <v>7007.68</v>
      </c>
      <c r="I18" s="142">
        <v>162752.94</v>
      </c>
      <c r="J18" s="142">
        <v>7609.1</v>
      </c>
      <c r="K18" s="142">
        <v>155143.84</v>
      </c>
      <c r="L18" s="142">
        <v>0</v>
      </c>
    </row>
    <row r="19" spans="1:12" x14ac:dyDescent="0.25">
      <c r="A19" s="140" t="s">
        <v>785</v>
      </c>
      <c r="B19" s="141" t="s">
        <v>543</v>
      </c>
      <c r="C19" s="142">
        <v>0</v>
      </c>
      <c r="D19" s="142">
        <v>0</v>
      </c>
      <c r="E19" s="142">
        <v>199018.78</v>
      </c>
      <c r="F19" s="142">
        <v>0</v>
      </c>
      <c r="G19" s="142">
        <v>1903.18</v>
      </c>
      <c r="H19" s="142">
        <v>170707.79</v>
      </c>
      <c r="I19" s="142">
        <v>271088.37</v>
      </c>
      <c r="J19" s="142">
        <v>240874.2</v>
      </c>
      <c r="K19" s="142">
        <v>30214.17</v>
      </c>
      <c r="L19" s="142">
        <v>0</v>
      </c>
    </row>
    <row r="20" spans="1:12" x14ac:dyDescent="0.25">
      <c r="A20" s="140" t="s">
        <v>786</v>
      </c>
      <c r="B20" s="141" t="s">
        <v>555</v>
      </c>
      <c r="C20" s="142">
        <v>0</v>
      </c>
      <c r="D20" s="142">
        <v>0</v>
      </c>
      <c r="E20" s="142">
        <v>8910.6</v>
      </c>
      <c r="F20" s="142">
        <v>0</v>
      </c>
      <c r="G20" s="142">
        <v>12904.93</v>
      </c>
      <c r="H20" s="142">
        <v>16045.3</v>
      </c>
      <c r="I20" s="142">
        <v>23619.59</v>
      </c>
      <c r="J20" s="142">
        <v>17849.36</v>
      </c>
      <c r="K20" s="142">
        <v>5770.23</v>
      </c>
      <c r="L20" s="142">
        <v>0</v>
      </c>
    </row>
    <row r="21" spans="1:12" x14ac:dyDescent="0.25">
      <c r="A21" s="140" t="s">
        <v>787</v>
      </c>
      <c r="B21" s="141" t="s">
        <v>788</v>
      </c>
      <c r="C21" s="142">
        <v>0</v>
      </c>
      <c r="D21" s="142">
        <v>2084.7600000000002</v>
      </c>
      <c r="E21" s="142">
        <v>0</v>
      </c>
      <c r="F21" s="142">
        <v>186429.02</v>
      </c>
      <c r="G21" s="142">
        <v>48383.62</v>
      </c>
      <c r="H21" s="142">
        <v>105268.09</v>
      </c>
      <c r="I21" s="142">
        <v>602972.77</v>
      </c>
      <c r="J21" s="142">
        <v>844201.5</v>
      </c>
      <c r="K21" s="142">
        <v>0</v>
      </c>
      <c r="L21" s="142">
        <v>243313.49</v>
      </c>
    </row>
    <row r="22" spans="1:12" x14ac:dyDescent="0.25">
      <c r="A22" s="140" t="s">
        <v>789</v>
      </c>
      <c r="B22" s="141" t="s">
        <v>565</v>
      </c>
      <c r="C22" s="142">
        <v>0</v>
      </c>
      <c r="D22" s="142">
        <v>0</v>
      </c>
      <c r="E22" s="142">
        <v>0</v>
      </c>
      <c r="F22" s="142">
        <v>0</v>
      </c>
      <c r="G22" s="142">
        <v>0</v>
      </c>
      <c r="H22" s="142">
        <v>13350.37</v>
      </c>
      <c r="I22" s="142">
        <v>0</v>
      </c>
      <c r="J22" s="142">
        <v>13350.37</v>
      </c>
      <c r="K22" s="142">
        <v>0</v>
      </c>
      <c r="L22" s="142">
        <v>13350.37</v>
      </c>
    </row>
    <row r="23" spans="1:12" x14ac:dyDescent="0.25">
      <c r="A23" s="140" t="s">
        <v>790</v>
      </c>
      <c r="B23" s="141" t="s">
        <v>791</v>
      </c>
      <c r="C23" s="142">
        <v>0</v>
      </c>
      <c r="D23" s="142">
        <v>0</v>
      </c>
      <c r="E23" s="142">
        <v>0</v>
      </c>
      <c r="F23" s="142">
        <v>2200.0100000000002</v>
      </c>
      <c r="G23" s="142">
        <v>4800</v>
      </c>
      <c r="H23" s="142">
        <v>10760</v>
      </c>
      <c r="I23" s="142">
        <v>72490.320000000007</v>
      </c>
      <c r="J23" s="142">
        <v>80650.33</v>
      </c>
      <c r="K23" s="142">
        <v>0</v>
      </c>
      <c r="L23" s="142">
        <v>8160.01</v>
      </c>
    </row>
    <row r="24" spans="1:12" x14ac:dyDescent="0.25">
      <c r="A24" s="140" t="s">
        <v>792</v>
      </c>
      <c r="B24" s="141" t="s">
        <v>573</v>
      </c>
      <c r="C24" s="142">
        <v>0</v>
      </c>
      <c r="D24" s="142">
        <v>0</v>
      </c>
      <c r="E24" s="142">
        <v>0</v>
      </c>
      <c r="F24" s="142">
        <v>0</v>
      </c>
      <c r="G24" s="142">
        <v>0</v>
      </c>
      <c r="H24" s="142">
        <v>6458.9</v>
      </c>
      <c r="I24" s="142">
        <v>0</v>
      </c>
      <c r="J24" s="142">
        <v>6458.9</v>
      </c>
      <c r="K24" s="142">
        <v>0</v>
      </c>
      <c r="L24" s="142">
        <v>6458.9</v>
      </c>
    </row>
    <row r="25" spans="1:12" x14ac:dyDescent="0.25">
      <c r="A25" s="140" t="s">
        <v>793</v>
      </c>
      <c r="B25" s="141" t="s">
        <v>577</v>
      </c>
      <c r="C25" s="142">
        <v>0</v>
      </c>
      <c r="D25" s="142">
        <v>0</v>
      </c>
      <c r="E25" s="142">
        <v>0</v>
      </c>
      <c r="F25" s="142">
        <v>25469.65</v>
      </c>
      <c r="G25" s="142">
        <v>204337.14</v>
      </c>
      <c r="H25" s="142">
        <v>203845.12</v>
      </c>
      <c r="I25" s="142">
        <v>465890.54</v>
      </c>
      <c r="J25" s="142">
        <v>490868.17</v>
      </c>
      <c r="K25" s="142">
        <v>0</v>
      </c>
      <c r="L25" s="142">
        <v>24977.63</v>
      </c>
    </row>
    <row r="26" spans="1:12" x14ac:dyDescent="0.25">
      <c r="A26" s="140" t="s">
        <v>794</v>
      </c>
      <c r="B26" s="141" t="s">
        <v>581</v>
      </c>
      <c r="C26" s="142">
        <v>0</v>
      </c>
      <c r="D26" s="142">
        <v>0</v>
      </c>
      <c r="E26" s="142">
        <v>0</v>
      </c>
      <c r="F26" s="142">
        <v>316.3</v>
      </c>
      <c r="G26" s="142">
        <v>513.19000000000005</v>
      </c>
      <c r="H26" s="142">
        <v>196.89</v>
      </c>
      <c r="I26" s="142">
        <v>513.19000000000005</v>
      </c>
      <c r="J26" s="142">
        <v>513.19000000000005</v>
      </c>
      <c r="K26" s="142">
        <v>0</v>
      </c>
      <c r="L26" s="142">
        <v>0</v>
      </c>
    </row>
    <row r="27" spans="1:12" x14ac:dyDescent="0.25">
      <c r="A27" s="140" t="s">
        <v>795</v>
      </c>
      <c r="B27" s="141" t="s">
        <v>583</v>
      </c>
      <c r="C27" s="142">
        <v>0</v>
      </c>
      <c r="D27" s="142">
        <v>0</v>
      </c>
      <c r="E27" s="142">
        <v>-2714.75</v>
      </c>
      <c r="F27" s="142">
        <v>0</v>
      </c>
      <c r="G27" s="142">
        <v>6518.58</v>
      </c>
      <c r="H27" s="142">
        <v>3803.83</v>
      </c>
      <c r="I27" s="142">
        <v>8842.6200000000008</v>
      </c>
      <c r="J27" s="142">
        <v>8842.6200000000008</v>
      </c>
      <c r="K27" s="142">
        <v>0</v>
      </c>
      <c r="L27" s="142">
        <v>0</v>
      </c>
    </row>
    <row r="28" spans="1:12" x14ac:dyDescent="0.25">
      <c r="A28" s="140" t="s">
        <v>796</v>
      </c>
      <c r="B28" s="141" t="s">
        <v>797</v>
      </c>
      <c r="C28" s="142">
        <v>0</v>
      </c>
      <c r="D28" s="142">
        <v>0</v>
      </c>
      <c r="E28" s="142">
        <v>0</v>
      </c>
      <c r="F28" s="142">
        <v>32101.84</v>
      </c>
      <c r="G28" s="142">
        <v>39843.79</v>
      </c>
      <c r="H28" s="142">
        <v>42493.66</v>
      </c>
      <c r="I28" s="142">
        <v>87698.15</v>
      </c>
      <c r="J28" s="142">
        <v>122449.86</v>
      </c>
      <c r="K28" s="142">
        <v>0</v>
      </c>
      <c r="L28" s="142">
        <v>34751.71</v>
      </c>
    </row>
    <row r="29" spans="1:12" x14ac:dyDescent="0.25">
      <c r="A29" s="140" t="s">
        <v>798</v>
      </c>
      <c r="B29" s="141" t="s">
        <v>597</v>
      </c>
      <c r="C29" s="142">
        <v>-720</v>
      </c>
      <c r="D29" s="142">
        <v>0</v>
      </c>
      <c r="E29" s="142">
        <v>0</v>
      </c>
      <c r="F29" s="142">
        <v>0</v>
      </c>
      <c r="G29" s="142">
        <v>0</v>
      </c>
      <c r="H29" s="142">
        <v>960</v>
      </c>
      <c r="I29" s="142">
        <v>720</v>
      </c>
      <c r="J29" s="142">
        <v>960</v>
      </c>
      <c r="K29" s="142">
        <v>-960</v>
      </c>
      <c r="L29" s="142">
        <v>0</v>
      </c>
    </row>
    <row r="30" spans="1:12" x14ac:dyDescent="0.25">
      <c r="A30" s="140" t="s">
        <v>799</v>
      </c>
      <c r="B30" s="141" t="s">
        <v>599</v>
      </c>
      <c r="C30" s="142">
        <v>0</v>
      </c>
      <c r="D30" s="142">
        <v>0</v>
      </c>
      <c r="E30" s="142">
        <v>8011.63</v>
      </c>
      <c r="F30" s="142">
        <v>13924.41</v>
      </c>
      <c r="G30" s="142">
        <v>19879.88</v>
      </c>
      <c r="H30" s="142">
        <v>20106.79</v>
      </c>
      <c r="I30" s="142">
        <v>29003.66</v>
      </c>
      <c r="J30" s="142">
        <v>35143.35</v>
      </c>
      <c r="K30" s="142">
        <v>-6139.69</v>
      </c>
      <c r="L30" s="142">
        <v>0</v>
      </c>
    </row>
    <row r="31" spans="1:12" x14ac:dyDescent="0.25">
      <c r="A31" s="140" t="s">
        <v>800</v>
      </c>
      <c r="B31" s="141" t="s">
        <v>801</v>
      </c>
      <c r="C31" s="142">
        <v>0</v>
      </c>
      <c r="D31" s="142">
        <v>-525.57000000000005</v>
      </c>
      <c r="E31" s="142">
        <v>0</v>
      </c>
      <c r="F31" s="142">
        <v>12418.71</v>
      </c>
      <c r="G31" s="142">
        <v>43128.83</v>
      </c>
      <c r="H31" s="142">
        <v>38921.35</v>
      </c>
      <c r="I31" s="142">
        <v>326031.24</v>
      </c>
      <c r="J31" s="142">
        <v>334768.03999999998</v>
      </c>
      <c r="K31" s="142">
        <v>0</v>
      </c>
      <c r="L31" s="142">
        <v>8211.23</v>
      </c>
    </row>
    <row r="32" spans="1:12" x14ac:dyDescent="0.25">
      <c r="A32" s="140" t="s">
        <v>802</v>
      </c>
      <c r="B32" s="141" t="s">
        <v>803</v>
      </c>
      <c r="C32" s="142">
        <v>0</v>
      </c>
      <c r="D32" s="142">
        <v>5000</v>
      </c>
      <c r="E32" s="142">
        <v>0</v>
      </c>
      <c r="F32" s="142">
        <v>11000</v>
      </c>
      <c r="G32" s="142">
        <v>11000</v>
      </c>
      <c r="H32" s="142">
        <v>0</v>
      </c>
      <c r="I32" s="142">
        <v>11000</v>
      </c>
      <c r="J32" s="142">
        <v>6000</v>
      </c>
      <c r="K32" s="142">
        <v>0</v>
      </c>
      <c r="L32" s="142">
        <v>0</v>
      </c>
    </row>
    <row r="33" spans="1:12" x14ac:dyDescent="0.25">
      <c r="A33" s="140" t="s">
        <v>804</v>
      </c>
      <c r="B33" s="141" t="s">
        <v>617</v>
      </c>
      <c r="C33" s="142">
        <v>0</v>
      </c>
      <c r="D33" s="142">
        <v>56000</v>
      </c>
      <c r="E33" s="142">
        <v>0</v>
      </c>
      <c r="F33" s="142">
        <v>603227.75</v>
      </c>
      <c r="G33" s="142">
        <v>15939.62</v>
      </c>
      <c r="H33" s="142">
        <v>32272.01</v>
      </c>
      <c r="I33" s="142">
        <v>37076.949999999997</v>
      </c>
      <c r="J33" s="142">
        <v>600637.09</v>
      </c>
      <c r="K33" s="142">
        <v>0</v>
      </c>
      <c r="L33" s="142">
        <v>619560.14</v>
      </c>
    </row>
    <row r="34" spans="1:12" x14ac:dyDescent="0.25">
      <c r="A34" s="140" t="s">
        <v>805</v>
      </c>
      <c r="B34" s="141" t="s">
        <v>635</v>
      </c>
      <c r="C34" s="142">
        <v>0</v>
      </c>
      <c r="D34" s="142">
        <v>0</v>
      </c>
      <c r="E34" s="142">
        <v>0</v>
      </c>
      <c r="F34" s="142">
        <v>0</v>
      </c>
      <c r="G34" s="142">
        <v>8810.68</v>
      </c>
      <c r="H34" s="142">
        <v>2800</v>
      </c>
      <c r="I34" s="142">
        <v>8810.68</v>
      </c>
      <c r="J34" s="142">
        <v>2800</v>
      </c>
      <c r="K34" s="142">
        <v>6010.68</v>
      </c>
      <c r="L34" s="142">
        <v>0</v>
      </c>
    </row>
    <row r="35" spans="1:12" x14ac:dyDescent="0.25">
      <c r="A35" s="140" t="s">
        <v>806</v>
      </c>
      <c r="B35" s="141" t="s">
        <v>639</v>
      </c>
      <c r="C35" s="142">
        <v>0</v>
      </c>
      <c r="D35" s="142">
        <v>0</v>
      </c>
      <c r="E35" s="142">
        <v>0</v>
      </c>
      <c r="F35" s="142">
        <v>0</v>
      </c>
      <c r="G35" s="142">
        <v>0</v>
      </c>
      <c r="H35" s="142">
        <v>3800</v>
      </c>
      <c r="I35" s="142">
        <v>0</v>
      </c>
      <c r="J35" s="142">
        <v>3800</v>
      </c>
      <c r="K35" s="142">
        <v>0</v>
      </c>
      <c r="L35" s="142">
        <v>3800</v>
      </c>
    </row>
    <row r="36" spans="1:12" x14ac:dyDescent="0.25">
      <c r="A36" s="140" t="s">
        <v>807</v>
      </c>
      <c r="B36" s="141" t="s">
        <v>641</v>
      </c>
      <c r="C36" s="142">
        <v>0</v>
      </c>
      <c r="D36" s="142">
        <v>0</v>
      </c>
      <c r="E36" s="142">
        <v>0</v>
      </c>
      <c r="F36" s="142">
        <v>0</v>
      </c>
      <c r="G36" s="142">
        <v>402.74</v>
      </c>
      <c r="H36" s="142">
        <v>0</v>
      </c>
      <c r="I36" s="142">
        <v>402.74</v>
      </c>
      <c r="J36" s="142">
        <v>0</v>
      </c>
      <c r="K36" s="142">
        <v>402.74</v>
      </c>
      <c r="L36" s="142">
        <v>0</v>
      </c>
    </row>
    <row r="37" spans="1:12" x14ac:dyDescent="0.25">
      <c r="A37" s="140" t="s">
        <v>808</v>
      </c>
      <c r="B37" s="141" t="s">
        <v>643</v>
      </c>
      <c r="C37" s="142">
        <v>0</v>
      </c>
      <c r="D37" s="142">
        <v>0</v>
      </c>
      <c r="E37" s="142">
        <v>0</v>
      </c>
      <c r="F37" s="142">
        <v>0</v>
      </c>
      <c r="G37" s="142">
        <v>3779.46</v>
      </c>
      <c r="H37" s="142">
        <v>0</v>
      </c>
      <c r="I37" s="142">
        <v>3779.46</v>
      </c>
      <c r="J37" s="142">
        <v>0</v>
      </c>
      <c r="K37" s="142">
        <v>0</v>
      </c>
      <c r="L37" s="142">
        <v>-3779.46</v>
      </c>
    </row>
    <row r="38" spans="1:12" x14ac:dyDescent="0.25">
      <c r="A38" s="140" t="s">
        <v>809</v>
      </c>
      <c r="B38" s="141" t="s">
        <v>645</v>
      </c>
      <c r="C38" s="142">
        <v>3779.46</v>
      </c>
      <c r="D38" s="142">
        <v>0</v>
      </c>
      <c r="E38" s="142">
        <v>0</v>
      </c>
      <c r="F38" s="142">
        <v>-3779.46</v>
      </c>
      <c r="G38" s="142">
        <v>0</v>
      </c>
      <c r="H38" s="142">
        <v>3779.46</v>
      </c>
      <c r="I38" s="142">
        <v>0</v>
      </c>
      <c r="J38" s="142">
        <v>3779.46</v>
      </c>
      <c r="K38" s="142">
        <v>0</v>
      </c>
      <c r="L38" s="142">
        <v>0</v>
      </c>
    </row>
    <row r="39" spans="1:12" x14ac:dyDescent="0.25">
      <c r="A39" s="140" t="s">
        <v>810</v>
      </c>
      <c r="B39" s="141" t="s">
        <v>647</v>
      </c>
      <c r="C39" s="142">
        <v>0</v>
      </c>
      <c r="D39" s="142">
        <v>0</v>
      </c>
      <c r="E39" s="142">
        <v>0</v>
      </c>
      <c r="F39" s="142">
        <v>875.59</v>
      </c>
      <c r="G39" s="142">
        <v>3.82</v>
      </c>
      <c r="H39" s="142">
        <v>181.51</v>
      </c>
      <c r="I39" s="142">
        <v>6.7</v>
      </c>
      <c r="J39" s="142">
        <v>1059.98</v>
      </c>
      <c r="K39" s="142">
        <v>0</v>
      </c>
      <c r="L39" s="142">
        <v>1053.28</v>
      </c>
    </row>
    <row r="40" spans="1:12" x14ac:dyDescent="0.25">
      <c r="A40" s="140" t="s">
        <v>811</v>
      </c>
      <c r="B40" s="141" t="s">
        <v>812</v>
      </c>
      <c r="C40" s="142">
        <v>0</v>
      </c>
      <c r="D40" s="142">
        <v>0</v>
      </c>
      <c r="E40" s="142">
        <v>26466.400000000001</v>
      </c>
      <c r="F40" s="142">
        <v>0</v>
      </c>
      <c r="G40" s="142">
        <v>15957.15</v>
      </c>
      <c r="H40" s="142">
        <v>0</v>
      </c>
      <c r="I40" s="142">
        <v>42423.55</v>
      </c>
      <c r="J40" s="142">
        <v>0</v>
      </c>
      <c r="K40" s="142">
        <v>42423.55</v>
      </c>
      <c r="L40" s="142">
        <v>0</v>
      </c>
    </row>
    <row r="41" spans="1:12" x14ac:dyDescent="0.25">
      <c r="A41" s="140" t="s">
        <v>813</v>
      </c>
      <c r="B41" s="141" t="s">
        <v>814</v>
      </c>
      <c r="C41" s="142">
        <v>0</v>
      </c>
      <c r="D41" s="142">
        <v>0</v>
      </c>
      <c r="E41" s="142">
        <v>15792.41</v>
      </c>
      <c r="F41" s="142">
        <v>0</v>
      </c>
      <c r="G41" s="142">
        <v>3438.66</v>
      </c>
      <c r="H41" s="142">
        <v>0</v>
      </c>
      <c r="I41" s="142">
        <v>19231.07</v>
      </c>
      <c r="J41" s="142">
        <v>0</v>
      </c>
      <c r="K41" s="142">
        <v>19231.07</v>
      </c>
      <c r="L41" s="142">
        <v>0</v>
      </c>
    </row>
    <row r="42" spans="1:12" x14ac:dyDescent="0.25">
      <c r="A42" s="140" t="s">
        <v>815</v>
      </c>
      <c r="B42" s="141" t="s">
        <v>816</v>
      </c>
      <c r="C42" s="142">
        <v>0</v>
      </c>
      <c r="D42" s="142">
        <v>0</v>
      </c>
      <c r="E42" s="142">
        <v>215.44</v>
      </c>
      <c r="F42" s="142">
        <v>0</v>
      </c>
      <c r="G42" s="142">
        <v>33.42</v>
      </c>
      <c r="H42" s="142">
        <v>0</v>
      </c>
      <c r="I42" s="142">
        <v>248.86</v>
      </c>
      <c r="J42" s="142">
        <v>0</v>
      </c>
      <c r="K42" s="142">
        <v>248.86</v>
      </c>
      <c r="L42" s="142">
        <v>0</v>
      </c>
    </row>
    <row r="43" spans="1:12" x14ac:dyDescent="0.25">
      <c r="A43" s="140" t="s">
        <v>817</v>
      </c>
      <c r="B43" s="141" t="s">
        <v>665</v>
      </c>
      <c r="C43" s="142">
        <v>0</v>
      </c>
      <c r="D43" s="142">
        <v>0</v>
      </c>
      <c r="E43" s="142">
        <v>245706.43</v>
      </c>
      <c r="F43" s="142">
        <v>0</v>
      </c>
      <c r="G43" s="142">
        <v>66148.789999999994</v>
      </c>
      <c r="H43" s="142">
        <v>0</v>
      </c>
      <c r="I43" s="142">
        <v>311376.78999999998</v>
      </c>
      <c r="J43" s="142">
        <v>-478.43</v>
      </c>
      <c r="K43" s="142">
        <v>311855.21999999997</v>
      </c>
      <c r="L43" s="142">
        <v>0</v>
      </c>
    </row>
    <row r="44" spans="1:12" x14ac:dyDescent="0.25">
      <c r="A44" s="140" t="s">
        <v>818</v>
      </c>
      <c r="B44" s="141" t="s">
        <v>676</v>
      </c>
      <c r="C44" s="142">
        <v>0</v>
      </c>
      <c r="D44" s="142">
        <v>0</v>
      </c>
      <c r="E44" s="142">
        <v>148.44</v>
      </c>
      <c r="F44" s="142">
        <v>0</v>
      </c>
      <c r="G44" s="142">
        <v>0</v>
      </c>
      <c r="H44" s="142">
        <v>0</v>
      </c>
      <c r="I44" s="142">
        <v>148.44</v>
      </c>
      <c r="J44" s="142">
        <v>0</v>
      </c>
      <c r="K44" s="142">
        <v>148.44</v>
      </c>
      <c r="L44" s="142">
        <v>0</v>
      </c>
    </row>
    <row r="45" spans="1:12" x14ac:dyDescent="0.25">
      <c r="A45" s="140" t="s">
        <v>819</v>
      </c>
      <c r="B45" s="141" t="s">
        <v>678</v>
      </c>
      <c r="C45" s="142">
        <v>0</v>
      </c>
      <c r="D45" s="142">
        <v>0</v>
      </c>
      <c r="E45" s="142">
        <v>176008.59</v>
      </c>
      <c r="F45" s="142">
        <v>0</v>
      </c>
      <c r="G45" s="142">
        <v>39480.06</v>
      </c>
      <c r="H45" s="142">
        <v>0</v>
      </c>
      <c r="I45" s="142">
        <v>224915.06</v>
      </c>
      <c r="J45" s="142">
        <v>9426.41</v>
      </c>
      <c r="K45" s="142">
        <v>215488.65</v>
      </c>
      <c r="L45" s="142">
        <v>0</v>
      </c>
    </row>
    <row r="46" spans="1:12" x14ac:dyDescent="0.25">
      <c r="A46" s="140" t="s">
        <v>820</v>
      </c>
      <c r="B46" s="141" t="s">
        <v>708</v>
      </c>
      <c r="C46" s="142">
        <v>0</v>
      </c>
      <c r="D46" s="142">
        <v>0</v>
      </c>
      <c r="E46" s="142">
        <v>166910.64000000001</v>
      </c>
      <c r="F46" s="142">
        <v>0</v>
      </c>
      <c r="G46" s="142">
        <v>43542.15</v>
      </c>
      <c r="H46" s="142">
        <v>0</v>
      </c>
      <c r="I46" s="142">
        <v>210452.79</v>
      </c>
      <c r="J46" s="142">
        <v>0</v>
      </c>
      <c r="K46" s="142">
        <v>210452.79</v>
      </c>
      <c r="L46" s="142">
        <v>0</v>
      </c>
    </row>
    <row r="47" spans="1:12" x14ac:dyDescent="0.25">
      <c r="A47" s="140" t="s">
        <v>821</v>
      </c>
      <c r="B47" s="141" t="s">
        <v>712</v>
      </c>
      <c r="C47" s="142">
        <v>0</v>
      </c>
      <c r="D47" s="142">
        <v>0</v>
      </c>
      <c r="E47" s="142">
        <v>57977.91</v>
      </c>
      <c r="F47" s="142">
        <v>0</v>
      </c>
      <c r="G47" s="142">
        <v>22184.21</v>
      </c>
      <c r="H47" s="142">
        <v>0</v>
      </c>
      <c r="I47" s="142">
        <v>80162.12</v>
      </c>
      <c r="J47" s="142">
        <v>0</v>
      </c>
      <c r="K47" s="142">
        <v>80162.12</v>
      </c>
      <c r="L47" s="142">
        <v>0</v>
      </c>
    </row>
    <row r="48" spans="1:12" x14ac:dyDescent="0.25">
      <c r="A48" s="140" t="s">
        <v>822</v>
      </c>
      <c r="B48" s="141" t="s">
        <v>716</v>
      </c>
      <c r="C48" s="142">
        <v>0</v>
      </c>
      <c r="D48" s="142">
        <v>0</v>
      </c>
      <c r="E48" s="142">
        <v>1057.03</v>
      </c>
      <c r="F48" s="142">
        <v>0</v>
      </c>
      <c r="G48" s="142">
        <v>1612.06</v>
      </c>
      <c r="H48" s="142">
        <v>0</v>
      </c>
      <c r="I48" s="142">
        <v>2669.09</v>
      </c>
      <c r="J48" s="142">
        <v>0</v>
      </c>
      <c r="K48" s="142">
        <v>2669.09</v>
      </c>
      <c r="L48" s="142">
        <v>0</v>
      </c>
    </row>
    <row r="49" spans="1:12" x14ac:dyDescent="0.25">
      <c r="A49" s="140" t="s">
        <v>823</v>
      </c>
      <c r="B49" s="141" t="s">
        <v>824</v>
      </c>
      <c r="C49" s="142">
        <v>0</v>
      </c>
      <c r="D49" s="142">
        <v>0</v>
      </c>
      <c r="E49" s="142">
        <v>50</v>
      </c>
      <c r="F49" s="142">
        <v>0</v>
      </c>
      <c r="G49" s="142">
        <v>0</v>
      </c>
      <c r="H49" s="142">
        <v>0</v>
      </c>
      <c r="I49" s="142">
        <v>50</v>
      </c>
      <c r="J49" s="142">
        <v>0</v>
      </c>
      <c r="K49" s="142">
        <v>50</v>
      </c>
      <c r="L49" s="142">
        <v>0</v>
      </c>
    </row>
    <row r="50" spans="1:12" x14ac:dyDescent="0.25">
      <c r="A50" s="140" t="s">
        <v>825</v>
      </c>
      <c r="B50" s="141" t="s">
        <v>720</v>
      </c>
      <c r="C50" s="142">
        <v>0</v>
      </c>
      <c r="D50" s="142">
        <v>0</v>
      </c>
      <c r="E50" s="142">
        <v>0</v>
      </c>
      <c r="F50" s="142">
        <v>0</v>
      </c>
      <c r="G50" s="142">
        <v>5</v>
      </c>
      <c r="H50" s="142">
        <v>0</v>
      </c>
      <c r="I50" s="142">
        <v>5</v>
      </c>
      <c r="J50" s="142">
        <v>0</v>
      </c>
      <c r="K50" s="142">
        <v>5</v>
      </c>
      <c r="L50" s="142">
        <v>0</v>
      </c>
    </row>
    <row r="51" spans="1:12" x14ac:dyDescent="0.25">
      <c r="A51" s="140" t="s">
        <v>826</v>
      </c>
      <c r="B51" s="141" t="s">
        <v>722</v>
      </c>
      <c r="C51" s="142">
        <v>0</v>
      </c>
      <c r="D51" s="142">
        <v>0</v>
      </c>
      <c r="E51" s="142">
        <v>53.94</v>
      </c>
      <c r="F51" s="142">
        <v>0</v>
      </c>
      <c r="G51" s="142">
        <v>99</v>
      </c>
      <c r="H51" s="142">
        <v>0</v>
      </c>
      <c r="I51" s="142">
        <v>152.94</v>
      </c>
      <c r="J51" s="142">
        <v>0</v>
      </c>
      <c r="K51" s="142">
        <v>152.94</v>
      </c>
      <c r="L51" s="142">
        <v>0</v>
      </c>
    </row>
    <row r="52" spans="1:12" x14ac:dyDescent="0.25">
      <c r="A52" s="140" t="s">
        <v>827</v>
      </c>
      <c r="B52" s="141" t="s">
        <v>828</v>
      </c>
      <c r="C52" s="142">
        <v>0</v>
      </c>
      <c r="D52" s="142">
        <v>0</v>
      </c>
      <c r="E52" s="142">
        <v>839.71</v>
      </c>
      <c r="F52" s="142">
        <v>0</v>
      </c>
      <c r="G52" s="142">
        <v>2732.2</v>
      </c>
      <c r="H52" s="142">
        <v>1539.62</v>
      </c>
      <c r="I52" s="142">
        <v>3571.91</v>
      </c>
      <c r="J52" s="142">
        <v>1539.62</v>
      </c>
      <c r="K52" s="142">
        <v>2032.29</v>
      </c>
      <c r="L52" s="142">
        <v>0</v>
      </c>
    </row>
    <row r="53" spans="1:12" x14ac:dyDescent="0.25">
      <c r="A53" s="140" t="s">
        <v>829</v>
      </c>
      <c r="B53" s="141" t="s">
        <v>830</v>
      </c>
      <c r="C53" s="142">
        <v>0</v>
      </c>
      <c r="D53" s="142">
        <v>0</v>
      </c>
      <c r="E53" s="142">
        <v>10708.94</v>
      </c>
      <c r="F53" s="142">
        <v>0</v>
      </c>
      <c r="G53" s="142">
        <v>244.31</v>
      </c>
      <c r="H53" s="142">
        <v>1534.35</v>
      </c>
      <c r="I53" s="142">
        <v>10953.25</v>
      </c>
      <c r="J53" s="142">
        <v>1534.35</v>
      </c>
      <c r="K53" s="142">
        <v>9418.9</v>
      </c>
      <c r="L53" s="142">
        <v>0</v>
      </c>
    </row>
    <row r="54" spans="1:12" x14ac:dyDescent="0.25">
      <c r="A54" s="140" t="s">
        <v>831</v>
      </c>
      <c r="B54" s="141" t="s">
        <v>730</v>
      </c>
      <c r="C54" s="142">
        <v>0</v>
      </c>
      <c r="D54" s="142">
        <v>0</v>
      </c>
      <c r="E54" s="142">
        <v>26765</v>
      </c>
      <c r="F54" s="142">
        <v>0</v>
      </c>
      <c r="G54" s="142">
        <v>5014</v>
      </c>
      <c r="H54" s="142">
        <v>0</v>
      </c>
      <c r="I54" s="142">
        <v>31779</v>
      </c>
      <c r="J54" s="142">
        <v>0</v>
      </c>
      <c r="K54" s="142">
        <v>31779</v>
      </c>
      <c r="L54" s="142">
        <v>0</v>
      </c>
    </row>
    <row r="55" spans="1:12" x14ac:dyDescent="0.25">
      <c r="A55" s="140" t="s">
        <v>832</v>
      </c>
      <c r="B55" s="141" t="s">
        <v>732</v>
      </c>
      <c r="C55" s="142">
        <v>0</v>
      </c>
      <c r="D55" s="142">
        <v>0</v>
      </c>
      <c r="E55" s="142">
        <v>0</v>
      </c>
      <c r="F55" s="142">
        <v>0</v>
      </c>
      <c r="G55" s="142">
        <v>9460.14</v>
      </c>
      <c r="H55" s="142">
        <v>0</v>
      </c>
      <c r="I55" s="142">
        <v>9460.14</v>
      </c>
      <c r="J55" s="142">
        <v>0</v>
      </c>
      <c r="K55" s="142">
        <v>9460.14</v>
      </c>
      <c r="L55" s="142">
        <v>0</v>
      </c>
    </row>
    <row r="56" spans="1:12" x14ac:dyDescent="0.25">
      <c r="A56" s="140" t="s">
        <v>833</v>
      </c>
      <c r="B56" s="141" t="s">
        <v>734</v>
      </c>
      <c r="C56" s="142">
        <v>0</v>
      </c>
      <c r="D56" s="142">
        <v>0</v>
      </c>
      <c r="E56" s="142">
        <v>2497.77</v>
      </c>
      <c r="F56" s="142">
        <v>0</v>
      </c>
      <c r="G56" s="142">
        <v>398.24</v>
      </c>
      <c r="H56" s="142">
        <v>0</v>
      </c>
      <c r="I56" s="142">
        <v>2896.01</v>
      </c>
      <c r="J56" s="142">
        <v>0</v>
      </c>
      <c r="K56" s="142">
        <v>2896.01</v>
      </c>
      <c r="L56" s="142">
        <v>0</v>
      </c>
    </row>
    <row r="57" spans="1:12" x14ac:dyDescent="0.25">
      <c r="A57" s="140" t="s">
        <v>834</v>
      </c>
      <c r="B57" s="141" t="s">
        <v>740</v>
      </c>
      <c r="C57" s="142">
        <v>0</v>
      </c>
      <c r="D57" s="142">
        <v>0</v>
      </c>
      <c r="E57" s="142">
        <v>0</v>
      </c>
      <c r="F57" s="142">
        <v>0</v>
      </c>
      <c r="G57" s="142">
        <v>960</v>
      </c>
      <c r="H57" s="142">
        <v>0</v>
      </c>
      <c r="I57" s="142">
        <v>960</v>
      </c>
      <c r="J57" s="142">
        <v>0</v>
      </c>
      <c r="K57" s="142">
        <v>960</v>
      </c>
      <c r="L57" s="142">
        <v>0</v>
      </c>
    </row>
    <row r="58" spans="1:12" x14ac:dyDescent="0.25">
      <c r="A58" s="140" t="s">
        <v>835</v>
      </c>
      <c r="B58" s="141" t="s">
        <v>742</v>
      </c>
      <c r="C58" s="142">
        <v>0</v>
      </c>
      <c r="D58" s="142">
        <v>0</v>
      </c>
      <c r="E58" s="142">
        <v>0</v>
      </c>
      <c r="F58" s="142">
        <v>19500</v>
      </c>
      <c r="G58" s="142">
        <v>0</v>
      </c>
      <c r="H58" s="142">
        <v>129507.28</v>
      </c>
      <c r="I58" s="142">
        <v>0</v>
      </c>
      <c r="J58" s="142">
        <v>149007.28</v>
      </c>
      <c r="K58" s="142">
        <v>0</v>
      </c>
      <c r="L58" s="142">
        <v>149007.28</v>
      </c>
    </row>
    <row r="59" spans="1:12" x14ac:dyDescent="0.25">
      <c r="A59" s="140" t="s">
        <v>836</v>
      </c>
      <c r="B59" s="141" t="s">
        <v>750</v>
      </c>
      <c r="C59" s="142">
        <v>0</v>
      </c>
      <c r="D59" s="142">
        <v>0</v>
      </c>
      <c r="E59" s="142">
        <v>0</v>
      </c>
      <c r="F59" s="142">
        <v>431181.06</v>
      </c>
      <c r="G59" s="142">
        <v>0</v>
      </c>
      <c r="H59" s="142">
        <v>80682.28</v>
      </c>
      <c r="I59" s="142">
        <v>0</v>
      </c>
      <c r="J59" s="142">
        <v>511863.34</v>
      </c>
      <c r="K59" s="142">
        <v>0</v>
      </c>
      <c r="L59" s="142">
        <v>511863.34</v>
      </c>
    </row>
    <row r="60" spans="1:12" x14ac:dyDescent="0.25">
      <c r="A60" s="140" t="s">
        <v>837</v>
      </c>
      <c r="B60" s="141" t="s">
        <v>754</v>
      </c>
      <c r="C60" s="142">
        <v>0</v>
      </c>
      <c r="D60" s="142">
        <v>0</v>
      </c>
      <c r="E60" s="142">
        <v>0</v>
      </c>
      <c r="F60" s="142">
        <v>0</v>
      </c>
      <c r="G60" s="142">
        <v>0</v>
      </c>
      <c r="H60" s="142">
        <v>1263.6500000000001</v>
      </c>
      <c r="I60" s="142">
        <v>0</v>
      </c>
      <c r="J60" s="142">
        <v>1263.6500000000001</v>
      </c>
      <c r="K60" s="142">
        <v>0</v>
      </c>
      <c r="L60" s="142">
        <v>1263.6500000000001</v>
      </c>
    </row>
    <row r="61" spans="1:12" x14ac:dyDescent="0.25">
      <c r="A61" s="140" t="s">
        <v>838</v>
      </c>
      <c r="B61" s="141" t="s">
        <v>732</v>
      </c>
      <c r="C61" s="142">
        <v>0</v>
      </c>
      <c r="D61" s="142">
        <v>0</v>
      </c>
      <c r="E61" s="142">
        <v>0</v>
      </c>
      <c r="F61" s="142">
        <v>0</v>
      </c>
      <c r="G61" s="142">
        <v>0</v>
      </c>
      <c r="H61" s="142">
        <v>3434.24</v>
      </c>
      <c r="I61" s="142">
        <v>0</v>
      </c>
      <c r="J61" s="142">
        <v>3434.24</v>
      </c>
      <c r="K61" s="142">
        <v>0</v>
      </c>
      <c r="L61" s="142">
        <v>3434.24</v>
      </c>
    </row>
    <row r="62" spans="1:12" x14ac:dyDescent="0.25">
      <c r="A62" s="140" t="s">
        <v>839</v>
      </c>
      <c r="B62" s="141" t="s">
        <v>757</v>
      </c>
      <c r="C62" s="142">
        <v>0</v>
      </c>
      <c r="D62" s="142">
        <v>0</v>
      </c>
      <c r="E62" s="142">
        <v>0</v>
      </c>
      <c r="F62" s="142">
        <v>0.54</v>
      </c>
      <c r="G62" s="142">
        <v>0</v>
      </c>
      <c r="H62" s="142">
        <v>0</v>
      </c>
      <c r="I62" s="142">
        <v>0</v>
      </c>
      <c r="J62" s="142">
        <v>0.54</v>
      </c>
      <c r="K62" s="142">
        <v>0</v>
      </c>
      <c r="L62" s="142">
        <v>0.54</v>
      </c>
    </row>
    <row r="63" spans="1:12" x14ac:dyDescent="0.25">
      <c r="A63" s="140"/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2" x14ac:dyDescent="0.25">
      <c r="A64" s="140"/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x14ac:dyDescent="0.25">
      <c r="A65" s="140"/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x14ac:dyDescent="0.25">
      <c r="A66" s="140"/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x14ac:dyDescent="0.25">
      <c r="A67" s="140"/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x14ac:dyDescent="0.25">
      <c r="A68" s="140"/>
      <c r="B68" s="141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x14ac:dyDescent="0.25">
      <c r="A69" s="140"/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x14ac:dyDescent="0.25">
      <c r="A70" s="140"/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x14ac:dyDescent="0.25">
      <c r="A71" s="140"/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</row>
    <row r="72" spans="1:12" x14ac:dyDescent="0.25">
      <c r="A72" s="140"/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</row>
    <row r="73" spans="1:12" x14ac:dyDescent="0.25">
      <c r="A73" s="140"/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</row>
    <row r="74" spans="1:12" x14ac:dyDescent="0.25">
      <c r="A74" s="140"/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</row>
    <row r="75" spans="1:12" x14ac:dyDescent="0.25">
      <c r="A75" s="140"/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</row>
    <row r="76" spans="1:12" x14ac:dyDescent="0.25">
      <c r="A76" s="140"/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</row>
    <row r="77" spans="1:12" x14ac:dyDescent="0.25">
      <c r="A77" s="140"/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</row>
    <row r="78" spans="1:12" x14ac:dyDescent="0.25">
      <c r="A78" s="140"/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</row>
    <row r="79" spans="1:12" x14ac:dyDescent="0.25">
      <c r="A79" s="140"/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</row>
    <row r="80" spans="1:12" x14ac:dyDescent="0.25">
      <c r="A80" s="140"/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</row>
    <row r="81" spans="1:12" x14ac:dyDescent="0.25">
      <c r="A81" s="140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</row>
    <row r="82" spans="1:12" x14ac:dyDescent="0.25">
      <c r="A82" s="140"/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</row>
    <row r="83" spans="1:12" x14ac:dyDescent="0.25">
      <c r="A83" s="140"/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</row>
    <row r="84" spans="1:12" x14ac:dyDescent="0.25">
      <c r="A84" s="140"/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</row>
    <row r="85" spans="1:12" x14ac:dyDescent="0.25">
      <c r="A85" s="140"/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</row>
    <row r="86" spans="1:12" x14ac:dyDescent="0.25">
      <c r="A86" s="140"/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</row>
    <row r="87" spans="1:12" x14ac:dyDescent="0.25">
      <c r="A87" s="140"/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</row>
    <row r="88" spans="1:12" x14ac:dyDescent="0.25">
      <c r="A88" s="140"/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</row>
    <row r="89" spans="1:12" x14ac:dyDescent="0.25">
      <c r="A89" s="140"/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</row>
    <row r="90" spans="1:12" x14ac:dyDescent="0.25">
      <c r="A90" s="140"/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</row>
    <row r="91" spans="1:12" x14ac:dyDescent="0.25">
      <c r="A91" s="140"/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</row>
    <row r="92" spans="1:12" x14ac:dyDescent="0.25">
      <c r="A92" s="140"/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</row>
    <row r="93" spans="1:12" x14ac:dyDescent="0.25">
      <c r="A93" s="140"/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</row>
    <row r="94" spans="1:12" x14ac:dyDescent="0.25">
      <c r="A94" s="140"/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</row>
    <row r="95" spans="1:12" x14ac:dyDescent="0.25">
      <c r="A95" s="140"/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</row>
    <row r="96" spans="1:12" x14ac:dyDescent="0.25">
      <c r="A96" s="140"/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</row>
    <row r="97" spans="1:12" x14ac:dyDescent="0.25">
      <c r="A97" s="140"/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</row>
    <row r="98" spans="1:12" x14ac:dyDescent="0.25">
      <c r="A98" s="140"/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</row>
    <row r="99" spans="1:12" x14ac:dyDescent="0.25">
      <c r="A99" s="140"/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</row>
    <row r="100" spans="1:12" x14ac:dyDescent="0.25">
      <c r="A100" s="140"/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</row>
    <row r="101" spans="1:12" x14ac:dyDescent="0.25">
      <c r="A101" s="140"/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</row>
    <row r="102" spans="1:12" x14ac:dyDescent="0.25">
      <c r="A102" s="140"/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</row>
    <row r="103" spans="1:12" x14ac:dyDescent="0.25">
      <c r="A103" s="140"/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</row>
    <row r="104" spans="1:12" x14ac:dyDescent="0.25">
      <c r="A104" s="140"/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</row>
    <row r="105" spans="1:12" x14ac:dyDescent="0.25">
      <c r="A105" s="140"/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</row>
    <row r="106" spans="1:12" x14ac:dyDescent="0.25">
      <c r="A106" s="140"/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</row>
    <row r="107" spans="1:12" x14ac:dyDescent="0.25">
      <c r="A107" s="140"/>
      <c r="B107" s="141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</row>
    <row r="108" spans="1:12" x14ac:dyDescent="0.25">
      <c r="A108" s="140"/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</row>
    <row r="109" spans="1:12" x14ac:dyDescent="0.25">
      <c r="A109" s="140"/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</row>
    <row r="110" spans="1:12" x14ac:dyDescent="0.25">
      <c r="A110" s="140"/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</row>
    <row r="111" spans="1:12" x14ac:dyDescent="0.25">
      <c r="A111" s="140"/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</row>
    <row r="112" spans="1:12" x14ac:dyDescent="0.25">
      <c r="A112" s="140"/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</row>
    <row r="113" spans="1:12" x14ac:dyDescent="0.25">
      <c r="A113" s="140"/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</row>
    <row r="114" spans="1:12" x14ac:dyDescent="0.25">
      <c r="A114" s="140"/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</row>
    <row r="115" spans="1:12" x14ac:dyDescent="0.25">
      <c r="A115" s="140"/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</row>
    <row r="116" spans="1:12" x14ac:dyDescent="0.25">
      <c r="A116" s="140"/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</row>
    <row r="117" spans="1:12" x14ac:dyDescent="0.25">
      <c r="A117" s="140"/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</row>
    <row r="118" spans="1:12" x14ac:dyDescent="0.25">
      <c r="A118" s="140"/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</row>
    <row r="119" spans="1:12" x14ac:dyDescent="0.25">
      <c r="A119" s="140"/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</row>
    <row r="120" spans="1:12" x14ac:dyDescent="0.25">
      <c r="A120" s="140"/>
      <c r="B120" s="141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</row>
    <row r="121" spans="1:12" x14ac:dyDescent="0.25">
      <c r="A121" s="140"/>
      <c r="B121" s="141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</row>
    <row r="122" spans="1:12" x14ac:dyDescent="0.25">
      <c r="A122" s="140"/>
      <c r="B122" s="141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</row>
    <row r="123" spans="1:12" x14ac:dyDescent="0.25">
      <c r="A123" s="140"/>
      <c r="B123" s="141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</row>
    <row r="124" spans="1:12" x14ac:dyDescent="0.25">
      <c r="A124" s="140"/>
      <c r="B124" s="141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46" bestFit="1" customWidth="1"/>
    <col min="2" max="2" width="86.140625" style="146" bestFit="1" customWidth="1"/>
    <col min="3" max="3" width="4.42578125" style="147" bestFit="1" customWidth="1"/>
    <col min="4" max="7" width="15.28515625" style="148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1" t="s">
        <v>840</v>
      </c>
      <c r="B2" s="141" t="s">
        <v>841</v>
      </c>
      <c r="C2" s="140" t="s">
        <v>842</v>
      </c>
      <c r="D2" s="142">
        <v>0</v>
      </c>
      <c r="E2" s="142">
        <v>0</v>
      </c>
      <c r="F2" s="142">
        <v>0</v>
      </c>
      <c r="G2" s="142">
        <v>0</v>
      </c>
    </row>
    <row r="3" spans="1:7" x14ac:dyDescent="0.25">
      <c r="A3" s="141" t="s">
        <v>843</v>
      </c>
      <c r="B3" s="141" t="s">
        <v>844</v>
      </c>
      <c r="C3" s="140" t="s">
        <v>845</v>
      </c>
      <c r="D3" s="142">
        <v>1211445.01</v>
      </c>
      <c r="E3" s="142">
        <v>0</v>
      </c>
      <c r="F3" s="142">
        <v>1211445</v>
      </c>
      <c r="G3" s="142">
        <v>0</v>
      </c>
    </row>
    <row r="4" spans="1:7" x14ac:dyDescent="0.25">
      <c r="A4" s="141" t="s">
        <v>846</v>
      </c>
      <c r="B4" s="141" t="s">
        <v>847</v>
      </c>
      <c r="C4" s="140" t="s">
        <v>848</v>
      </c>
      <c r="D4" s="142">
        <v>993705.29</v>
      </c>
      <c r="E4" s="142">
        <v>0</v>
      </c>
      <c r="F4" s="142">
        <v>993705</v>
      </c>
      <c r="G4" s="142">
        <v>0</v>
      </c>
    </row>
    <row r="5" spans="1:7" x14ac:dyDescent="0.25">
      <c r="A5" s="141" t="s">
        <v>849</v>
      </c>
      <c r="B5" s="141" t="s">
        <v>850</v>
      </c>
      <c r="C5" s="140" t="s">
        <v>851</v>
      </c>
      <c r="D5" s="142">
        <v>0</v>
      </c>
      <c r="E5" s="142">
        <v>0</v>
      </c>
      <c r="F5" s="142">
        <v>0</v>
      </c>
      <c r="G5" s="142">
        <v>0</v>
      </c>
    </row>
    <row r="6" spans="1:7" x14ac:dyDescent="0.25">
      <c r="A6" s="141" t="s">
        <v>852</v>
      </c>
      <c r="B6" s="141" t="s">
        <v>853</v>
      </c>
      <c r="C6" s="140" t="s">
        <v>854</v>
      </c>
      <c r="D6" s="142">
        <v>217363.06</v>
      </c>
      <c r="E6" s="142">
        <v>0</v>
      </c>
      <c r="F6" s="142">
        <v>217363</v>
      </c>
      <c r="G6" s="142">
        <v>0</v>
      </c>
    </row>
    <row r="7" spans="1:7" x14ac:dyDescent="0.25">
      <c r="A7" s="141" t="s">
        <v>855</v>
      </c>
      <c r="B7" s="141" t="s">
        <v>856</v>
      </c>
      <c r="C7" s="140" t="s">
        <v>857</v>
      </c>
      <c r="D7" s="142">
        <v>0</v>
      </c>
      <c r="E7" s="142">
        <v>0</v>
      </c>
      <c r="F7" s="142">
        <v>0</v>
      </c>
      <c r="G7" s="142">
        <v>0</v>
      </c>
    </row>
    <row r="8" spans="1:7" x14ac:dyDescent="0.25">
      <c r="A8" s="141" t="s">
        <v>858</v>
      </c>
      <c r="B8" s="141" t="s">
        <v>859</v>
      </c>
      <c r="C8" s="140" t="s">
        <v>860</v>
      </c>
      <c r="D8" s="142">
        <v>0</v>
      </c>
      <c r="E8" s="142">
        <v>0</v>
      </c>
      <c r="F8" s="142">
        <v>0</v>
      </c>
      <c r="G8" s="142">
        <v>0</v>
      </c>
    </row>
    <row r="9" spans="1:7" x14ac:dyDescent="0.25">
      <c r="A9" s="141" t="s">
        <v>861</v>
      </c>
      <c r="B9" s="141" t="s">
        <v>862</v>
      </c>
      <c r="C9" s="140" t="s">
        <v>863</v>
      </c>
      <c r="D9" s="142">
        <v>0</v>
      </c>
      <c r="E9" s="142">
        <v>0</v>
      </c>
      <c r="F9" s="142">
        <v>0</v>
      </c>
      <c r="G9" s="142">
        <v>0</v>
      </c>
    </row>
    <row r="10" spans="1:7" x14ac:dyDescent="0.25">
      <c r="A10" s="141" t="s">
        <v>864</v>
      </c>
      <c r="B10" s="141" t="s">
        <v>865</v>
      </c>
      <c r="C10" s="140" t="s">
        <v>866</v>
      </c>
      <c r="D10" s="142">
        <v>376.66</v>
      </c>
      <c r="E10" s="142">
        <v>0</v>
      </c>
      <c r="F10" s="142">
        <v>377</v>
      </c>
      <c r="G10" s="142">
        <v>0</v>
      </c>
    </row>
    <row r="11" spans="1:7" x14ac:dyDescent="0.25">
      <c r="A11" s="141" t="s">
        <v>843</v>
      </c>
      <c r="B11" s="141" t="s">
        <v>867</v>
      </c>
      <c r="C11" s="140" t="s">
        <v>868</v>
      </c>
      <c r="D11" s="142">
        <v>1411125.86</v>
      </c>
      <c r="E11" s="142">
        <v>0</v>
      </c>
      <c r="F11" s="142">
        <v>1411126</v>
      </c>
      <c r="G11" s="142">
        <v>0</v>
      </c>
    </row>
    <row r="12" spans="1:7" x14ac:dyDescent="0.25">
      <c r="A12" s="141" t="s">
        <v>869</v>
      </c>
      <c r="B12" s="141" t="s">
        <v>870</v>
      </c>
      <c r="C12" s="140" t="s">
        <v>871</v>
      </c>
      <c r="D12" s="142">
        <v>545884.79</v>
      </c>
      <c r="E12" s="142">
        <v>0</v>
      </c>
      <c r="F12" s="142">
        <v>545885</v>
      </c>
      <c r="G12" s="142">
        <v>0</v>
      </c>
    </row>
    <row r="13" spans="1:7" x14ac:dyDescent="0.25">
      <c r="A13" s="141" t="s">
        <v>872</v>
      </c>
      <c r="B13" s="141" t="s">
        <v>873</v>
      </c>
      <c r="C13" s="140" t="s">
        <v>874</v>
      </c>
      <c r="D13" s="142">
        <v>65596.25</v>
      </c>
      <c r="E13" s="142">
        <v>0</v>
      </c>
      <c r="F13" s="142">
        <v>65596</v>
      </c>
      <c r="G13" s="142">
        <v>0</v>
      </c>
    </row>
    <row r="14" spans="1:7" x14ac:dyDescent="0.25">
      <c r="A14" s="141" t="s">
        <v>875</v>
      </c>
      <c r="B14" s="141" t="s">
        <v>876</v>
      </c>
      <c r="C14" s="140" t="s">
        <v>877</v>
      </c>
      <c r="D14" s="142">
        <v>0</v>
      </c>
      <c r="E14" s="142">
        <v>0</v>
      </c>
      <c r="F14" s="142">
        <v>0</v>
      </c>
      <c r="G14" s="142">
        <v>0</v>
      </c>
    </row>
    <row r="15" spans="1:7" x14ac:dyDescent="0.25">
      <c r="A15" s="141" t="s">
        <v>878</v>
      </c>
      <c r="B15" s="141" t="s">
        <v>879</v>
      </c>
      <c r="C15" s="140" t="s">
        <v>880</v>
      </c>
      <c r="D15" s="142">
        <v>311766.31</v>
      </c>
      <c r="E15" s="142">
        <v>0</v>
      </c>
      <c r="F15" s="142">
        <v>311767</v>
      </c>
      <c r="G15" s="142">
        <v>0</v>
      </c>
    </row>
    <row r="16" spans="1:7" x14ac:dyDescent="0.25">
      <c r="A16" s="141" t="s">
        <v>881</v>
      </c>
      <c r="B16" s="141" t="s">
        <v>882</v>
      </c>
      <c r="C16" s="140" t="s">
        <v>883</v>
      </c>
      <c r="D16" s="142">
        <v>412951.27</v>
      </c>
      <c r="E16" s="142">
        <v>0</v>
      </c>
      <c r="F16" s="142">
        <v>412951</v>
      </c>
      <c r="G16" s="142">
        <v>0</v>
      </c>
    </row>
    <row r="17" spans="1:7" x14ac:dyDescent="0.25">
      <c r="A17" s="141" t="s">
        <v>884</v>
      </c>
      <c r="B17" s="141" t="s">
        <v>885</v>
      </c>
      <c r="C17" s="140" t="s">
        <v>886</v>
      </c>
      <c r="D17" s="142">
        <v>302359.51</v>
      </c>
      <c r="E17" s="142">
        <v>0</v>
      </c>
      <c r="F17" s="142">
        <v>302360</v>
      </c>
      <c r="G17" s="142">
        <v>0</v>
      </c>
    </row>
    <row r="18" spans="1:7" x14ac:dyDescent="0.25">
      <c r="A18" s="141">
        <v>2</v>
      </c>
      <c r="B18" s="141" t="s">
        <v>887</v>
      </c>
      <c r="C18" s="140" t="s">
        <v>888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141">
        <v>3</v>
      </c>
      <c r="B19" s="141" t="s">
        <v>889</v>
      </c>
      <c r="C19" s="140" t="s">
        <v>890</v>
      </c>
      <c r="D19" s="142">
        <v>108771.47</v>
      </c>
      <c r="E19" s="142">
        <v>0</v>
      </c>
      <c r="F19" s="142">
        <v>108771</v>
      </c>
      <c r="G19" s="142">
        <v>0</v>
      </c>
    </row>
    <row r="20" spans="1:7" x14ac:dyDescent="0.25">
      <c r="A20" s="141">
        <v>4</v>
      </c>
      <c r="B20" s="141" t="s">
        <v>891</v>
      </c>
      <c r="C20" s="140" t="s">
        <v>892</v>
      </c>
      <c r="D20" s="142">
        <v>1820.29</v>
      </c>
      <c r="E20" s="142">
        <v>0</v>
      </c>
      <c r="F20" s="142">
        <v>1820</v>
      </c>
      <c r="G20" s="142">
        <v>0</v>
      </c>
    </row>
    <row r="21" spans="1:7" x14ac:dyDescent="0.25">
      <c r="A21" s="141" t="s">
        <v>893</v>
      </c>
      <c r="B21" s="141" t="s">
        <v>894</v>
      </c>
      <c r="C21" s="140" t="s">
        <v>895</v>
      </c>
      <c r="D21" s="142">
        <v>2419.39</v>
      </c>
      <c r="E21" s="142">
        <v>0</v>
      </c>
      <c r="F21" s="142">
        <v>2419</v>
      </c>
      <c r="G21" s="142">
        <v>0</v>
      </c>
    </row>
    <row r="22" spans="1:7" x14ac:dyDescent="0.25">
      <c r="A22" s="141" t="s">
        <v>896</v>
      </c>
      <c r="B22" s="141" t="s">
        <v>897</v>
      </c>
      <c r="C22" s="140" t="s">
        <v>898</v>
      </c>
      <c r="D22" s="142">
        <v>61882</v>
      </c>
      <c r="E22" s="142">
        <v>0</v>
      </c>
      <c r="F22" s="142">
        <v>61882</v>
      </c>
      <c r="G22" s="142">
        <v>0</v>
      </c>
    </row>
    <row r="23" spans="1:7" x14ac:dyDescent="0.25">
      <c r="A23" s="141" t="s">
        <v>899</v>
      </c>
      <c r="B23" s="141" t="s">
        <v>900</v>
      </c>
      <c r="C23" s="140" t="s">
        <v>901</v>
      </c>
      <c r="D23" s="142">
        <v>61882</v>
      </c>
      <c r="E23" s="142">
        <v>0</v>
      </c>
      <c r="F23" s="142">
        <v>61882</v>
      </c>
      <c r="G23" s="142">
        <v>0</v>
      </c>
    </row>
    <row r="24" spans="1:7" x14ac:dyDescent="0.25">
      <c r="A24" s="141">
        <v>2</v>
      </c>
      <c r="B24" s="141" t="s">
        <v>902</v>
      </c>
      <c r="C24" s="140" t="s">
        <v>903</v>
      </c>
      <c r="D24" s="142">
        <v>0</v>
      </c>
      <c r="E24" s="142">
        <v>0</v>
      </c>
      <c r="F24" s="142">
        <v>0</v>
      </c>
      <c r="G24" s="142">
        <v>0</v>
      </c>
    </row>
    <row r="25" spans="1:7" x14ac:dyDescent="0.25">
      <c r="A25" s="141" t="s">
        <v>904</v>
      </c>
      <c r="B25" s="141" t="s">
        <v>905</v>
      </c>
      <c r="C25" s="140" t="s">
        <v>906</v>
      </c>
      <c r="D25" s="142">
        <v>0</v>
      </c>
      <c r="E25" s="142">
        <v>0</v>
      </c>
      <c r="F25" s="142">
        <v>0</v>
      </c>
      <c r="G25" s="142">
        <v>0</v>
      </c>
    </row>
    <row r="26" spans="1:7" x14ac:dyDescent="0.25">
      <c r="A26" s="141" t="s">
        <v>846</v>
      </c>
      <c r="B26" s="141" t="s">
        <v>907</v>
      </c>
      <c r="C26" s="140" t="s">
        <v>908</v>
      </c>
      <c r="D26" s="142">
        <v>0</v>
      </c>
      <c r="E26" s="142">
        <v>0</v>
      </c>
      <c r="F26" s="142">
        <v>0</v>
      </c>
      <c r="G26" s="142">
        <v>0</v>
      </c>
    </row>
    <row r="27" spans="1:7" x14ac:dyDescent="0.25">
      <c r="A27" s="141" t="s">
        <v>909</v>
      </c>
      <c r="B27" s="141" t="s">
        <v>910</v>
      </c>
      <c r="C27" s="140" t="s">
        <v>911</v>
      </c>
      <c r="D27" s="142">
        <v>10625.85</v>
      </c>
      <c r="E27" s="142">
        <v>0</v>
      </c>
      <c r="F27" s="142">
        <v>10626</v>
      </c>
      <c r="G27" s="142">
        <v>0</v>
      </c>
    </row>
    <row r="28" spans="1:7" x14ac:dyDescent="0.25">
      <c r="A28" s="141" t="s">
        <v>912</v>
      </c>
      <c r="B28" s="141" t="s">
        <v>913</v>
      </c>
      <c r="C28" s="140" t="s">
        <v>914</v>
      </c>
      <c r="D28" s="142">
        <v>-199680.85</v>
      </c>
      <c r="E28" s="142">
        <v>0</v>
      </c>
      <c r="F28" s="142">
        <v>-199681</v>
      </c>
      <c r="G28" s="142">
        <v>0</v>
      </c>
    </row>
    <row r="29" spans="1:7" x14ac:dyDescent="0.25">
      <c r="A29" s="141" t="s">
        <v>840</v>
      </c>
      <c r="B29" s="141" t="s">
        <v>915</v>
      </c>
      <c r="C29" s="140" t="s">
        <v>916</v>
      </c>
      <c r="D29" s="142">
        <v>287821</v>
      </c>
      <c r="E29" s="142">
        <v>0</v>
      </c>
      <c r="F29" s="142">
        <v>287820</v>
      </c>
      <c r="G29" s="142">
        <v>0</v>
      </c>
    </row>
    <row r="30" spans="1:7" x14ac:dyDescent="0.25">
      <c r="A30" s="141" t="s">
        <v>843</v>
      </c>
      <c r="B30" s="141" t="s">
        <v>917</v>
      </c>
      <c r="C30" s="140" t="s">
        <v>918</v>
      </c>
      <c r="D30" s="142">
        <v>0.59</v>
      </c>
      <c r="E30" s="142">
        <v>0</v>
      </c>
      <c r="F30" s="142">
        <v>1</v>
      </c>
      <c r="G30" s="142">
        <v>0</v>
      </c>
    </row>
    <row r="31" spans="1:7" x14ac:dyDescent="0.25">
      <c r="A31" s="141" t="s">
        <v>919</v>
      </c>
      <c r="B31" s="141" t="s">
        <v>920</v>
      </c>
      <c r="C31" s="140" t="s">
        <v>921</v>
      </c>
      <c r="D31" s="142">
        <v>0</v>
      </c>
      <c r="E31" s="142">
        <v>0</v>
      </c>
      <c r="F31" s="142">
        <v>0</v>
      </c>
      <c r="G31" s="142">
        <v>0</v>
      </c>
    </row>
    <row r="32" spans="1:7" x14ac:dyDescent="0.25">
      <c r="A32" s="141" t="s">
        <v>922</v>
      </c>
      <c r="B32" s="141" t="s">
        <v>923</v>
      </c>
      <c r="C32" s="140" t="s">
        <v>924</v>
      </c>
      <c r="D32" s="142">
        <v>0</v>
      </c>
      <c r="E32" s="142">
        <v>0</v>
      </c>
      <c r="F32" s="142">
        <v>0</v>
      </c>
      <c r="G32" s="142">
        <v>0</v>
      </c>
    </row>
    <row r="33" spans="1:7" x14ac:dyDescent="0.25">
      <c r="A33" s="141" t="s">
        <v>925</v>
      </c>
      <c r="B33" s="141" t="s">
        <v>926</v>
      </c>
      <c r="C33" s="140" t="s">
        <v>927</v>
      </c>
      <c r="D33" s="142">
        <v>0</v>
      </c>
      <c r="E33" s="142">
        <v>0</v>
      </c>
      <c r="F33" s="142">
        <v>0</v>
      </c>
      <c r="G33" s="142">
        <v>0</v>
      </c>
    </row>
    <row r="34" spans="1:7" x14ac:dyDescent="0.25">
      <c r="A34" s="141">
        <v>2</v>
      </c>
      <c r="B34" s="141" t="s">
        <v>928</v>
      </c>
      <c r="C34" s="140" t="s">
        <v>929</v>
      </c>
      <c r="D34" s="142">
        <v>0</v>
      </c>
      <c r="E34" s="142">
        <v>0</v>
      </c>
      <c r="F34" s="142">
        <v>0</v>
      </c>
      <c r="G34" s="142">
        <v>0</v>
      </c>
    </row>
    <row r="35" spans="1:7" x14ac:dyDescent="0.25">
      <c r="A35" s="141">
        <v>3</v>
      </c>
      <c r="B35" s="141" t="s">
        <v>930</v>
      </c>
      <c r="C35" s="140" t="s">
        <v>931</v>
      </c>
      <c r="D35" s="142">
        <v>0</v>
      </c>
      <c r="E35" s="142">
        <v>0</v>
      </c>
      <c r="F35" s="142">
        <v>0</v>
      </c>
      <c r="G35" s="142">
        <v>0</v>
      </c>
    </row>
    <row r="36" spans="1:7" x14ac:dyDescent="0.25">
      <c r="A36" s="141" t="s">
        <v>932</v>
      </c>
      <c r="B36" s="141" t="s">
        <v>933</v>
      </c>
      <c r="C36" s="140" t="s">
        <v>934</v>
      </c>
      <c r="D36" s="142">
        <v>0</v>
      </c>
      <c r="E36" s="142">
        <v>0</v>
      </c>
      <c r="F36" s="142">
        <v>0</v>
      </c>
      <c r="G36" s="142">
        <v>0</v>
      </c>
    </row>
    <row r="37" spans="1:7" x14ac:dyDescent="0.25">
      <c r="A37" s="141" t="s">
        <v>935</v>
      </c>
      <c r="B37" s="141" t="s">
        <v>936</v>
      </c>
      <c r="C37" s="140" t="s">
        <v>937</v>
      </c>
      <c r="D37" s="142">
        <v>0</v>
      </c>
      <c r="E37" s="142">
        <v>0</v>
      </c>
      <c r="F37" s="142">
        <v>0</v>
      </c>
      <c r="G37" s="142">
        <v>0</v>
      </c>
    </row>
    <row r="38" spans="1:7" x14ac:dyDescent="0.25">
      <c r="A38" s="141">
        <v>2</v>
      </c>
      <c r="B38" s="141" t="s">
        <v>938</v>
      </c>
      <c r="C38" s="140" t="s">
        <v>939</v>
      </c>
      <c r="D38" s="142">
        <v>0</v>
      </c>
      <c r="E38" s="142">
        <v>0</v>
      </c>
      <c r="F38" s="142">
        <v>0</v>
      </c>
      <c r="G38" s="142">
        <v>0</v>
      </c>
    </row>
    <row r="39" spans="1:7" x14ac:dyDescent="0.25">
      <c r="A39" s="141">
        <v>3</v>
      </c>
      <c r="B39" s="141" t="s">
        <v>940</v>
      </c>
      <c r="C39" s="140" t="s">
        <v>941</v>
      </c>
      <c r="D39" s="142">
        <v>0</v>
      </c>
      <c r="E39" s="142">
        <v>0</v>
      </c>
      <c r="F39" s="142">
        <v>0</v>
      </c>
      <c r="G39" s="142">
        <v>0</v>
      </c>
    </row>
    <row r="40" spans="1:7" x14ac:dyDescent="0.25">
      <c r="A40" s="141" t="s">
        <v>942</v>
      </c>
      <c r="B40" s="141" t="s">
        <v>943</v>
      </c>
      <c r="C40" s="140" t="s">
        <v>944</v>
      </c>
      <c r="D40" s="142">
        <v>0</v>
      </c>
      <c r="E40" s="142">
        <v>0</v>
      </c>
      <c r="F40" s="142">
        <v>0</v>
      </c>
      <c r="G40" s="142">
        <v>0</v>
      </c>
    </row>
    <row r="41" spans="1:7" x14ac:dyDescent="0.25">
      <c r="A41" s="141" t="s">
        <v>945</v>
      </c>
      <c r="B41" s="141" t="s">
        <v>946</v>
      </c>
      <c r="C41" s="140" t="s">
        <v>947</v>
      </c>
      <c r="D41" s="142">
        <v>0</v>
      </c>
      <c r="E41" s="142">
        <v>0</v>
      </c>
      <c r="F41" s="142">
        <v>0</v>
      </c>
      <c r="G41" s="142">
        <v>0</v>
      </c>
    </row>
    <row r="42" spans="1:7" x14ac:dyDescent="0.25">
      <c r="A42" s="141">
        <v>2</v>
      </c>
      <c r="B42" s="141" t="s">
        <v>948</v>
      </c>
      <c r="C42" s="140" t="s">
        <v>949</v>
      </c>
      <c r="D42" s="142">
        <v>0</v>
      </c>
      <c r="E42" s="142">
        <v>0</v>
      </c>
      <c r="F42" s="142">
        <v>0</v>
      </c>
      <c r="G42" s="142">
        <v>0</v>
      </c>
    </row>
    <row r="43" spans="1:7" x14ac:dyDescent="0.25">
      <c r="A43" s="141" t="s">
        <v>950</v>
      </c>
      <c r="B43" s="141" t="s">
        <v>951</v>
      </c>
      <c r="C43" s="140" t="s">
        <v>952</v>
      </c>
      <c r="D43" s="142">
        <v>0</v>
      </c>
      <c r="E43" s="142">
        <v>0</v>
      </c>
      <c r="F43" s="142">
        <v>0</v>
      </c>
      <c r="G43" s="142">
        <v>0</v>
      </c>
    </row>
    <row r="44" spans="1:7" x14ac:dyDescent="0.25">
      <c r="A44" s="141" t="s">
        <v>953</v>
      </c>
      <c r="B44" s="141" t="s">
        <v>954</v>
      </c>
      <c r="C44" s="140" t="s">
        <v>955</v>
      </c>
      <c r="D44" s="142">
        <v>0</v>
      </c>
      <c r="E44" s="142">
        <v>0</v>
      </c>
      <c r="F44" s="142">
        <v>0</v>
      </c>
      <c r="G44" s="142">
        <v>0</v>
      </c>
    </row>
    <row r="45" spans="1:7" x14ac:dyDescent="0.25">
      <c r="A45" s="141" t="s">
        <v>956</v>
      </c>
      <c r="B45" s="141" t="s">
        <v>957</v>
      </c>
      <c r="C45" s="140" t="s">
        <v>958</v>
      </c>
      <c r="D45" s="142">
        <v>0.59</v>
      </c>
      <c r="E45" s="142">
        <v>0</v>
      </c>
      <c r="F45" s="142">
        <v>1</v>
      </c>
      <c r="G45" s="142">
        <v>0</v>
      </c>
    </row>
    <row r="46" spans="1:7" x14ac:dyDescent="0.25">
      <c r="A46" s="141" t="s">
        <v>843</v>
      </c>
      <c r="B46" s="141" t="s">
        <v>959</v>
      </c>
      <c r="C46" s="140" t="s">
        <v>960</v>
      </c>
      <c r="D46" s="142">
        <v>5687.85</v>
      </c>
      <c r="E46" s="142">
        <v>0</v>
      </c>
      <c r="F46" s="142">
        <v>5688</v>
      </c>
      <c r="G46" s="142">
        <v>0</v>
      </c>
    </row>
    <row r="47" spans="1:7" x14ac:dyDescent="0.25">
      <c r="A47" s="141" t="s">
        <v>961</v>
      </c>
      <c r="B47" s="141" t="s">
        <v>962</v>
      </c>
      <c r="C47" s="140" t="s">
        <v>963</v>
      </c>
      <c r="D47" s="142">
        <v>0</v>
      </c>
      <c r="E47" s="142">
        <v>0</v>
      </c>
      <c r="F47" s="142">
        <v>0</v>
      </c>
      <c r="G47" s="142">
        <v>0</v>
      </c>
    </row>
    <row r="48" spans="1:7" x14ac:dyDescent="0.25">
      <c r="A48" s="141" t="s">
        <v>964</v>
      </c>
      <c r="B48" s="141" t="s">
        <v>965</v>
      </c>
      <c r="C48" s="140" t="s">
        <v>966</v>
      </c>
      <c r="D48" s="142">
        <v>0</v>
      </c>
      <c r="E48" s="142">
        <v>0</v>
      </c>
      <c r="F48" s="142">
        <v>0</v>
      </c>
      <c r="G48" s="142">
        <v>0</v>
      </c>
    </row>
    <row r="49" spans="1:7" x14ac:dyDescent="0.25">
      <c r="A49" s="141" t="s">
        <v>967</v>
      </c>
      <c r="B49" s="141" t="s">
        <v>968</v>
      </c>
      <c r="C49" s="140" t="s">
        <v>969</v>
      </c>
      <c r="D49" s="142">
        <v>0</v>
      </c>
      <c r="E49" s="142">
        <v>0</v>
      </c>
      <c r="F49" s="142">
        <v>0</v>
      </c>
      <c r="G49" s="142">
        <v>0</v>
      </c>
    </row>
    <row r="50" spans="1:7" x14ac:dyDescent="0.25">
      <c r="A50" s="141" t="s">
        <v>970</v>
      </c>
      <c r="B50" s="141" t="s">
        <v>971</v>
      </c>
      <c r="C50" s="140" t="s">
        <v>972</v>
      </c>
      <c r="D50" s="142">
        <v>0</v>
      </c>
      <c r="E50" s="142">
        <v>0</v>
      </c>
      <c r="F50" s="142">
        <v>0</v>
      </c>
      <c r="G50" s="142">
        <v>0</v>
      </c>
    </row>
    <row r="51" spans="1:7" x14ac:dyDescent="0.25">
      <c r="A51" s="141" t="s">
        <v>973</v>
      </c>
      <c r="B51" s="141" t="s">
        <v>974</v>
      </c>
      <c r="C51" s="140" t="s">
        <v>975</v>
      </c>
      <c r="D51" s="142">
        <v>0</v>
      </c>
      <c r="E51" s="142">
        <v>0</v>
      </c>
      <c r="F51" s="142">
        <v>0</v>
      </c>
      <c r="G51" s="142">
        <v>0</v>
      </c>
    </row>
    <row r="52" spans="1:7" x14ac:dyDescent="0.25">
      <c r="A52" s="141">
        <v>2</v>
      </c>
      <c r="B52" s="141" t="s">
        <v>976</v>
      </c>
      <c r="C52" s="140" t="s">
        <v>977</v>
      </c>
      <c r="D52" s="142">
        <v>0</v>
      </c>
      <c r="E52" s="142">
        <v>0</v>
      </c>
      <c r="F52" s="142">
        <v>0</v>
      </c>
      <c r="G52" s="142">
        <v>0</v>
      </c>
    </row>
    <row r="53" spans="1:7" x14ac:dyDescent="0.25">
      <c r="A53" s="141" t="s">
        <v>978</v>
      </c>
      <c r="B53" s="141" t="s">
        <v>979</v>
      </c>
      <c r="C53" s="140" t="s">
        <v>980</v>
      </c>
      <c r="D53" s="142">
        <v>0</v>
      </c>
      <c r="E53" s="142">
        <v>0</v>
      </c>
      <c r="F53" s="142">
        <v>0</v>
      </c>
      <c r="G53" s="142">
        <v>0</v>
      </c>
    </row>
    <row r="54" spans="1:7" x14ac:dyDescent="0.25">
      <c r="A54" s="141" t="s">
        <v>981</v>
      </c>
      <c r="B54" s="141" t="s">
        <v>982</v>
      </c>
      <c r="C54" s="140" t="s">
        <v>983</v>
      </c>
      <c r="D54" s="142">
        <v>0</v>
      </c>
      <c r="E54" s="142">
        <v>0</v>
      </c>
      <c r="F54" s="142">
        <v>0</v>
      </c>
      <c r="G54" s="142">
        <v>0</v>
      </c>
    </row>
    <row r="55" spans="1:7" x14ac:dyDescent="0.25">
      <c r="A55" s="141" t="s">
        <v>984</v>
      </c>
      <c r="B55" s="141" t="s">
        <v>985</v>
      </c>
      <c r="C55" s="140" t="s">
        <v>986</v>
      </c>
      <c r="D55" s="142">
        <v>5687.85</v>
      </c>
      <c r="E55" s="142">
        <v>0</v>
      </c>
      <c r="F55" s="142">
        <v>5688</v>
      </c>
      <c r="G55" s="142">
        <v>0</v>
      </c>
    </row>
    <row r="56" spans="1:7" x14ac:dyDescent="0.25">
      <c r="A56" s="141" t="s">
        <v>912</v>
      </c>
      <c r="B56" s="141" t="s">
        <v>987</v>
      </c>
      <c r="C56" s="140" t="s">
        <v>988</v>
      </c>
      <c r="D56" s="142">
        <v>-5687.26</v>
      </c>
      <c r="E56" s="142">
        <v>0</v>
      </c>
      <c r="F56" s="142">
        <v>-5687</v>
      </c>
      <c r="G56" s="142">
        <v>0</v>
      </c>
    </row>
    <row r="57" spans="1:7" x14ac:dyDescent="0.25">
      <c r="A57" s="141" t="s">
        <v>989</v>
      </c>
      <c r="B57" s="141" t="s">
        <v>990</v>
      </c>
      <c r="C57" s="140" t="s">
        <v>991</v>
      </c>
      <c r="D57" s="142">
        <v>-205368.11</v>
      </c>
      <c r="E57" s="142">
        <v>0</v>
      </c>
      <c r="F57" s="142">
        <v>-205368</v>
      </c>
      <c r="G57" s="142">
        <v>0</v>
      </c>
    </row>
    <row r="58" spans="1:7" x14ac:dyDescent="0.25">
      <c r="A58" s="141" t="s">
        <v>992</v>
      </c>
      <c r="B58" s="141" t="s">
        <v>993</v>
      </c>
      <c r="C58" s="140" t="s">
        <v>994</v>
      </c>
      <c r="D58" s="142">
        <v>0</v>
      </c>
      <c r="E58" s="142">
        <v>0</v>
      </c>
      <c r="F58" s="142">
        <v>0</v>
      </c>
      <c r="G58" s="142">
        <v>0</v>
      </c>
    </row>
    <row r="59" spans="1:7" x14ac:dyDescent="0.25">
      <c r="A59" s="141" t="s">
        <v>995</v>
      </c>
      <c r="B59" s="141" t="s">
        <v>996</v>
      </c>
      <c r="C59" s="140" t="s">
        <v>997</v>
      </c>
      <c r="D59" s="142">
        <v>0</v>
      </c>
      <c r="E59" s="142">
        <v>0</v>
      </c>
      <c r="F59" s="142">
        <v>0</v>
      </c>
      <c r="G59" s="142">
        <v>0</v>
      </c>
    </row>
    <row r="60" spans="1:7" x14ac:dyDescent="0.25">
      <c r="A60" s="141">
        <v>2</v>
      </c>
      <c r="B60" s="141" t="s">
        <v>998</v>
      </c>
      <c r="C60" s="140" t="s">
        <v>999</v>
      </c>
      <c r="D60" s="142">
        <v>0</v>
      </c>
      <c r="E60" s="142">
        <v>0</v>
      </c>
      <c r="F60" s="142">
        <v>0</v>
      </c>
      <c r="G60" s="142">
        <v>0</v>
      </c>
    </row>
    <row r="61" spans="1:7" x14ac:dyDescent="0.25">
      <c r="A61" s="141" t="s">
        <v>1000</v>
      </c>
      <c r="B61" s="141" t="s">
        <v>1001</v>
      </c>
      <c r="C61" s="140" t="s">
        <v>1002</v>
      </c>
      <c r="D61" s="142">
        <v>0</v>
      </c>
      <c r="E61" s="142">
        <v>0</v>
      </c>
      <c r="F61" s="142">
        <v>0</v>
      </c>
      <c r="G61" s="142">
        <v>0</v>
      </c>
    </row>
    <row r="62" spans="1:7" x14ac:dyDescent="0.25">
      <c r="A62" s="141" t="s">
        <v>989</v>
      </c>
      <c r="B62" s="141" t="s">
        <v>1003</v>
      </c>
      <c r="C62" s="140" t="s">
        <v>1004</v>
      </c>
      <c r="D62" s="142">
        <v>-205368.11</v>
      </c>
      <c r="E62" s="142">
        <v>0</v>
      </c>
      <c r="F62" s="142">
        <v>-205368</v>
      </c>
      <c r="G62" s="142"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44" bestFit="1" customWidth="1"/>
    <col min="2" max="2" width="86.1406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33.75" x14ac:dyDescent="0.25">
      <c r="A1" s="150" t="s">
        <v>335</v>
      </c>
      <c r="B1" s="150" t="s">
        <v>343</v>
      </c>
      <c r="C1" s="149" t="s">
        <v>356</v>
      </c>
      <c r="D1" s="151" t="s">
        <v>357</v>
      </c>
      <c r="E1" s="151" t="s">
        <v>358</v>
      </c>
      <c r="F1" s="151" t="s">
        <v>342</v>
      </c>
      <c r="G1" s="151" t="s">
        <v>340</v>
      </c>
    </row>
    <row r="2" spans="1:7" x14ac:dyDescent="0.25">
      <c r="A2" s="144" t="s">
        <v>840</v>
      </c>
      <c r="B2" s="144" t="s">
        <v>841</v>
      </c>
      <c r="C2" s="143" t="s">
        <v>842</v>
      </c>
      <c r="D2" s="145">
        <v>0</v>
      </c>
      <c r="E2" s="145">
        <v>0</v>
      </c>
      <c r="F2" s="145">
        <v>0</v>
      </c>
      <c r="G2" s="145">
        <v>0</v>
      </c>
    </row>
    <row r="3" spans="1:7" x14ac:dyDescent="0.25">
      <c r="A3" s="144" t="s">
        <v>843</v>
      </c>
      <c r="B3" s="144" t="s">
        <v>844</v>
      </c>
      <c r="C3" s="143" t="s">
        <v>845</v>
      </c>
      <c r="D3" s="142">
        <v>660299.78</v>
      </c>
      <c r="E3" s="142">
        <v>0</v>
      </c>
      <c r="F3" s="142">
        <v>660300</v>
      </c>
      <c r="G3" s="142">
        <v>0</v>
      </c>
    </row>
    <row r="4" spans="1:7" x14ac:dyDescent="0.25">
      <c r="A4" s="144" t="s">
        <v>846</v>
      </c>
      <c r="B4" s="144" t="s">
        <v>847</v>
      </c>
      <c r="C4" s="143" t="s">
        <v>848</v>
      </c>
      <c r="D4" s="145">
        <v>511695.24</v>
      </c>
      <c r="E4" s="145">
        <v>0</v>
      </c>
      <c r="F4" s="145">
        <v>511695</v>
      </c>
      <c r="G4" s="145">
        <v>0</v>
      </c>
    </row>
    <row r="5" spans="1:7" x14ac:dyDescent="0.25">
      <c r="A5" s="144" t="s">
        <v>849</v>
      </c>
      <c r="B5" s="144" t="s">
        <v>850</v>
      </c>
      <c r="C5" s="143" t="s">
        <v>851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 t="s">
        <v>852</v>
      </c>
      <c r="B6" s="144" t="s">
        <v>853</v>
      </c>
      <c r="C6" s="143" t="s">
        <v>854</v>
      </c>
      <c r="D6" s="145">
        <v>148604.54</v>
      </c>
      <c r="E6" s="145">
        <v>0</v>
      </c>
      <c r="F6" s="145">
        <v>148605</v>
      </c>
      <c r="G6" s="145">
        <v>0</v>
      </c>
    </row>
    <row r="7" spans="1:7" x14ac:dyDescent="0.25">
      <c r="A7" s="144" t="s">
        <v>855</v>
      </c>
      <c r="B7" s="144" t="s">
        <v>856</v>
      </c>
      <c r="C7" s="143" t="s">
        <v>857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858</v>
      </c>
      <c r="B8" s="144" t="s">
        <v>859</v>
      </c>
      <c r="C8" s="143" t="s">
        <v>860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861</v>
      </c>
      <c r="B9" s="144" t="s">
        <v>862</v>
      </c>
      <c r="C9" s="143" t="s">
        <v>863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864</v>
      </c>
      <c r="B10" s="144" t="s">
        <v>865</v>
      </c>
      <c r="C10" s="143" t="s">
        <v>866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843</v>
      </c>
      <c r="B11" s="144" t="s">
        <v>867</v>
      </c>
      <c r="C11" s="143" t="s">
        <v>868</v>
      </c>
      <c r="D11" s="145">
        <v>871805.45</v>
      </c>
      <c r="E11" s="145">
        <v>0</v>
      </c>
      <c r="F11" s="145">
        <v>871807</v>
      </c>
      <c r="G11" s="145">
        <v>0</v>
      </c>
    </row>
    <row r="12" spans="1:7" x14ac:dyDescent="0.25">
      <c r="A12" s="144" t="s">
        <v>869</v>
      </c>
      <c r="B12" s="144" t="s">
        <v>870</v>
      </c>
      <c r="C12" s="143" t="s">
        <v>871</v>
      </c>
      <c r="D12" s="145">
        <v>293772.53999999998</v>
      </c>
      <c r="E12" s="145">
        <v>0</v>
      </c>
      <c r="F12" s="145">
        <v>293773</v>
      </c>
      <c r="G12" s="145">
        <v>0</v>
      </c>
    </row>
    <row r="13" spans="1:7" x14ac:dyDescent="0.25">
      <c r="A13" s="144" t="s">
        <v>872</v>
      </c>
      <c r="B13" s="144" t="s">
        <v>873</v>
      </c>
      <c r="C13" s="143" t="s">
        <v>874</v>
      </c>
      <c r="D13" s="145">
        <v>59576.13</v>
      </c>
      <c r="E13" s="145">
        <v>0</v>
      </c>
      <c r="F13" s="145">
        <v>59576</v>
      </c>
      <c r="G13" s="145">
        <v>0</v>
      </c>
    </row>
    <row r="14" spans="1:7" x14ac:dyDescent="0.25">
      <c r="A14" s="144" t="s">
        <v>875</v>
      </c>
      <c r="B14" s="144" t="s">
        <v>876</v>
      </c>
      <c r="C14" s="143" t="s">
        <v>877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 t="s">
        <v>878</v>
      </c>
      <c r="B15" s="144" t="s">
        <v>879</v>
      </c>
      <c r="C15" s="143" t="s">
        <v>880</v>
      </c>
      <c r="D15" s="145">
        <v>216165.75</v>
      </c>
      <c r="E15" s="145">
        <v>0</v>
      </c>
      <c r="F15" s="145">
        <v>216167</v>
      </c>
      <c r="G15" s="145">
        <v>0</v>
      </c>
    </row>
    <row r="16" spans="1:7" x14ac:dyDescent="0.25">
      <c r="A16" s="144" t="s">
        <v>881</v>
      </c>
      <c r="B16" s="144" t="s">
        <v>882</v>
      </c>
      <c r="C16" s="143" t="s">
        <v>883</v>
      </c>
      <c r="D16" s="145">
        <v>278503.08</v>
      </c>
      <c r="E16" s="145">
        <v>0</v>
      </c>
      <c r="F16" s="145">
        <v>278503</v>
      </c>
      <c r="G16" s="145">
        <v>0</v>
      </c>
    </row>
    <row r="17" spans="1:7" x14ac:dyDescent="0.25">
      <c r="A17" s="144" t="s">
        <v>884</v>
      </c>
      <c r="B17" s="144" t="s">
        <v>885</v>
      </c>
      <c r="C17" s="143" t="s">
        <v>886</v>
      </c>
      <c r="D17" s="145">
        <v>200578.29</v>
      </c>
      <c r="E17" s="145">
        <v>0</v>
      </c>
      <c r="F17" s="145">
        <v>200578</v>
      </c>
      <c r="G17" s="145">
        <v>0</v>
      </c>
    </row>
    <row r="18" spans="1:7" x14ac:dyDescent="0.25">
      <c r="A18" s="144">
        <v>2</v>
      </c>
      <c r="B18" s="144" t="s">
        <v>887</v>
      </c>
      <c r="C18" s="143" t="s">
        <v>888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889</v>
      </c>
      <c r="C19" s="143" t="s">
        <v>890</v>
      </c>
      <c r="D19" s="145">
        <v>76686.25</v>
      </c>
      <c r="E19" s="145">
        <v>0</v>
      </c>
      <c r="F19" s="145">
        <v>76686</v>
      </c>
      <c r="G19" s="145">
        <v>0</v>
      </c>
    </row>
    <row r="20" spans="1:7" x14ac:dyDescent="0.25">
      <c r="A20" s="144">
        <v>4</v>
      </c>
      <c r="B20" s="144" t="s">
        <v>891</v>
      </c>
      <c r="C20" s="143" t="s">
        <v>892</v>
      </c>
      <c r="D20" s="145">
        <v>1238.54</v>
      </c>
      <c r="E20" s="145">
        <v>0</v>
      </c>
      <c r="F20" s="145">
        <v>1239</v>
      </c>
      <c r="G20" s="145">
        <v>0</v>
      </c>
    </row>
    <row r="21" spans="1:7" x14ac:dyDescent="0.25">
      <c r="A21" s="144" t="s">
        <v>893</v>
      </c>
      <c r="B21" s="144" t="s">
        <v>894</v>
      </c>
      <c r="C21" s="143" t="s">
        <v>895</v>
      </c>
      <c r="D21" s="145">
        <v>50</v>
      </c>
      <c r="E21" s="145">
        <v>0</v>
      </c>
      <c r="F21" s="145">
        <v>50</v>
      </c>
      <c r="G21" s="145">
        <v>0</v>
      </c>
    </row>
    <row r="22" spans="1:7" x14ac:dyDescent="0.25">
      <c r="A22" s="144" t="s">
        <v>896</v>
      </c>
      <c r="B22" s="144" t="s">
        <v>897</v>
      </c>
      <c r="C22" s="143" t="s">
        <v>898</v>
      </c>
      <c r="D22" s="145">
        <v>14450</v>
      </c>
      <c r="E22" s="145">
        <v>0</v>
      </c>
      <c r="F22" s="145">
        <v>14450</v>
      </c>
      <c r="G22" s="145">
        <v>0</v>
      </c>
    </row>
    <row r="23" spans="1:7" x14ac:dyDescent="0.25">
      <c r="A23" s="144" t="s">
        <v>899</v>
      </c>
      <c r="B23" s="144" t="s">
        <v>900</v>
      </c>
      <c r="C23" s="143" t="s">
        <v>901</v>
      </c>
      <c r="D23" s="145">
        <v>14450</v>
      </c>
      <c r="E23" s="145">
        <v>0</v>
      </c>
      <c r="F23" s="145">
        <v>14450</v>
      </c>
      <c r="G23" s="145">
        <v>0</v>
      </c>
    </row>
    <row r="24" spans="1:7" x14ac:dyDescent="0.25">
      <c r="A24" s="144">
        <v>2</v>
      </c>
      <c r="B24" s="144" t="s">
        <v>902</v>
      </c>
      <c r="C24" s="143" t="s">
        <v>903</v>
      </c>
      <c r="D24" s="145">
        <v>0</v>
      </c>
      <c r="E24" s="145">
        <v>0</v>
      </c>
      <c r="F24" s="145">
        <v>0</v>
      </c>
      <c r="G24" s="145">
        <v>0</v>
      </c>
    </row>
    <row r="25" spans="1:7" x14ac:dyDescent="0.25">
      <c r="A25" s="144" t="s">
        <v>904</v>
      </c>
      <c r="B25" s="144" t="s">
        <v>905</v>
      </c>
      <c r="C25" s="143" t="s">
        <v>906</v>
      </c>
      <c r="D25" s="145">
        <v>0</v>
      </c>
      <c r="E25" s="145">
        <v>0</v>
      </c>
      <c r="F25" s="145">
        <v>0</v>
      </c>
      <c r="G25" s="145">
        <v>0</v>
      </c>
    </row>
    <row r="26" spans="1:7" x14ac:dyDescent="0.25">
      <c r="A26" s="144" t="s">
        <v>846</v>
      </c>
      <c r="B26" s="144" t="s">
        <v>907</v>
      </c>
      <c r="C26" s="143" t="s">
        <v>908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909</v>
      </c>
      <c r="B27" s="144" t="s">
        <v>910</v>
      </c>
      <c r="C27" s="143" t="s">
        <v>911</v>
      </c>
      <c r="D27" s="145">
        <v>9287.9500000000007</v>
      </c>
      <c r="E27" s="145">
        <v>0</v>
      </c>
      <c r="F27" s="145">
        <v>9288</v>
      </c>
      <c r="G27" s="145">
        <v>0</v>
      </c>
    </row>
    <row r="28" spans="1:7" x14ac:dyDescent="0.25">
      <c r="A28" s="144" t="s">
        <v>912</v>
      </c>
      <c r="B28" s="144" t="s">
        <v>913</v>
      </c>
      <c r="C28" s="143" t="s">
        <v>914</v>
      </c>
      <c r="D28" s="145">
        <v>-211505.67</v>
      </c>
      <c r="E28" s="145">
        <v>0</v>
      </c>
      <c r="F28" s="145">
        <v>-211507</v>
      </c>
      <c r="G28" s="145">
        <v>0</v>
      </c>
    </row>
    <row r="29" spans="1:7" x14ac:dyDescent="0.25">
      <c r="A29" s="144" t="s">
        <v>840</v>
      </c>
      <c r="B29" s="144" t="s">
        <v>915</v>
      </c>
      <c r="C29" s="143" t="s">
        <v>916</v>
      </c>
      <c r="D29" s="145">
        <v>90785.36</v>
      </c>
      <c r="E29" s="145">
        <v>0</v>
      </c>
      <c r="F29" s="145">
        <v>90784</v>
      </c>
      <c r="G29" s="145">
        <v>0</v>
      </c>
    </row>
    <row r="30" spans="1:7" x14ac:dyDescent="0.25">
      <c r="A30" s="144" t="s">
        <v>843</v>
      </c>
      <c r="B30" s="144" t="s">
        <v>917</v>
      </c>
      <c r="C30" s="143" t="s">
        <v>918</v>
      </c>
      <c r="D30" s="145">
        <v>0.54</v>
      </c>
      <c r="E30" s="145">
        <v>0</v>
      </c>
      <c r="F30" s="145">
        <v>1</v>
      </c>
      <c r="G30" s="145">
        <v>0</v>
      </c>
    </row>
    <row r="31" spans="1:7" x14ac:dyDescent="0.25">
      <c r="A31" s="144" t="s">
        <v>919</v>
      </c>
      <c r="B31" s="144" t="s">
        <v>920</v>
      </c>
      <c r="C31" s="143" t="s">
        <v>921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 t="s">
        <v>922</v>
      </c>
      <c r="B32" s="144" t="s">
        <v>923</v>
      </c>
      <c r="C32" s="143" t="s">
        <v>924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 t="s">
        <v>925</v>
      </c>
      <c r="B33" s="144" t="s">
        <v>926</v>
      </c>
      <c r="C33" s="143" t="s">
        <v>927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2</v>
      </c>
      <c r="B34" s="144" t="s">
        <v>928</v>
      </c>
      <c r="C34" s="143" t="s">
        <v>929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3</v>
      </c>
      <c r="B35" s="144" t="s">
        <v>930</v>
      </c>
      <c r="C35" s="143" t="s">
        <v>931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 t="s">
        <v>932</v>
      </c>
      <c r="B36" s="144" t="s">
        <v>933</v>
      </c>
      <c r="C36" s="143" t="s">
        <v>934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 t="s">
        <v>935</v>
      </c>
      <c r="B37" s="144" t="s">
        <v>936</v>
      </c>
      <c r="C37" s="143" t="s">
        <v>937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2</v>
      </c>
      <c r="B38" s="144" t="s">
        <v>938</v>
      </c>
      <c r="C38" s="143" t="s">
        <v>939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3</v>
      </c>
      <c r="B39" s="144" t="s">
        <v>940</v>
      </c>
      <c r="C39" s="143" t="s">
        <v>941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 t="s">
        <v>942</v>
      </c>
      <c r="B40" s="144" t="s">
        <v>943</v>
      </c>
      <c r="C40" s="143" t="s">
        <v>944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945</v>
      </c>
      <c r="B41" s="144" t="s">
        <v>946</v>
      </c>
      <c r="C41" s="143" t="s">
        <v>947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>
        <v>2</v>
      </c>
      <c r="B42" s="144" t="s">
        <v>948</v>
      </c>
      <c r="C42" s="143" t="s">
        <v>949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 t="s">
        <v>950</v>
      </c>
      <c r="B43" s="144" t="s">
        <v>951</v>
      </c>
      <c r="C43" s="143" t="s">
        <v>952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953</v>
      </c>
      <c r="B44" s="144" t="s">
        <v>954</v>
      </c>
      <c r="C44" s="143" t="s">
        <v>955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956</v>
      </c>
      <c r="B45" s="144" t="s">
        <v>957</v>
      </c>
      <c r="C45" s="143" t="s">
        <v>958</v>
      </c>
      <c r="D45" s="145">
        <v>0.54</v>
      </c>
      <c r="E45" s="145">
        <v>0</v>
      </c>
      <c r="F45" s="145">
        <v>1</v>
      </c>
      <c r="G45" s="145">
        <v>0</v>
      </c>
    </row>
    <row r="46" spans="1:7" x14ac:dyDescent="0.25">
      <c r="A46" s="144" t="s">
        <v>843</v>
      </c>
      <c r="B46" s="144" t="s">
        <v>959</v>
      </c>
      <c r="C46" s="143" t="s">
        <v>960</v>
      </c>
      <c r="D46" s="145">
        <v>2937.43</v>
      </c>
      <c r="E46" s="145">
        <v>0</v>
      </c>
      <c r="F46" s="145">
        <v>2937</v>
      </c>
      <c r="G46" s="145">
        <v>0</v>
      </c>
    </row>
    <row r="47" spans="1:7" x14ac:dyDescent="0.25">
      <c r="A47" s="144" t="s">
        <v>961</v>
      </c>
      <c r="B47" s="144" t="s">
        <v>962</v>
      </c>
      <c r="C47" s="143" t="s">
        <v>963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964</v>
      </c>
      <c r="B48" s="144" t="s">
        <v>965</v>
      </c>
      <c r="C48" s="143" t="s">
        <v>966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967</v>
      </c>
      <c r="B49" s="144" t="s">
        <v>968</v>
      </c>
      <c r="C49" s="143" t="s">
        <v>969</v>
      </c>
      <c r="D49" s="145">
        <v>0</v>
      </c>
      <c r="E49" s="145">
        <v>0</v>
      </c>
      <c r="F49" s="145">
        <v>0</v>
      </c>
      <c r="G49" s="145">
        <v>0</v>
      </c>
    </row>
    <row r="50" spans="1:7" x14ac:dyDescent="0.25">
      <c r="A50" s="144" t="s">
        <v>970</v>
      </c>
      <c r="B50" s="144" t="s">
        <v>971</v>
      </c>
      <c r="C50" s="143" t="s">
        <v>972</v>
      </c>
      <c r="D50" s="145">
        <v>41.42</v>
      </c>
      <c r="E50" s="145">
        <v>0</v>
      </c>
      <c r="F50" s="145">
        <v>41</v>
      </c>
      <c r="G50" s="145">
        <v>0</v>
      </c>
    </row>
    <row r="51" spans="1:7" x14ac:dyDescent="0.25">
      <c r="A51" s="144" t="s">
        <v>973</v>
      </c>
      <c r="B51" s="144" t="s">
        <v>974</v>
      </c>
      <c r="C51" s="143" t="s">
        <v>975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2</v>
      </c>
      <c r="B52" s="144" t="s">
        <v>976</v>
      </c>
      <c r="C52" s="143" t="s">
        <v>977</v>
      </c>
      <c r="D52" s="145">
        <v>41.42</v>
      </c>
      <c r="E52" s="145">
        <v>0</v>
      </c>
      <c r="F52" s="145">
        <v>41</v>
      </c>
      <c r="G52" s="145">
        <v>0</v>
      </c>
    </row>
    <row r="53" spans="1:7" x14ac:dyDescent="0.25">
      <c r="A53" s="144" t="s">
        <v>978</v>
      </c>
      <c r="B53" s="144" t="s">
        <v>979</v>
      </c>
      <c r="C53" s="143" t="s">
        <v>980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981</v>
      </c>
      <c r="B54" s="144" t="s">
        <v>982</v>
      </c>
      <c r="C54" s="143" t="s">
        <v>983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984</v>
      </c>
      <c r="B55" s="144" t="s">
        <v>985</v>
      </c>
      <c r="C55" s="143" t="s">
        <v>986</v>
      </c>
      <c r="D55" s="145">
        <v>2896.01</v>
      </c>
      <c r="E55" s="145">
        <v>0</v>
      </c>
      <c r="F55" s="145">
        <v>2896</v>
      </c>
      <c r="G55" s="145">
        <v>0</v>
      </c>
    </row>
    <row r="56" spans="1:7" x14ac:dyDescent="0.25">
      <c r="A56" s="144" t="s">
        <v>912</v>
      </c>
      <c r="B56" s="144" t="s">
        <v>987</v>
      </c>
      <c r="C56" s="143" t="s">
        <v>988</v>
      </c>
      <c r="D56" s="145">
        <v>-2936.89</v>
      </c>
      <c r="E56" s="145">
        <v>0</v>
      </c>
      <c r="F56" s="145">
        <v>-2936</v>
      </c>
      <c r="G56" s="145">
        <v>0</v>
      </c>
    </row>
    <row r="57" spans="1:7" x14ac:dyDescent="0.25">
      <c r="A57" s="144" t="s">
        <v>989</v>
      </c>
      <c r="B57" s="144" t="s">
        <v>990</v>
      </c>
      <c r="C57" s="143" t="s">
        <v>991</v>
      </c>
      <c r="D57" s="145">
        <v>-214442.56</v>
      </c>
      <c r="E57" s="145">
        <v>0</v>
      </c>
      <c r="F57" s="145">
        <v>-214443</v>
      </c>
      <c r="G57" s="145">
        <v>0</v>
      </c>
    </row>
    <row r="58" spans="1:7" x14ac:dyDescent="0.25">
      <c r="A58" s="144" t="s">
        <v>992</v>
      </c>
      <c r="B58" s="144" t="s">
        <v>993</v>
      </c>
      <c r="C58" s="143" t="s">
        <v>994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 t="s">
        <v>995</v>
      </c>
      <c r="B59" s="144" t="s">
        <v>996</v>
      </c>
      <c r="C59" s="143" t="s">
        <v>997</v>
      </c>
      <c r="D59" s="145">
        <v>0</v>
      </c>
      <c r="E59" s="145">
        <v>0</v>
      </c>
      <c r="F59" s="145">
        <v>0</v>
      </c>
      <c r="G59" s="145">
        <v>0</v>
      </c>
    </row>
    <row r="60" spans="1:7" x14ac:dyDescent="0.25">
      <c r="A60" s="144">
        <v>2</v>
      </c>
      <c r="B60" s="144" t="s">
        <v>998</v>
      </c>
      <c r="C60" s="143" t="s">
        <v>999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 t="s">
        <v>1000</v>
      </c>
      <c r="B61" s="144" t="s">
        <v>1001</v>
      </c>
      <c r="C61" s="143" t="s">
        <v>1002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989</v>
      </c>
      <c r="B62" s="144" t="s">
        <v>1003</v>
      </c>
      <c r="C62" s="143" t="s">
        <v>1004</v>
      </c>
      <c r="D62" s="145">
        <v>-214442.56</v>
      </c>
      <c r="E62" s="145">
        <v>0</v>
      </c>
      <c r="F62" s="145">
        <v>-214443</v>
      </c>
      <c r="G62" s="145">
        <v>0</v>
      </c>
    </row>
  </sheetData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46" bestFit="1" customWidth="1"/>
    <col min="2" max="2" width="63.5703125" style="146" bestFit="1" customWidth="1"/>
    <col min="3" max="3" width="4.42578125" style="147" bestFit="1" customWidth="1"/>
    <col min="4" max="11" width="15.28515625" style="148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A2" s="141"/>
      <c r="B2" s="141" t="s">
        <v>1005</v>
      </c>
      <c r="C2" s="140" t="s">
        <v>1006</v>
      </c>
      <c r="D2" s="142">
        <v>815030.17</v>
      </c>
      <c r="E2" s="142">
        <v>98711.25</v>
      </c>
      <c r="F2" s="142">
        <v>716318.92</v>
      </c>
      <c r="G2" s="142">
        <v>692893.37</v>
      </c>
      <c r="H2" s="142">
        <v>815029</v>
      </c>
      <c r="I2" s="142">
        <v>98711</v>
      </c>
      <c r="J2" s="142">
        <v>716318</v>
      </c>
      <c r="K2" s="142">
        <v>692894</v>
      </c>
    </row>
    <row r="3" spans="1:11" x14ac:dyDescent="0.25">
      <c r="A3" s="141" t="s">
        <v>869</v>
      </c>
      <c r="B3" s="141" t="s">
        <v>1007</v>
      </c>
      <c r="C3" s="140" t="s">
        <v>1008</v>
      </c>
      <c r="D3" s="142">
        <v>471350.88</v>
      </c>
      <c r="E3" s="142">
        <v>93921</v>
      </c>
      <c r="F3" s="142">
        <v>377429.88</v>
      </c>
      <c r="G3" s="142">
        <v>366298.66</v>
      </c>
      <c r="H3" s="142">
        <v>471351</v>
      </c>
      <c r="I3" s="142">
        <v>93921</v>
      </c>
      <c r="J3" s="142">
        <v>377430</v>
      </c>
      <c r="K3" s="142">
        <v>366298</v>
      </c>
    </row>
    <row r="4" spans="1:11" x14ac:dyDescent="0.25">
      <c r="A4" s="141" t="s">
        <v>1009</v>
      </c>
      <c r="B4" s="141" t="s">
        <v>1010</v>
      </c>
      <c r="C4" s="140" t="s">
        <v>1011</v>
      </c>
      <c r="D4" s="142">
        <v>10260</v>
      </c>
      <c r="E4" s="142">
        <v>4275</v>
      </c>
      <c r="F4" s="142">
        <v>5985</v>
      </c>
      <c r="G4" s="142">
        <v>8550</v>
      </c>
      <c r="H4" s="142">
        <v>10260</v>
      </c>
      <c r="I4" s="142">
        <v>4275</v>
      </c>
      <c r="J4" s="142">
        <v>5985</v>
      </c>
      <c r="K4" s="142">
        <v>8550</v>
      </c>
    </row>
    <row r="5" spans="1:11" x14ac:dyDescent="0.25">
      <c r="A5" s="141" t="s">
        <v>1012</v>
      </c>
      <c r="B5" s="141" t="s">
        <v>1013</v>
      </c>
      <c r="C5" s="140" t="s">
        <v>1014</v>
      </c>
      <c r="D5" s="142">
        <v>0</v>
      </c>
      <c r="E5" s="142">
        <v>0</v>
      </c>
      <c r="F5" s="142">
        <v>0</v>
      </c>
      <c r="G5" s="142">
        <v>0</v>
      </c>
      <c r="H5" s="142">
        <v>0</v>
      </c>
      <c r="I5" s="142">
        <v>0</v>
      </c>
      <c r="J5" s="142">
        <v>0</v>
      </c>
      <c r="K5" s="142">
        <v>0</v>
      </c>
    </row>
    <row r="6" spans="1:11" x14ac:dyDescent="0.25">
      <c r="A6" s="141">
        <v>2</v>
      </c>
      <c r="B6" s="141" t="s">
        <v>1015</v>
      </c>
      <c r="C6" s="140" t="s">
        <v>1016</v>
      </c>
      <c r="D6" s="142">
        <v>10260</v>
      </c>
      <c r="E6" s="142">
        <v>4275</v>
      </c>
      <c r="F6" s="142">
        <v>5985</v>
      </c>
      <c r="G6" s="142">
        <v>8550</v>
      </c>
      <c r="H6" s="142">
        <v>10260</v>
      </c>
      <c r="I6" s="142">
        <v>4275</v>
      </c>
      <c r="J6" s="142">
        <v>5985</v>
      </c>
      <c r="K6" s="142">
        <v>8550</v>
      </c>
    </row>
    <row r="7" spans="1:11" x14ac:dyDescent="0.25">
      <c r="A7" s="141">
        <v>3</v>
      </c>
      <c r="B7" s="141" t="s">
        <v>1017</v>
      </c>
      <c r="C7" s="140" t="s">
        <v>1018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</row>
    <row r="8" spans="1:11" x14ac:dyDescent="0.25">
      <c r="A8" s="141">
        <v>4</v>
      </c>
      <c r="B8" s="141" t="s">
        <v>1019</v>
      </c>
      <c r="C8" s="140" t="s">
        <v>1020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</row>
    <row r="9" spans="1:11" x14ac:dyDescent="0.25">
      <c r="A9" s="141">
        <v>5</v>
      </c>
      <c r="B9" s="141" t="s">
        <v>1021</v>
      </c>
      <c r="C9" s="140" t="s">
        <v>1022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</row>
    <row r="10" spans="1:11" x14ac:dyDescent="0.25">
      <c r="A10" s="141">
        <v>6</v>
      </c>
      <c r="B10" s="141" t="s">
        <v>1023</v>
      </c>
      <c r="C10" s="140" t="s">
        <v>1024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  <c r="K10" s="142">
        <v>0</v>
      </c>
    </row>
    <row r="11" spans="1:11" x14ac:dyDescent="0.25">
      <c r="A11" s="141">
        <v>7</v>
      </c>
      <c r="B11" s="141" t="s">
        <v>1025</v>
      </c>
      <c r="C11" s="140" t="s">
        <v>1026</v>
      </c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</row>
    <row r="12" spans="1:11" x14ac:dyDescent="0.25">
      <c r="A12" s="141" t="s">
        <v>1027</v>
      </c>
      <c r="B12" s="141" t="s">
        <v>1028</v>
      </c>
      <c r="C12" s="140" t="s">
        <v>1029</v>
      </c>
      <c r="D12" s="142">
        <v>437189.51</v>
      </c>
      <c r="E12" s="142">
        <v>89646</v>
      </c>
      <c r="F12" s="142">
        <v>347543.51</v>
      </c>
      <c r="G12" s="142">
        <v>331314.42</v>
      </c>
      <c r="H12" s="142">
        <v>437190</v>
      </c>
      <c r="I12" s="142">
        <v>89646</v>
      </c>
      <c r="J12" s="142">
        <v>347544</v>
      </c>
      <c r="K12" s="142">
        <v>331314</v>
      </c>
    </row>
    <row r="13" spans="1:11" x14ac:dyDescent="0.25">
      <c r="A13" s="141" t="s">
        <v>1030</v>
      </c>
      <c r="B13" s="141" t="s">
        <v>1031</v>
      </c>
      <c r="C13" s="140" t="s">
        <v>1032</v>
      </c>
      <c r="D13" s="142">
        <v>0</v>
      </c>
      <c r="E13" s="142">
        <v>0</v>
      </c>
      <c r="F13" s="142">
        <v>0</v>
      </c>
      <c r="G13" s="142">
        <v>0</v>
      </c>
      <c r="H13" s="142">
        <v>0</v>
      </c>
      <c r="I13" s="142">
        <v>0</v>
      </c>
      <c r="J13" s="142">
        <v>0</v>
      </c>
      <c r="K13" s="142">
        <v>0</v>
      </c>
    </row>
    <row r="14" spans="1:11" x14ac:dyDescent="0.25">
      <c r="A14" s="141">
        <v>2</v>
      </c>
      <c r="B14" s="141" t="s">
        <v>1033</v>
      </c>
      <c r="C14" s="140" t="s">
        <v>758</v>
      </c>
      <c r="D14" s="142">
        <v>87165.72</v>
      </c>
      <c r="E14" s="142">
        <v>7003</v>
      </c>
      <c r="F14" s="142">
        <v>80162.720000000001</v>
      </c>
      <c r="G14" s="142">
        <v>76228.39</v>
      </c>
      <c r="H14" s="142">
        <v>87166</v>
      </c>
      <c r="I14" s="142">
        <v>7003</v>
      </c>
      <c r="J14" s="142">
        <v>80163</v>
      </c>
      <c r="K14" s="142">
        <v>76228</v>
      </c>
    </row>
    <row r="15" spans="1:11" x14ac:dyDescent="0.25">
      <c r="A15" s="141">
        <v>3</v>
      </c>
      <c r="B15" s="141" t="s">
        <v>1034</v>
      </c>
      <c r="C15" s="140" t="s">
        <v>1035</v>
      </c>
      <c r="D15" s="142">
        <v>350023.79</v>
      </c>
      <c r="E15" s="142">
        <v>82643</v>
      </c>
      <c r="F15" s="142">
        <v>267380.78999999998</v>
      </c>
      <c r="G15" s="142">
        <v>255086.03</v>
      </c>
      <c r="H15" s="142">
        <v>350024</v>
      </c>
      <c r="I15" s="142">
        <v>82643</v>
      </c>
      <c r="J15" s="142">
        <v>267381</v>
      </c>
      <c r="K15" s="142">
        <v>255086</v>
      </c>
    </row>
    <row r="16" spans="1:11" x14ac:dyDescent="0.25">
      <c r="A16" s="141">
        <v>4</v>
      </c>
      <c r="B16" s="141" t="s">
        <v>1036</v>
      </c>
      <c r="C16" s="140" t="s">
        <v>1037</v>
      </c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</row>
    <row r="17" spans="1:11" x14ac:dyDescent="0.25">
      <c r="A17" s="141">
        <v>5</v>
      </c>
      <c r="B17" s="141" t="s">
        <v>1038</v>
      </c>
      <c r="C17" s="140" t="s">
        <v>1039</v>
      </c>
      <c r="D17" s="142">
        <v>0</v>
      </c>
      <c r="E17" s="142">
        <v>0</v>
      </c>
      <c r="F17" s="142">
        <v>0</v>
      </c>
      <c r="G17" s="142">
        <v>0</v>
      </c>
      <c r="H17" s="142">
        <v>0</v>
      </c>
      <c r="I17" s="142">
        <v>0</v>
      </c>
      <c r="J17" s="142">
        <v>0</v>
      </c>
      <c r="K17" s="142">
        <v>0</v>
      </c>
    </row>
    <row r="18" spans="1:11" x14ac:dyDescent="0.25">
      <c r="A18" s="141">
        <v>6</v>
      </c>
      <c r="B18" s="141" t="s">
        <v>1040</v>
      </c>
      <c r="C18" s="140" t="s">
        <v>1041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  <c r="K18" s="142">
        <v>0</v>
      </c>
    </row>
    <row r="19" spans="1:11" x14ac:dyDescent="0.25">
      <c r="A19" s="141">
        <v>7</v>
      </c>
      <c r="B19" s="141" t="s">
        <v>1042</v>
      </c>
      <c r="C19" s="140" t="s">
        <v>1043</v>
      </c>
      <c r="D19" s="142">
        <v>0</v>
      </c>
      <c r="E19" s="142">
        <v>0</v>
      </c>
      <c r="F19" s="142">
        <v>0</v>
      </c>
      <c r="G19" s="142">
        <v>0</v>
      </c>
      <c r="H19" s="142">
        <v>0</v>
      </c>
      <c r="I19" s="142">
        <v>0</v>
      </c>
      <c r="J19" s="142">
        <v>0</v>
      </c>
      <c r="K19" s="142">
        <v>0</v>
      </c>
    </row>
    <row r="20" spans="1:11" x14ac:dyDescent="0.25">
      <c r="A20" s="141">
        <v>8</v>
      </c>
      <c r="B20" s="141" t="s">
        <v>1044</v>
      </c>
      <c r="C20" s="140" t="s">
        <v>1045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</row>
    <row r="21" spans="1:11" x14ac:dyDescent="0.25">
      <c r="A21" s="141">
        <v>9</v>
      </c>
      <c r="B21" s="141" t="s">
        <v>1046</v>
      </c>
      <c r="C21" s="140" t="s">
        <v>1047</v>
      </c>
      <c r="D21" s="142">
        <v>0</v>
      </c>
      <c r="E21" s="142">
        <v>0</v>
      </c>
      <c r="F21" s="142">
        <v>0</v>
      </c>
      <c r="G21" s="142">
        <v>0</v>
      </c>
      <c r="H21" s="142">
        <v>0</v>
      </c>
      <c r="I21" s="142">
        <v>0</v>
      </c>
      <c r="J21" s="142">
        <v>0</v>
      </c>
      <c r="K21" s="142">
        <v>0</v>
      </c>
    </row>
    <row r="22" spans="1:11" x14ac:dyDescent="0.25">
      <c r="A22" s="141" t="s">
        <v>1048</v>
      </c>
      <c r="B22" s="141" t="s">
        <v>1049</v>
      </c>
      <c r="C22" s="140" t="s">
        <v>760</v>
      </c>
      <c r="D22" s="142">
        <v>23901.37</v>
      </c>
      <c r="E22" s="142">
        <v>0</v>
      </c>
      <c r="F22" s="142">
        <v>23901.37</v>
      </c>
      <c r="G22" s="142">
        <v>26434.240000000002</v>
      </c>
      <c r="H22" s="142">
        <v>23901</v>
      </c>
      <c r="I22" s="142">
        <v>0</v>
      </c>
      <c r="J22" s="142">
        <v>23901</v>
      </c>
      <c r="K22" s="142">
        <v>26434</v>
      </c>
    </row>
    <row r="23" spans="1:11" x14ac:dyDescent="0.25">
      <c r="A23" s="141" t="s">
        <v>1050</v>
      </c>
      <c r="B23" s="141" t="s">
        <v>1051</v>
      </c>
      <c r="C23" s="140" t="s">
        <v>761</v>
      </c>
      <c r="D23" s="142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42">
        <v>0</v>
      </c>
    </row>
    <row r="24" spans="1:11" x14ac:dyDescent="0.25">
      <c r="A24" s="141">
        <v>2</v>
      </c>
      <c r="B24" s="141" t="s">
        <v>1052</v>
      </c>
      <c r="C24" s="140" t="s">
        <v>1053</v>
      </c>
      <c r="D24" s="142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42">
        <v>0</v>
      </c>
    </row>
    <row r="25" spans="1:11" x14ac:dyDescent="0.25">
      <c r="A25" s="141">
        <v>3</v>
      </c>
      <c r="B25" s="141" t="s">
        <v>1054</v>
      </c>
      <c r="C25" s="140" t="s">
        <v>1055</v>
      </c>
      <c r="D25" s="142">
        <v>0</v>
      </c>
      <c r="E25" s="142">
        <v>0</v>
      </c>
      <c r="F25" s="142">
        <v>0</v>
      </c>
      <c r="G25" s="142">
        <v>0</v>
      </c>
      <c r="H25" s="142">
        <v>0</v>
      </c>
      <c r="I25" s="142">
        <v>0</v>
      </c>
      <c r="J25" s="142">
        <v>0</v>
      </c>
      <c r="K25" s="142">
        <v>0</v>
      </c>
    </row>
    <row r="26" spans="1:11" x14ac:dyDescent="0.25">
      <c r="A26" s="141">
        <v>4</v>
      </c>
      <c r="B26" s="141" t="s">
        <v>1056</v>
      </c>
      <c r="C26" s="140" t="s">
        <v>1057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  <c r="K26" s="142">
        <v>0</v>
      </c>
    </row>
    <row r="27" spans="1:11" x14ac:dyDescent="0.25">
      <c r="A27" s="141">
        <v>5</v>
      </c>
      <c r="B27" s="141" t="s">
        <v>1058</v>
      </c>
      <c r="C27" s="140" t="s">
        <v>1059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</row>
    <row r="28" spans="1:11" x14ac:dyDescent="0.25">
      <c r="A28" s="141">
        <v>6</v>
      </c>
      <c r="B28" s="141" t="s">
        <v>1060</v>
      </c>
      <c r="C28" s="140" t="s">
        <v>1061</v>
      </c>
      <c r="D28" s="142">
        <v>23901.37</v>
      </c>
      <c r="E28" s="142">
        <v>0</v>
      </c>
      <c r="F28" s="142">
        <v>23901.37</v>
      </c>
      <c r="G28" s="142">
        <v>26434.240000000002</v>
      </c>
      <c r="H28" s="142">
        <v>23901</v>
      </c>
      <c r="I28" s="142">
        <v>0</v>
      </c>
      <c r="J28" s="142">
        <v>23901</v>
      </c>
      <c r="K28" s="142">
        <v>26434</v>
      </c>
    </row>
    <row r="29" spans="1:11" x14ac:dyDescent="0.25">
      <c r="A29" s="141">
        <v>7</v>
      </c>
      <c r="B29" s="141" t="s">
        <v>1062</v>
      </c>
      <c r="C29" s="140" t="s">
        <v>1063</v>
      </c>
      <c r="D29" s="142">
        <v>0</v>
      </c>
      <c r="E29" s="142">
        <v>0</v>
      </c>
      <c r="F29" s="142">
        <v>0</v>
      </c>
      <c r="G29" s="142">
        <v>0</v>
      </c>
      <c r="H29" s="142">
        <v>0</v>
      </c>
      <c r="I29" s="142">
        <v>0</v>
      </c>
      <c r="J29" s="142">
        <v>0</v>
      </c>
      <c r="K29" s="142">
        <v>0</v>
      </c>
    </row>
    <row r="30" spans="1:11" x14ac:dyDescent="0.25">
      <c r="A30" s="141">
        <v>8</v>
      </c>
      <c r="B30" s="141" t="s">
        <v>1064</v>
      </c>
      <c r="C30" s="140" t="s">
        <v>1065</v>
      </c>
      <c r="D30" s="142">
        <v>0</v>
      </c>
      <c r="E30" s="142">
        <v>0</v>
      </c>
      <c r="F30" s="142">
        <v>0</v>
      </c>
      <c r="G30" s="142">
        <v>0</v>
      </c>
      <c r="H30" s="142">
        <v>0</v>
      </c>
      <c r="I30" s="142">
        <v>0</v>
      </c>
      <c r="J30" s="142">
        <v>0</v>
      </c>
      <c r="K30" s="142">
        <v>0</v>
      </c>
    </row>
    <row r="31" spans="1:11" x14ac:dyDescent="0.25">
      <c r="A31" s="141">
        <v>9</v>
      </c>
      <c r="B31" s="141" t="s">
        <v>1066</v>
      </c>
      <c r="C31" s="140" t="s">
        <v>1067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</row>
    <row r="32" spans="1:11" x14ac:dyDescent="0.25">
      <c r="A32" s="141">
        <v>10</v>
      </c>
      <c r="B32" s="141" t="s">
        <v>1068</v>
      </c>
      <c r="C32" s="140" t="s">
        <v>1069</v>
      </c>
      <c r="D32" s="142">
        <v>0</v>
      </c>
      <c r="E32" s="142">
        <v>0</v>
      </c>
      <c r="F32" s="142">
        <v>0</v>
      </c>
      <c r="G32" s="142">
        <v>0</v>
      </c>
      <c r="H32" s="142">
        <v>0</v>
      </c>
      <c r="I32" s="142">
        <v>0</v>
      </c>
      <c r="J32" s="142">
        <v>0</v>
      </c>
      <c r="K32" s="142">
        <v>0</v>
      </c>
    </row>
    <row r="33" spans="1:11" x14ac:dyDescent="0.25">
      <c r="A33" s="141">
        <v>11</v>
      </c>
      <c r="B33" s="141" t="s">
        <v>1070</v>
      </c>
      <c r="C33" s="140" t="s">
        <v>1071</v>
      </c>
      <c r="D33" s="142">
        <v>0</v>
      </c>
      <c r="E33" s="142">
        <v>0</v>
      </c>
      <c r="F33" s="142">
        <v>0</v>
      </c>
      <c r="G33" s="142">
        <v>0</v>
      </c>
      <c r="H33" s="142">
        <v>0</v>
      </c>
      <c r="I33" s="142">
        <v>0</v>
      </c>
      <c r="J33" s="142">
        <v>0</v>
      </c>
      <c r="K33" s="142">
        <v>0</v>
      </c>
    </row>
    <row r="34" spans="1:11" x14ac:dyDescent="0.25">
      <c r="A34" s="141" t="s">
        <v>872</v>
      </c>
      <c r="B34" s="141" t="s">
        <v>1072</v>
      </c>
      <c r="C34" s="140" t="s">
        <v>1073</v>
      </c>
      <c r="D34" s="142">
        <v>341656.81</v>
      </c>
      <c r="E34" s="142">
        <v>4790.25</v>
      </c>
      <c r="F34" s="142">
        <v>336866.56</v>
      </c>
      <c r="G34" s="142">
        <v>320181.28999999998</v>
      </c>
      <c r="H34" s="142">
        <v>341656</v>
      </c>
      <c r="I34" s="142">
        <v>4790</v>
      </c>
      <c r="J34" s="142">
        <v>336866</v>
      </c>
      <c r="K34" s="142">
        <v>320182</v>
      </c>
    </row>
    <row r="35" spans="1:11" x14ac:dyDescent="0.25">
      <c r="A35" s="141" t="s">
        <v>1074</v>
      </c>
      <c r="B35" s="141" t="s">
        <v>1075</v>
      </c>
      <c r="C35" s="140" t="s">
        <v>1076</v>
      </c>
      <c r="D35" s="142">
        <v>63407.45</v>
      </c>
      <c r="E35" s="142">
        <v>0</v>
      </c>
      <c r="F35" s="142">
        <v>63407.45</v>
      </c>
      <c r="G35" s="142">
        <v>82038.570000000007</v>
      </c>
      <c r="H35" s="142">
        <v>63407</v>
      </c>
      <c r="I35" s="142">
        <v>0</v>
      </c>
      <c r="J35" s="142">
        <v>63407</v>
      </c>
      <c r="K35" s="142">
        <v>82039</v>
      </c>
    </row>
    <row r="36" spans="1:11" x14ac:dyDescent="0.25">
      <c r="A36" s="141" t="s">
        <v>1077</v>
      </c>
      <c r="B36" s="141" t="s">
        <v>1078</v>
      </c>
      <c r="C36" s="140" t="s">
        <v>1079</v>
      </c>
      <c r="D36" s="142">
        <v>0</v>
      </c>
      <c r="E36" s="142">
        <v>0</v>
      </c>
      <c r="F36" s="142">
        <v>0</v>
      </c>
      <c r="G36" s="142">
        <v>0</v>
      </c>
      <c r="H36" s="142">
        <v>0</v>
      </c>
      <c r="I36" s="142">
        <v>0</v>
      </c>
      <c r="J36" s="142">
        <v>0</v>
      </c>
      <c r="K36" s="142">
        <v>0</v>
      </c>
    </row>
    <row r="37" spans="1:11" x14ac:dyDescent="0.25">
      <c r="A37" s="141">
        <v>2</v>
      </c>
      <c r="B37" s="141" t="s">
        <v>1080</v>
      </c>
      <c r="C37" s="140" t="s">
        <v>1081</v>
      </c>
      <c r="D37" s="142">
        <v>0</v>
      </c>
      <c r="E37" s="142">
        <v>0</v>
      </c>
      <c r="F37" s="142">
        <v>0</v>
      </c>
      <c r="G37" s="142">
        <v>0</v>
      </c>
      <c r="H37" s="142">
        <v>0</v>
      </c>
      <c r="I37" s="142">
        <v>0</v>
      </c>
      <c r="J37" s="142">
        <v>0</v>
      </c>
      <c r="K37" s="142">
        <v>0</v>
      </c>
    </row>
    <row r="38" spans="1:11" x14ac:dyDescent="0.25">
      <c r="A38" s="141">
        <v>3</v>
      </c>
      <c r="B38" s="141" t="s">
        <v>1082</v>
      </c>
      <c r="C38" s="140" t="s">
        <v>1083</v>
      </c>
      <c r="D38" s="142">
        <v>0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</row>
    <row r="39" spans="1:11" x14ac:dyDescent="0.25">
      <c r="A39" s="141">
        <v>4</v>
      </c>
      <c r="B39" s="141" t="s">
        <v>1084</v>
      </c>
      <c r="C39" s="140" t="s">
        <v>1085</v>
      </c>
      <c r="D39" s="142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42">
        <v>0</v>
      </c>
    </row>
    <row r="40" spans="1:11" x14ac:dyDescent="0.25">
      <c r="A40" s="141">
        <v>5</v>
      </c>
      <c r="B40" s="141" t="s">
        <v>1086</v>
      </c>
      <c r="C40" s="140" t="s">
        <v>1087</v>
      </c>
      <c r="D40" s="142">
        <v>63407.45</v>
      </c>
      <c r="E40" s="142">
        <v>0</v>
      </c>
      <c r="F40" s="142">
        <v>63407.45</v>
      </c>
      <c r="G40" s="142">
        <v>82038.570000000007</v>
      </c>
      <c r="H40" s="142">
        <v>63407</v>
      </c>
      <c r="I40" s="142">
        <v>0</v>
      </c>
      <c r="J40" s="142">
        <v>63407</v>
      </c>
      <c r="K40" s="142">
        <v>82039</v>
      </c>
    </row>
    <row r="41" spans="1:11" x14ac:dyDescent="0.25">
      <c r="A41" s="141">
        <v>6</v>
      </c>
      <c r="B41" s="141" t="s">
        <v>1088</v>
      </c>
      <c r="C41" s="140" t="s">
        <v>1089</v>
      </c>
      <c r="D41" s="142">
        <v>0</v>
      </c>
      <c r="E41" s="142">
        <v>0</v>
      </c>
      <c r="F41" s="142">
        <v>0</v>
      </c>
      <c r="G41" s="142">
        <v>0</v>
      </c>
      <c r="H41" s="142">
        <v>0</v>
      </c>
      <c r="I41" s="142">
        <v>0</v>
      </c>
      <c r="J41" s="142">
        <v>0</v>
      </c>
      <c r="K41" s="142">
        <v>0</v>
      </c>
    </row>
    <row r="42" spans="1:11" x14ac:dyDescent="0.25">
      <c r="A42" s="141" t="s">
        <v>1090</v>
      </c>
      <c r="B42" s="141" t="s">
        <v>1091</v>
      </c>
      <c r="C42" s="140" t="s">
        <v>763</v>
      </c>
      <c r="D42" s="142">
        <v>0</v>
      </c>
      <c r="E42" s="142">
        <v>0</v>
      </c>
      <c r="F42" s="142">
        <v>0</v>
      </c>
      <c r="G42" s="142">
        <v>0</v>
      </c>
      <c r="H42" s="142">
        <v>0</v>
      </c>
      <c r="I42" s="142">
        <v>0</v>
      </c>
      <c r="J42" s="142">
        <v>0</v>
      </c>
      <c r="K42" s="142">
        <v>0</v>
      </c>
    </row>
    <row r="43" spans="1:11" x14ac:dyDescent="0.25">
      <c r="A43" s="141" t="s">
        <v>1092</v>
      </c>
      <c r="B43" s="141" t="s">
        <v>1093</v>
      </c>
      <c r="C43" s="140" t="s">
        <v>764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0</v>
      </c>
    </row>
    <row r="44" spans="1:11" x14ac:dyDescent="0.25">
      <c r="A44" s="141" t="s">
        <v>1094</v>
      </c>
      <c r="B44" s="141" t="s">
        <v>1095</v>
      </c>
      <c r="C44" s="140" t="s">
        <v>1096</v>
      </c>
      <c r="D44" s="142">
        <v>0</v>
      </c>
      <c r="E44" s="142">
        <v>0</v>
      </c>
      <c r="F44" s="142">
        <v>0</v>
      </c>
      <c r="G44" s="142">
        <v>0</v>
      </c>
      <c r="H44" s="142">
        <v>0</v>
      </c>
      <c r="I44" s="142">
        <v>0</v>
      </c>
      <c r="J44" s="142">
        <v>0</v>
      </c>
      <c r="K44" s="142">
        <v>0</v>
      </c>
    </row>
    <row r="45" spans="1:11" x14ac:dyDescent="0.25">
      <c r="A45" s="141" t="s">
        <v>1097</v>
      </c>
      <c r="B45" s="141" t="s">
        <v>1098</v>
      </c>
      <c r="C45" s="140" t="s">
        <v>1099</v>
      </c>
      <c r="D45" s="142">
        <v>0</v>
      </c>
      <c r="E45" s="142">
        <v>0</v>
      </c>
      <c r="F45" s="142">
        <v>0</v>
      </c>
      <c r="G45" s="142">
        <v>0</v>
      </c>
      <c r="H45" s="142">
        <v>0</v>
      </c>
      <c r="I45" s="142">
        <v>0</v>
      </c>
      <c r="J45" s="142">
        <v>0</v>
      </c>
      <c r="K45" s="142">
        <v>0</v>
      </c>
    </row>
    <row r="46" spans="1:11" x14ac:dyDescent="0.25">
      <c r="A46" s="141" t="s">
        <v>1100</v>
      </c>
      <c r="B46" s="141" t="s">
        <v>1101</v>
      </c>
      <c r="C46" s="140" t="s">
        <v>1102</v>
      </c>
      <c r="D46" s="142">
        <v>0</v>
      </c>
      <c r="E46" s="142">
        <v>0</v>
      </c>
      <c r="F46" s="142">
        <v>0</v>
      </c>
      <c r="G46" s="142">
        <v>0</v>
      </c>
      <c r="H46" s="142">
        <v>0</v>
      </c>
      <c r="I46" s="142">
        <v>0</v>
      </c>
      <c r="J46" s="142">
        <v>0</v>
      </c>
      <c r="K46" s="142">
        <v>0</v>
      </c>
    </row>
    <row r="47" spans="1:11" x14ac:dyDescent="0.25">
      <c r="A47" s="141">
        <v>2</v>
      </c>
      <c r="B47" s="141" t="s">
        <v>1103</v>
      </c>
      <c r="C47" s="140" t="s">
        <v>1104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</v>
      </c>
      <c r="J47" s="142">
        <v>0</v>
      </c>
      <c r="K47" s="142">
        <v>0</v>
      </c>
    </row>
    <row r="48" spans="1:11" x14ac:dyDescent="0.25">
      <c r="A48" s="141">
        <v>3</v>
      </c>
      <c r="B48" s="141" t="s">
        <v>1105</v>
      </c>
      <c r="C48" s="140" t="s">
        <v>1106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</v>
      </c>
      <c r="K48" s="142">
        <v>0</v>
      </c>
    </row>
    <row r="49" spans="1:11" x14ac:dyDescent="0.25">
      <c r="A49" s="141">
        <v>4</v>
      </c>
      <c r="B49" s="141" t="s">
        <v>1107</v>
      </c>
      <c r="C49" s="140" t="s">
        <v>1108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</v>
      </c>
    </row>
    <row r="50" spans="1:11" x14ac:dyDescent="0.25">
      <c r="A50" s="141">
        <v>5</v>
      </c>
      <c r="B50" s="141" t="s">
        <v>1109</v>
      </c>
      <c r="C50" s="140" t="s">
        <v>1110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</row>
    <row r="51" spans="1:11" x14ac:dyDescent="0.25">
      <c r="A51" s="141">
        <v>6</v>
      </c>
      <c r="B51" s="141" t="s">
        <v>1111</v>
      </c>
      <c r="C51" s="140" t="s">
        <v>1112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</row>
    <row r="52" spans="1:11" x14ac:dyDescent="0.25">
      <c r="A52" s="141">
        <v>7</v>
      </c>
      <c r="B52" s="141" t="s">
        <v>1113</v>
      </c>
      <c r="C52" s="140" t="s">
        <v>1114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</row>
    <row r="53" spans="1:11" x14ac:dyDescent="0.25">
      <c r="A53" s="141">
        <v>8</v>
      </c>
      <c r="B53" s="141" t="s">
        <v>1115</v>
      </c>
      <c r="C53" s="140" t="s">
        <v>1116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</row>
    <row r="54" spans="1:11" x14ac:dyDescent="0.25">
      <c r="A54" s="141" t="s">
        <v>1117</v>
      </c>
      <c r="B54" s="141" t="s">
        <v>1118</v>
      </c>
      <c r="C54" s="140" t="s">
        <v>1119</v>
      </c>
      <c r="D54" s="142">
        <v>207637.66</v>
      </c>
      <c r="E54" s="142">
        <v>4790.25</v>
      </c>
      <c r="F54" s="142">
        <v>202847.41</v>
      </c>
      <c r="G54" s="142">
        <v>190929.64</v>
      </c>
      <c r="H54" s="142">
        <v>207638</v>
      </c>
      <c r="I54" s="142">
        <v>4790</v>
      </c>
      <c r="J54" s="142">
        <v>202848</v>
      </c>
      <c r="K54" s="142">
        <v>190930</v>
      </c>
    </row>
    <row r="55" spans="1:11" x14ac:dyDescent="0.25">
      <c r="A55" s="141" t="s">
        <v>1120</v>
      </c>
      <c r="B55" s="141" t="s">
        <v>1121</v>
      </c>
      <c r="C55" s="140" t="s">
        <v>1122</v>
      </c>
      <c r="D55" s="142">
        <v>207637.66</v>
      </c>
      <c r="E55" s="142">
        <v>4790.25</v>
      </c>
      <c r="F55" s="142">
        <v>202847.41</v>
      </c>
      <c r="G55" s="142">
        <v>190929.64</v>
      </c>
      <c r="H55" s="142">
        <v>207638</v>
      </c>
      <c r="I55" s="142">
        <v>4790</v>
      </c>
      <c r="J55" s="142">
        <v>202848</v>
      </c>
      <c r="K55" s="142">
        <v>190930</v>
      </c>
    </row>
    <row r="56" spans="1:11" x14ac:dyDescent="0.25">
      <c r="A56" s="141" t="s">
        <v>1094</v>
      </c>
      <c r="B56" s="141" t="s">
        <v>1095</v>
      </c>
      <c r="C56" s="140" t="s">
        <v>1123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</row>
    <row r="57" spans="1:11" x14ac:dyDescent="0.25">
      <c r="A57" s="141" t="s">
        <v>1097</v>
      </c>
      <c r="B57" s="141" t="s">
        <v>1098</v>
      </c>
      <c r="C57" s="140" t="s">
        <v>1124</v>
      </c>
      <c r="D57" s="142">
        <v>0</v>
      </c>
      <c r="E57" s="142">
        <v>0</v>
      </c>
      <c r="F57" s="142">
        <v>0</v>
      </c>
      <c r="G57" s="142">
        <v>0</v>
      </c>
      <c r="H57" s="142">
        <v>0</v>
      </c>
      <c r="I57" s="142">
        <v>0</v>
      </c>
      <c r="J57" s="142">
        <v>0</v>
      </c>
      <c r="K57" s="142">
        <v>0</v>
      </c>
    </row>
    <row r="58" spans="1:11" x14ac:dyDescent="0.25">
      <c r="A58" s="141" t="s">
        <v>1100</v>
      </c>
      <c r="B58" s="141" t="s">
        <v>1101</v>
      </c>
      <c r="C58" s="140" t="s">
        <v>1125</v>
      </c>
      <c r="D58" s="142">
        <v>207637.66</v>
      </c>
      <c r="E58" s="142">
        <v>4790.25</v>
      </c>
      <c r="F58" s="142">
        <v>202847.41</v>
      </c>
      <c r="G58" s="142">
        <v>190929.64</v>
      </c>
      <c r="H58" s="142">
        <v>207638</v>
      </c>
      <c r="I58" s="142">
        <v>4790</v>
      </c>
      <c r="J58" s="142">
        <v>202848</v>
      </c>
      <c r="K58" s="142">
        <v>190930</v>
      </c>
    </row>
    <row r="59" spans="1:11" x14ac:dyDescent="0.25">
      <c r="A59" s="141">
        <v>2</v>
      </c>
      <c r="B59" s="141" t="s">
        <v>1103</v>
      </c>
      <c r="C59" s="140" t="s">
        <v>1126</v>
      </c>
      <c r="D59" s="142">
        <v>0</v>
      </c>
      <c r="E59" s="142">
        <v>0</v>
      </c>
      <c r="F59" s="142">
        <v>0</v>
      </c>
      <c r="G59" s="142">
        <v>0</v>
      </c>
      <c r="H59" s="142">
        <v>0</v>
      </c>
      <c r="I59" s="142">
        <v>0</v>
      </c>
      <c r="J59" s="142">
        <v>0</v>
      </c>
      <c r="K59" s="142">
        <v>0</v>
      </c>
    </row>
    <row r="60" spans="1:11" x14ac:dyDescent="0.25">
      <c r="A60" s="141">
        <v>3</v>
      </c>
      <c r="B60" s="141" t="s">
        <v>1105</v>
      </c>
      <c r="C60" s="140" t="s">
        <v>1127</v>
      </c>
      <c r="D60" s="142">
        <v>0</v>
      </c>
      <c r="E60" s="142">
        <v>0</v>
      </c>
      <c r="F60" s="142">
        <v>0</v>
      </c>
      <c r="G60" s="142">
        <v>0</v>
      </c>
      <c r="H60" s="142">
        <v>0</v>
      </c>
      <c r="I60" s="142">
        <v>0</v>
      </c>
      <c r="J60" s="142">
        <v>0</v>
      </c>
      <c r="K60" s="142">
        <v>0</v>
      </c>
    </row>
    <row r="61" spans="1:11" x14ac:dyDescent="0.25">
      <c r="A61" s="141">
        <v>4</v>
      </c>
      <c r="B61" s="141" t="s">
        <v>1107</v>
      </c>
      <c r="C61" s="140" t="s">
        <v>1128</v>
      </c>
      <c r="D61" s="142">
        <v>0</v>
      </c>
      <c r="E61" s="142">
        <v>0</v>
      </c>
      <c r="F61" s="142">
        <v>0</v>
      </c>
      <c r="G61" s="142">
        <v>0</v>
      </c>
      <c r="H61" s="142">
        <v>0</v>
      </c>
      <c r="I61" s="142">
        <v>0</v>
      </c>
      <c r="J61" s="142">
        <v>0</v>
      </c>
      <c r="K61" s="142">
        <v>0</v>
      </c>
    </row>
    <row r="62" spans="1:11" x14ac:dyDescent="0.25">
      <c r="A62" s="141">
        <v>5</v>
      </c>
      <c r="B62" s="141" t="s">
        <v>1129</v>
      </c>
      <c r="C62" s="140" t="s">
        <v>1130</v>
      </c>
      <c r="D62" s="142">
        <v>0</v>
      </c>
      <c r="E62" s="142">
        <v>0</v>
      </c>
      <c r="F62" s="142">
        <v>0</v>
      </c>
      <c r="G62" s="142">
        <v>0</v>
      </c>
      <c r="H62" s="142">
        <v>0</v>
      </c>
      <c r="I62" s="142">
        <v>0</v>
      </c>
      <c r="J62" s="142">
        <v>0</v>
      </c>
      <c r="K62" s="142">
        <v>0</v>
      </c>
    </row>
    <row r="63" spans="1:11" x14ac:dyDescent="0.25">
      <c r="A63" s="141" t="s">
        <v>1131</v>
      </c>
      <c r="B63" s="141" t="s">
        <v>1132</v>
      </c>
      <c r="C63" s="140" t="s">
        <v>1133</v>
      </c>
      <c r="D63" s="142">
        <v>0</v>
      </c>
      <c r="E63" s="142">
        <v>0</v>
      </c>
      <c r="F63" s="142">
        <v>0</v>
      </c>
      <c r="G63" s="142">
        <v>0</v>
      </c>
      <c r="H63" s="142">
        <v>0</v>
      </c>
      <c r="I63" s="142">
        <v>0</v>
      </c>
      <c r="J63" s="142">
        <v>0</v>
      </c>
      <c r="K63" s="142">
        <v>0</v>
      </c>
    </row>
    <row r="64" spans="1:11" x14ac:dyDescent="0.25">
      <c r="A64" s="141">
        <v>7</v>
      </c>
      <c r="B64" s="141" t="s">
        <v>1134</v>
      </c>
      <c r="C64" s="140" t="s">
        <v>1135</v>
      </c>
      <c r="D64" s="142">
        <v>0</v>
      </c>
      <c r="E64" s="142">
        <v>0</v>
      </c>
      <c r="F64" s="142">
        <v>0</v>
      </c>
      <c r="G64" s="142">
        <v>0</v>
      </c>
      <c r="H64" s="142">
        <v>0</v>
      </c>
      <c r="I64" s="142">
        <v>0</v>
      </c>
      <c r="J64" s="142">
        <v>0</v>
      </c>
      <c r="K64" s="142">
        <v>0</v>
      </c>
    </row>
    <row r="65" spans="1:11" x14ac:dyDescent="0.25">
      <c r="A65" s="141">
        <v>8</v>
      </c>
      <c r="B65" s="141" t="s">
        <v>1111</v>
      </c>
      <c r="C65" s="140" t="s">
        <v>1136</v>
      </c>
      <c r="D65" s="142">
        <v>0</v>
      </c>
      <c r="E65" s="142">
        <v>0</v>
      </c>
      <c r="F65" s="142">
        <v>0</v>
      </c>
      <c r="G65" s="142">
        <v>0</v>
      </c>
      <c r="H65" s="142">
        <v>0</v>
      </c>
      <c r="I65" s="142">
        <v>0</v>
      </c>
      <c r="J65" s="142">
        <v>0</v>
      </c>
      <c r="K65" s="142">
        <v>0</v>
      </c>
    </row>
    <row r="66" spans="1:11" x14ac:dyDescent="0.25">
      <c r="A66" s="141">
        <v>9</v>
      </c>
      <c r="B66" s="141" t="s">
        <v>1137</v>
      </c>
      <c r="C66" s="140" t="s">
        <v>1138</v>
      </c>
      <c r="D66" s="142">
        <v>0</v>
      </c>
      <c r="E66" s="142">
        <v>0</v>
      </c>
      <c r="F66" s="142">
        <v>0</v>
      </c>
      <c r="G66" s="142">
        <v>0</v>
      </c>
      <c r="H66" s="142">
        <v>0</v>
      </c>
      <c r="I66" s="142">
        <v>0</v>
      </c>
      <c r="J66" s="142">
        <v>0</v>
      </c>
      <c r="K66" s="142">
        <v>0</v>
      </c>
    </row>
    <row r="67" spans="1:11" x14ac:dyDescent="0.25">
      <c r="A67" s="141" t="s">
        <v>1139</v>
      </c>
      <c r="B67" s="141" t="s">
        <v>1140</v>
      </c>
      <c r="C67" s="140" t="s">
        <v>1141</v>
      </c>
      <c r="D67" s="142">
        <v>0</v>
      </c>
      <c r="E67" s="142">
        <v>0</v>
      </c>
      <c r="F67" s="142">
        <v>0</v>
      </c>
      <c r="G67" s="142">
        <v>0</v>
      </c>
      <c r="H67" s="142">
        <v>0</v>
      </c>
      <c r="I67" s="142">
        <v>0</v>
      </c>
      <c r="J67" s="142">
        <v>0</v>
      </c>
      <c r="K67" s="142">
        <v>0</v>
      </c>
    </row>
    <row r="68" spans="1:11" x14ac:dyDescent="0.25">
      <c r="A68" s="141" t="s">
        <v>1142</v>
      </c>
      <c r="B68" s="141" t="s">
        <v>1143</v>
      </c>
      <c r="C68" s="140" t="s">
        <v>765</v>
      </c>
      <c r="D68" s="142">
        <v>0</v>
      </c>
      <c r="E68" s="142">
        <v>0</v>
      </c>
      <c r="F68" s="142">
        <v>0</v>
      </c>
      <c r="G68" s="142">
        <v>0</v>
      </c>
      <c r="H68" s="142">
        <v>0</v>
      </c>
      <c r="I68" s="142">
        <v>0</v>
      </c>
      <c r="J68" s="142">
        <v>0</v>
      </c>
      <c r="K68" s="142">
        <v>0</v>
      </c>
    </row>
    <row r="69" spans="1:11" x14ac:dyDescent="0.25">
      <c r="A69" s="146">
        <v>2</v>
      </c>
      <c r="B69" s="146" t="s">
        <v>1144</v>
      </c>
      <c r="C69" s="147" t="s">
        <v>1145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  <c r="I69" s="148">
        <v>0</v>
      </c>
      <c r="J69" s="148">
        <v>0</v>
      </c>
      <c r="K69" s="148">
        <v>0</v>
      </c>
    </row>
    <row r="70" spans="1:11" x14ac:dyDescent="0.25">
      <c r="A70" s="146">
        <v>3</v>
      </c>
      <c r="B70" s="146" t="s">
        <v>1146</v>
      </c>
      <c r="C70" s="147" t="s">
        <v>1147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  <c r="I70" s="148">
        <v>0</v>
      </c>
      <c r="J70" s="148">
        <v>0</v>
      </c>
      <c r="K70" s="148">
        <v>0</v>
      </c>
    </row>
    <row r="71" spans="1:11" x14ac:dyDescent="0.25">
      <c r="A71" s="146">
        <v>4</v>
      </c>
      <c r="B71" s="146" t="s">
        <v>1148</v>
      </c>
      <c r="C71" s="147" t="s">
        <v>1149</v>
      </c>
      <c r="D71" s="148">
        <v>0</v>
      </c>
      <c r="E71" s="148">
        <v>0</v>
      </c>
      <c r="F71" s="148">
        <v>0</v>
      </c>
      <c r="G71" s="148">
        <v>0</v>
      </c>
      <c r="H71" s="148">
        <v>0</v>
      </c>
      <c r="I71" s="148">
        <v>0</v>
      </c>
      <c r="J71" s="148">
        <v>0</v>
      </c>
      <c r="K71" s="148">
        <v>0</v>
      </c>
    </row>
    <row r="72" spans="1:11" x14ac:dyDescent="0.25">
      <c r="A72" s="146" t="s">
        <v>1150</v>
      </c>
      <c r="B72" s="146" t="s">
        <v>1151</v>
      </c>
      <c r="C72" s="147" t="s">
        <v>1152</v>
      </c>
      <c r="D72" s="148">
        <v>70611.7</v>
      </c>
      <c r="E72" s="148">
        <v>0</v>
      </c>
      <c r="F72" s="148">
        <v>70611.7</v>
      </c>
      <c r="G72" s="148">
        <v>47213.08</v>
      </c>
      <c r="H72" s="148">
        <v>70611</v>
      </c>
      <c r="I72" s="148">
        <v>0</v>
      </c>
      <c r="J72" s="148">
        <v>70611</v>
      </c>
      <c r="K72" s="148">
        <v>47213</v>
      </c>
    </row>
    <row r="73" spans="1:11" x14ac:dyDescent="0.25">
      <c r="A73" s="146" t="s">
        <v>1153</v>
      </c>
      <c r="B73" s="146" t="s">
        <v>1154</v>
      </c>
      <c r="C73" s="147" t="s">
        <v>1155</v>
      </c>
      <c r="D73" s="148">
        <v>58318.49</v>
      </c>
      <c r="E73" s="148">
        <v>0</v>
      </c>
      <c r="F73" s="148">
        <v>58318.49</v>
      </c>
      <c r="G73" s="148">
        <v>22379.35</v>
      </c>
      <c r="H73" s="148">
        <v>58318</v>
      </c>
      <c r="I73" s="148">
        <v>0</v>
      </c>
      <c r="J73" s="148">
        <v>58318</v>
      </c>
      <c r="K73" s="148">
        <v>22379</v>
      </c>
    </row>
    <row r="74" spans="1:11" x14ac:dyDescent="0.25">
      <c r="A74" s="146">
        <v>2</v>
      </c>
      <c r="B74" s="146" t="s">
        <v>1156</v>
      </c>
      <c r="C74" s="147" t="s">
        <v>767</v>
      </c>
      <c r="D74" s="148">
        <v>12293.21</v>
      </c>
      <c r="E74" s="148">
        <v>0</v>
      </c>
      <c r="F74" s="148">
        <v>12293.21</v>
      </c>
      <c r="G74" s="148">
        <v>24833.73</v>
      </c>
      <c r="H74" s="148">
        <v>12293</v>
      </c>
      <c r="I74" s="148">
        <v>0</v>
      </c>
      <c r="J74" s="148">
        <v>12293</v>
      </c>
      <c r="K74" s="148">
        <v>24834</v>
      </c>
    </row>
    <row r="75" spans="1:11" x14ac:dyDescent="0.25">
      <c r="A75" s="146" t="s">
        <v>875</v>
      </c>
      <c r="B75" s="146" t="s">
        <v>1157</v>
      </c>
      <c r="C75" s="147" t="s">
        <v>1158</v>
      </c>
      <c r="D75" s="148">
        <v>2022.48</v>
      </c>
      <c r="E75" s="148">
        <v>0</v>
      </c>
      <c r="F75" s="148">
        <v>2022.48</v>
      </c>
      <c r="G75" s="148">
        <v>6413.42</v>
      </c>
      <c r="H75" s="148">
        <v>2022</v>
      </c>
      <c r="I75" s="148">
        <v>0</v>
      </c>
      <c r="J75" s="148">
        <v>2022</v>
      </c>
      <c r="K75" s="148">
        <v>6414</v>
      </c>
    </row>
    <row r="76" spans="1:11" x14ac:dyDescent="0.25">
      <c r="A76" s="146" t="s">
        <v>1159</v>
      </c>
      <c r="B76" s="146" t="s">
        <v>1160</v>
      </c>
      <c r="C76" s="147" t="s">
        <v>1161</v>
      </c>
      <c r="D76" s="148">
        <v>2022.48</v>
      </c>
      <c r="E76" s="148">
        <v>0</v>
      </c>
      <c r="F76" s="148">
        <v>2022.48</v>
      </c>
      <c r="G76" s="148">
        <v>6010.68</v>
      </c>
      <c r="H76" s="148">
        <v>2022</v>
      </c>
      <c r="I76" s="148">
        <v>0</v>
      </c>
      <c r="J76" s="148">
        <v>2022</v>
      </c>
      <c r="K76" s="148">
        <v>6011</v>
      </c>
    </row>
    <row r="77" spans="1:11" x14ac:dyDescent="0.25">
      <c r="A77" s="146">
        <v>2</v>
      </c>
      <c r="B77" s="146" t="s">
        <v>1162</v>
      </c>
      <c r="C77" s="147" t="s">
        <v>1163</v>
      </c>
      <c r="D77" s="148">
        <v>0</v>
      </c>
      <c r="E77" s="148">
        <v>0</v>
      </c>
      <c r="F77" s="148">
        <v>0</v>
      </c>
      <c r="G77" s="148">
        <v>0</v>
      </c>
      <c r="H77" s="148">
        <v>0</v>
      </c>
      <c r="I77" s="148">
        <v>0</v>
      </c>
      <c r="J77" s="148">
        <v>0</v>
      </c>
      <c r="K77" s="148">
        <v>0</v>
      </c>
    </row>
    <row r="78" spans="1:11" x14ac:dyDescent="0.25">
      <c r="A78" s="146">
        <v>3</v>
      </c>
      <c r="B78" s="146" t="s">
        <v>1164</v>
      </c>
      <c r="C78" s="147" t="s">
        <v>1165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  <c r="I78" s="148">
        <v>0</v>
      </c>
      <c r="J78" s="148">
        <v>0</v>
      </c>
      <c r="K78" s="148">
        <v>0</v>
      </c>
    </row>
    <row r="79" spans="1:11" x14ac:dyDescent="0.25">
      <c r="A79" s="146">
        <v>4</v>
      </c>
      <c r="B79" s="146" t="s">
        <v>1166</v>
      </c>
      <c r="C79" s="147" t="s">
        <v>1167</v>
      </c>
      <c r="D79" s="148">
        <v>0</v>
      </c>
      <c r="E79" s="148">
        <v>0</v>
      </c>
      <c r="F79" s="148">
        <v>0</v>
      </c>
      <c r="G79" s="148">
        <v>402.74</v>
      </c>
      <c r="H79" s="148">
        <v>0</v>
      </c>
      <c r="I79" s="148">
        <v>0</v>
      </c>
      <c r="J79" s="148">
        <v>0</v>
      </c>
      <c r="K79" s="148">
        <v>403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38" customWidth="1"/>
    <col min="2" max="4" width="11.28515625" style="138" customWidth="1"/>
    <col min="5" max="5" width="12.5703125" style="138" customWidth="1"/>
    <col min="6" max="10" width="11.28515625" style="138" customWidth="1"/>
    <col min="11" max="16384" width="9.140625" style="138"/>
  </cols>
  <sheetData>
    <row r="1" spans="1:33" ht="16.5" x14ac:dyDescent="0.3">
      <c r="A1" s="174" t="s">
        <v>373</v>
      </c>
    </row>
    <row r="2" spans="1:33" ht="17.25" thickBot="1" x14ac:dyDescent="0.35">
      <c r="A2" s="175" t="s">
        <v>7</v>
      </c>
    </row>
    <row r="3" spans="1:33" ht="16.5" customHeight="1" thickTop="1" thickBot="1" x14ac:dyDescent="0.3">
      <c r="A3" s="283" t="s">
        <v>28</v>
      </c>
      <c r="B3" s="277" t="s">
        <v>2</v>
      </c>
      <c r="C3" s="278"/>
      <c r="D3" s="278"/>
      <c r="E3" s="278"/>
      <c r="F3" s="278"/>
      <c r="G3" s="278"/>
      <c r="H3" s="278"/>
      <c r="I3" s="278"/>
      <c r="J3" s="279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</row>
    <row r="4" spans="1:33" ht="62.25" customHeight="1" thickTop="1" thickBot="1" x14ac:dyDescent="0.3">
      <c r="A4" s="284"/>
      <c r="B4" s="166" t="s">
        <v>29</v>
      </c>
      <c r="C4" s="166" t="s">
        <v>30</v>
      </c>
      <c r="D4" s="166" t="s">
        <v>31</v>
      </c>
      <c r="E4" s="166" t="s">
        <v>298</v>
      </c>
      <c r="F4" s="166" t="s">
        <v>32</v>
      </c>
      <c r="G4" s="166" t="s">
        <v>33</v>
      </c>
      <c r="H4" s="166" t="s">
        <v>299</v>
      </c>
      <c r="I4" s="166" t="s">
        <v>34</v>
      </c>
      <c r="J4" s="166" t="s">
        <v>8</v>
      </c>
    </row>
    <row r="5" spans="1:33" ht="15" customHeight="1" thickTop="1" thickBot="1" x14ac:dyDescent="0.3">
      <c r="A5" s="177" t="s">
        <v>16</v>
      </c>
      <c r="B5" s="156"/>
      <c r="C5" s="156"/>
      <c r="D5" s="156"/>
      <c r="E5" s="156"/>
      <c r="F5" s="156"/>
      <c r="G5" s="156"/>
      <c r="H5" s="156"/>
      <c r="I5" s="156"/>
      <c r="J5" s="157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</row>
    <row r="6" spans="1:33" ht="24" thickTop="1" thickBot="1" x14ac:dyDescent="0.3">
      <c r="A6" s="178" t="s">
        <v>17</v>
      </c>
      <c r="B6" s="168">
        <f>SUMIF(HK!A:A,"031*",HK!C:C)-SUMIF(HK!A:A,"031*",HK!D:D)</f>
        <v>0</v>
      </c>
      <c r="C6" s="168">
        <f>SUMIF(HK!A:A,"021*",HK!C:C)-SUMIF(HK!A:A,"021*",HK!D:D)</f>
        <v>0</v>
      </c>
      <c r="D6" s="168">
        <f>SUMIF(HK!A:A,"022*",HK!C:C)-SUMIF(HK!A:A,"022*",HK!D:D)</f>
        <v>0</v>
      </c>
      <c r="E6" s="168">
        <f>SUMIF(HK!A:A,"025*",HK!C:C)-SUMIF(HK!A:A,"025*",HK!D:D)</f>
        <v>0</v>
      </c>
      <c r="F6" s="168">
        <f>SUMIF(HK!A:A,"026*",HK!C:C)-SUMIF(HK!A:A,"026*",HK!D:D)</f>
        <v>0</v>
      </c>
      <c r="G6" s="168">
        <f>SUMIF(HK!A:A,"029*",HK!C:C)-SUMIF(HK!A:A,"029*",HK!D:D)</f>
        <v>0</v>
      </c>
      <c r="H6" s="168">
        <f>SUMIF(HK!A:A,"042*",HK!C:C)-SUMIF(HK!A:A,"042*",HK!D:D)</f>
        <v>0</v>
      </c>
      <c r="I6" s="168">
        <f>SUMIF(HK!A:A,"052*",HK!C:C)-SUMIF(HK!A:A,"052*",HK!D:D)</f>
        <v>0</v>
      </c>
      <c r="J6" s="153">
        <f>SUM(B6:I6)</f>
        <v>0</v>
      </c>
      <c r="L6" s="154"/>
    </row>
    <row r="7" spans="1:33" ht="15" customHeight="1" thickBot="1" x14ac:dyDescent="0.3">
      <c r="A7" s="179" t="s">
        <v>18</v>
      </c>
      <c r="B7" s="132"/>
      <c r="C7" s="132"/>
      <c r="D7" s="132"/>
      <c r="E7" s="132"/>
      <c r="F7" s="133"/>
      <c r="G7" s="132"/>
      <c r="H7" s="132"/>
      <c r="I7" s="132"/>
      <c r="J7" s="153">
        <f t="shared" ref="J7:J9" si="0">SUM(B7:I7)</f>
        <v>0</v>
      </c>
    </row>
    <row r="8" spans="1:33" ht="15" customHeight="1" thickBot="1" x14ac:dyDescent="0.3">
      <c r="A8" s="179" t="s">
        <v>19</v>
      </c>
      <c r="B8" s="132"/>
      <c r="C8" s="132"/>
      <c r="D8" s="132"/>
      <c r="E8" s="132"/>
      <c r="F8" s="133"/>
      <c r="G8" s="132"/>
      <c r="H8" s="132"/>
      <c r="I8" s="132"/>
      <c r="J8" s="153">
        <f t="shared" si="0"/>
        <v>0</v>
      </c>
    </row>
    <row r="9" spans="1:33" ht="15" customHeight="1" thickBot="1" x14ac:dyDescent="0.3">
      <c r="A9" s="179" t="s">
        <v>20</v>
      </c>
      <c r="B9" s="132"/>
      <c r="C9" s="132"/>
      <c r="D9" s="132"/>
      <c r="E9" s="132"/>
      <c r="F9" s="133"/>
      <c r="G9" s="132"/>
      <c r="H9" s="132"/>
      <c r="I9" s="132"/>
      <c r="J9" s="153">
        <f t="shared" si="0"/>
        <v>0</v>
      </c>
    </row>
    <row r="10" spans="1:33" ht="15.75" thickBot="1" x14ac:dyDescent="0.3">
      <c r="A10" s="270" t="s">
        <v>21</v>
      </c>
      <c r="B10" s="168">
        <f>SUMIF(HK!A:A,"031*",HK!K:K)-SUMIF(HK!A:A,"031*",HK!L:L)</f>
        <v>0</v>
      </c>
      <c r="C10" s="168">
        <f>SUMIF(HK!A:A,"021*",HK!K:K)-SUMIF(HK!A:A,"021*",HK!L:L)</f>
        <v>0</v>
      </c>
      <c r="D10" s="168">
        <f>SUMIF(HK!A:A,"022*",HK!K:K)-SUMIF(HK!A:A,"022*",HK!L:L)</f>
        <v>0</v>
      </c>
      <c r="E10" s="168">
        <f>SUMIF(HK!A:A,"025*",HK!K:K)-SUMIF(HK!A:A,"025*",HK!L:L)</f>
        <v>0</v>
      </c>
      <c r="F10" s="168">
        <f>SUMIF(HK!A:A,"026*",HK!K:K)-SUMIF(HK!A:A,"026*",HK!L:L)</f>
        <v>0</v>
      </c>
      <c r="G10" s="168">
        <f>SUMIF(HK!A:A,"029*",HK!K:K)-SUMIF(HK!A:A,"029*",HK!L:L)</f>
        <v>0</v>
      </c>
      <c r="H10" s="168">
        <f>SUMIF(HK!A:A,"042*",HK!K:K)-SUMIF(HK!A:A,"042*",HK!L:L)</f>
        <v>0</v>
      </c>
      <c r="I10" s="168">
        <f>SUMIF(HK!A:A,"052*",HK!K:K)-SUMIF(HK!A:A,"052*",HK!L:L)</f>
        <v>0</v>
      </c>
      <c r="J10" s="155">
        <f>J6+J7-J8+J9</f>
        <v>0</v>
      </c>
      <c r="L10" s="154"/>
    </row>
    <row r="11" spans="1:33" ht="15" customHeight="1" thickTop="1" thickBot="1" x14ac:dyDescent="0.3">
      <c r="A11" s="264" t="s">
        <v>22</v>
      </c>
      <c r="B11" s="173"/>
      <c r="C11" s="173"/>
      <c r="D11" s="173"/>
      <c r="E11" s="173"/>
      <c r="F11" s="173"/>
      <c r="G11" s="173"/>
      <c r="H11" s="173"/>
      <c r="I11" s="173"/>
      <c r="J11" s="157"/>
    </row>
    <row r="12" spans="1:33" ht="23.25" thickBot="1" x14ac:dyDescent="0.3">
      <c r="A12" s="178" t="s">
        <v>23</v>
      </c>
      <c r="B12" s="132"/>
      <c r="C12" s="168">
        <f>SUMIF(HK!A:A,"081*",HK!D:D)-SUMIF(HK!A:A,"081*",HK!C:C)</f>
        <v>0</v>
      </c>
      <c r="D12" s="168">
        <f>SUMIF(HK!A:A,"082*",HK!D:D)-SUMIF(HK!A:A,"082*",HK!C:C)</f>
        <v>0</v>
      </c>
      <c r="E12" s="168">
        <f>SUMIF(HK!A:A,"085*",HK!D:D)-SUMIF(HK!A:A,"085*",HK!C:C)</f>
        <v>0</v>
      </c>
      <c r="F12" s="168">
        <f>SUMIF(HK!A:A,"086*",HK!D:D)-SUMIF(HK!A:A,"086*",HK!C:C)</f>
        <v>0</v>
      </c>
      <c r="G12" s="168">
        <f>SUMIF(HK!A:A,"089*",HK!D:D)-SUMIF(HK!A:A,"089*",HK!C:C)</f>
        <v>0</v>
      </c>
      <c r="H12" s="132"/>
      <c r="I12" s="132"/>
      <c r="J12" s="153">
        <f>SUM(B12:I12)</f>
        <v>0</v>
      </c>
      <c r="L12" s="154"/>
    </row>
    <row r="13" spans="1:33" ht="15" customHeight="1" thickBot="1" x14ac:dyDescent="0.3">
      <c r="A13" s="179" t="s">
        <v>18</v>
      </c>
      <c r="B13" s="132"/>
      <c r="C13" s="132"/>
      <c r="D13" s="132"/>
      <c r="E13" s="132"/>
      <c r="F13" s="132"/>
      <c r="G13" s="132"/>
      <c r="H13" s="132"/>
      <c r="I13" s="132"/>
      <c r="J13" s="153">
        <f t="shared" ref="J13:J14" si="1">SUM(B13:I13)</f>
        <v>0</v>
      </c>
    </row>
    <row r="14" spans="1:33" ht="15" customHeight="1" thickBot="1" x14ac:dyDescent="0.3">
      <c r="A14" s="179" t="s">
        <v>19</v>
      </c>
      <c r="B14" s="132"/>
      <c r="C14" s="132"/>
      <c r="D14" s="132"/>
      <c r="E14" s="132"/>
      <c r="F14" s="132"/>
      <c r="G14" s="132"/>
      <c r="H14" s="132"/>
      <c r="I14" s="132"/>
      <c r="J14" s="153">
        <f t="shared" si="1"/>
        <v>0</v>
      </c>
    </row>
    <row r="15" spans="1:33" ht="15" customHeight="1" thickBot="1" x14ac:dyDescent="0.3">
      <c r="A15" s="264" t="s">
        <v>20</v>
      </c>
      <c r="B15" s="261"/>
      <c r="C15" s="132"/>
      <c r="D15" s="132"/>
      <c r="E15" s="132"/>
      <c r="F15" s="132"/>
      <c r="G15" s="132"/>
      <c r="H15" s="261"/>
      <c r="I15" s="133"/>
      <c r="J15" s="256"/>
    </row>
    <row r="16" spans="1:33" ht="15.75" thickBot="1" x14ac:dyDescent="0.3">
      <c r="A16" s="180" t="s">
        <v>21</v>
      </c>
      <c r="B16" s="135"/>
      <c r="C16" s="168">
        <f>SUMIF(HK!A:A,"081*",HK!L:L)-SUMIF(HK!A:A,"081*",HK!K:K)</f>
        <v>0</v>
      </c>
      <c r="D16" s="168">
        <f>SUMIF(HK!A:A,"082*",HK!L:L)-SUMIF(HK!A:A,"082*",HK!K:K)</f>
        <v>0</v>
      </c>
      <c r="E16" s="168">
        <f>SUMIF(HK!A:A,"085*",HK!L:L)-SUMIF(HK!A:A,"085*",HK!K:K)</f>
        <v>0</v>
      </c>
      <c r="F16" s="168">
        <f>SUMIF(HK!A:A,"086*",HK!L:L)-SUMIF(HK!A:A,"086*",HK!K:K)</f>
        <v>0</v>
      </c>
      <c r="G16" s="168">
        <f>SUMIF(HK!A:A,"089*",HK!L:L)-SUMIF(HK!A:A,"089*",HK!K:K)</f>
        <v>0</v>
      </c>
      <c r="H16" s="135"/>
      <c r="I16" s="135"/>
      <c r="J16" s="155">
        <f>J12+J13-J14</f>
        <v>0</v>
      </c>
      <c r="L16" s="154"/>
    </row>
    <row r="17" spans="1:33" ht="15" customHeight="1" thickTop="1" thickBot="1" x14ac:dyDescent="0.3">
      <c r="A17" s="177" t="s">
        <v>24</v>
      </c>
      <c r="B17" s="173"/>
      <c r="C17" s="173"/>
      <c r="D17" s="173"/>
      <c r="E17" s="173"/>
      <c r="F17" s="173"/>
      <c r="G17" s="173"/>
      <c r="H17" s="173"/>
      <c r="I17" s="173"/>
      <c r="J17" s="157"/>
    </row>
    <row r="18" spans="1:33" ht="24" thickTop="1" thickBot="1" x14ac:dyDescent="0.3">
      <c r="A18" s="178" t="s">
        <v>23</v>
      </c>
      <c r="B18" s="132"/>
      <c r="C18" s="168"/>
      <c r="D18" s="168"/>
      <c r="E18" s="168"/>
      <c r="F18" s="168"/>
      <c r="G18" s="168"/>
      <c r="H18" s="168">
        <f>SUMIF(HK!A:A,"094*",HK!D:D)-SUMIF(HK!A:A,"094*",HK!C:C)</f>
        <v>0</v>
      </c>
      <c r="I18" s="168">
        <f>SUMIF(SUAM!C:C,"019",SUAM!E:E)</f>
        <v>0</v>
      </c>
      <c r="J18" s="153">
        <f>SUM(B18:I18)</f>
        <v>0</v>
      </c>
      <c r="L18" s="154"/>
      <c r="M18" s="154"/>
      <c r="N18" s="161"/>
    </row>
    <row r="19" spans="1:33" ht="15" customHeight="1" thickBot="1" x14ac:dyDescent="0.3">
      <c r="A19" s="179" t="s">
        <v>18</v>
      </c>
      <c r="B19" s="132"/>
      <c r="C19" s="132"/>
      <c r="D19" s="132"/>
      <c r="E19" s="132"/>
      <c r="F19" s="132"/>
      <c r="G19" s="132"/>
      <c r="H19" s="132"/>
      <c r="I19" s="132"/>
      <c r="J19" s="153">
        <f t="shared" ref="J19:J20" si="2">SUM(B19:I19)</f>
        <v>0</v>
      </c>
      <c r="N19" s="161"/>
    </row>
    <row r="20" spans="1:33" ht="15" customHeight="1" thickBot="1" x14ac:dyDescent="0.3">
      <c r="A20" s="179" t="s">
        <v>19</v>
      </c>
      <c r="B20" s="132"/>
      <c r="C20" s="132"/>
      <c r="D20" s="132"/>
      <c r="E20" s="132"/>
      <c r="F20" s="132"/>
      <c r="G20" s="132"/>
      <c r="H20" s="132"/>
      <c r="I20" s="132"/>
      <c r="J20" s="153">
        <f t="shared" si="2"/>
        <v>0</v>
      </c>
      <c r="N20" s="161"/>
    </row>
    <row r="21" spans="1:33" ht="15" customHeight="1" thickBot="1" x14ac:dyDescent="0.3">
      <c r="A21" s="265" t="s">
        <v>20</v>
      </c>
      <c r="B21" s="133"/>
      <c r="C21" s="132"/>
      <c r="D21" s="132"/>
      <c r="E21" s="132"/>
      <c r="F21" s="132"/>
      <c r="G21" s="132"/>
      <c r="H21" s="132"/>
      <c r="I21" s="132"/>
      <c r="J21" s="255"/>
      <c r="N21" s="161"/>
    </row>
    <row r="22" spans="1:33" ht="15.75" thickBot="1" x14ac:dyDescent="0.3">
      <c r="A22" s="180" t="s">
        <v>21</v>
      </c>
      <c r="B22" s="135"/>
      <c r="C22" s="168"/>
      <c r="D22" s="168"/>
      <c r="E22" s="168"/>
      <c r="F22" s="168"/>
      <c r="G22" s="168"/>
      <c r="H22" s="168">
        <f>SUMIF(HK!A:A,"094*",HK!L:L)-SUMIF(HK!A:A,"094*",HK!K:K)</f>
        <v>0</v>
      </c>
      <c r="I22" s="168">
        <f>SUMIF(SUA!C:C,"019",SUA!E:E)</f>
        <v>0</v>
      </c>
      <c r="J22" s="155">
        <f>J18+J19-J20</f>
        <v>0</v>
      </c>
      <c r="L22" s="154"/>
      <c r="M22" s="154"/>
      <c r="N22" s="161"/>
    </row>
    <row r="23" spans="1:33" ht="15" customHeight="1" thickTop="1" thickBot="1" x14ac:dyDescent="0.3">
      <c r="A23" s="177" t="s">
        <v>25</v>
      </c>
      <c r="B23" s="173"/>
      <c r="C23" s="173"/>
      <c r="D23" s="173"/>
      <c r="E23" s="173"/>
      <c r="F23" s="173"/>
      <c r="G23" s="173"/>
      <c r="H23" s="173"/>
      <c r="I23" s="173"/>
      <c r="J23" s="157"/>
    </row>
    <row r="24" spans="1:33" ht="15" customHeight="1" thickTop="1" thickBot="1" x14ac:dyDescent="0.3">
      <c r="A24" s="178" t="s">
        <v>23</v>
      </c>
      <c r="B24" s="132"/>
      <c r="C24" s="132"/>
      <c r="D24" s="132"/>
      <c r="E24" s="132"/>
      <c r="F24" s="132"/>
      <c r="G24" s="132"/>
      <c r="H24" s="132"/>
      <c r="I24" s="132"/>
      <c r="J24" s="153">
        <f t="shared" ref="J24" si="3">J6-J12-J18</f>
        <v>0</v>
      </c>
    </row>
    <row r="25" spans="1:33" ht="15" customHeight="1" thickBot="1" x14ac:dyDescent="0.3">
      <c r="A25" s="180" t="s">
        <v>21</v>
      </c>
      <c r="B25" s="135"/>
      <c r="C25" s="135"/>
      <c r="D25" s="135"/>
      <c r="E25" s="135"/>
      <c r="F25" s="135"/>
      <c r="G25" s="135"/>
      <c r="H25" s="135"/>
      <c r="I25" s="135"/>
      <c r="J25" s="155">
        <f t="shared" ref="J25" si="4">J10-J16-J22</f>
        <v>0</v>
      </c>
    </row>
    <row r="26" spans="1:33" ht="15.75" thickTop="1" x14ac:dyDescent="0.25">
      <c r="A26" s="163"/>
      <c r="B26" s="163"/>
      <c r="C26" s="163"/>
      <c r="D26" s="163"/>
      <c r="E26" s="163"/>
      <c r="F26" s="163"/>
      <c r="G26" s="163"/>
      <c r="H26" s="163"/>
      <c r="I26" s="163"/>
      <c r="J26" s="163"/>
    </row>
    <row r="27" spans="1:33" x14ac:dyDescent="0.25">
      <c r="A27" s="163"/>
      <c r="B27" s="163"/>
      <c r="C27" s="163"/>
      <c r="D27" s="163"/>
      <c r="E27" s="163"/>
      <c r="F27" s="163"/>
      <c r="G27" s="163"/>
      <c r="H27" s="163"/>
      <c r="I27" s="163"/>
      <c r="J27" s="163"/>
    </row>
    <row r="28" spans="1:33" ht="15.75" thickBot="1" x14ac:dyDescent="0.3">
      <c r="A28" s="181" t="s">
        <v>9</v>
      </c>
      <c r="B28" s="181"/>
      <c r="C28" s="181"/>
      <c r="D28" s="181"/>
      <c r="E28" s="181"/>
      <c r="F28" s="181"/>
      <c r="G28" s="181"/>
      <c r="H28" s="181"/>
      <c r="I28" s="181"/>
      <c r="J28" s="181"/>
    </row>
    <row r="29" spans="1:33" ht="16.5" customHeight="1" thickTop="1" thickBot="1" x14ac:dyDescent="0.3">
      <c r="A29" s="285" t="s">
        <v>28</v>
      </c>
      <c r="B29" s="287" t="s">
        <v>3</v>
      </c>
      <c r="C29" s="288"/>
      <c r="D29" s="288"/>
      <c r="E29" s="288"/>
      <c r="F29" s="288"/>
      <c r="G29" s="288"/>
      <c r="H29" s="288"/>
      <c r="I29" s="288"/>
      <c r="J29" s="289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</row>
    <row r="30" spans="1:33" ht="62.25" customHeight="1" thickTop="1" thickBot="1" x14ac:dyDescent="0.3">
      <c r="A30" s="286"/>
      <c r="B30" s="182" t="s">
        <v>29</v>
      </c>
      <c r="C30" s="182" t="s">
        <v>30</v>
      </c>
      <c r="D30" s="182" t="s">
        <v>31</v>
      </c>
      <c r="E30" s="182" t="s">
        <v>298</v>
      </c>
      <c r="F30" s="182" t="s">
        <v>32</v>
      </c>
      <c r="G30" s="182" t="s">
        <v>33</v>
      </c>
      <c r="H30" s="182" t="s">
        <v>299</v>
      </c>
      <c r="I30" s="182" t="s">
        <v>34</v>
      </c>
      <c r="J30" s="182" t="s">
        <v>8</v>
      </c>
    </row>
    <row r="31" spans="1:33" ht="15" customHeight="1" thickTop="1" thickBot="1" x14ac:dyDescent="0.3">
      <c r="A31" s="183" t="s">
        <v>16</v>
      </c>
      <c r="B31" s="134"/>
      <c r="C31" s="134"/>
      <c r="D31" s="134"/>
      <c r="E31" s="134"/>
      <c r="F31" s="134"/>
      <c r="G31" s="134"/>
      <c r="H31" s="134"/>
      <c r="I31" s="134"/>
      <c r="J31" s="184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33" ht="24" thickTop="1" thickBot="1" x14ac:dyDescent="0.3">
      <c r="A32" s="185" t="s">
        <v>17</v>
      </c>
      <c r="B32" s="168">
        <f>SUMIF(HKM!A:A,"031*",HKM!C:C)-SUMIF(HKM!A:A,"031*",HKM!D:D)</f>
        <v>0</v>
      </c>
      <c r="C32" s="168">
        <f>SUMIF(HKM!A:A,"021*",HKM!C:C)-SUMIF(HKM!A:A,"021*",HKM!D:D)</f>
        <v>0</v>
      </c>
      <c r="D32" s="168">
        <f>SUMIF(HKM!A:A,"022*",HKM!C:C)-SUMIF(HKM!A:A,"022*",HKM!D:D)</f>
        <v>0</v>
      </c>
      <c r="E32" s="168">
        <f>SUMIF(HKM!A:A,"025*",HKM!C:C)-SUMIF(HKM!A:A,"025*",HKM!D:D)</f>
        <v>0</v>
      </c>
      <c r="F32" s="168">
        <f>SUMIF(HKM!A:A,"026*",HKM!C:C)-SUMIF(HKM!A:A,"026*",HKM!D:D)</f>
        <v>0</v>
      </c>
      <c r="G32" s="168">
        <f>SUMIF(HKM!A:A,"029*",HKM!C:C)-SUMIF(HKM!A:A,"029*",HKM!D:D)</f>
        <v>0</v>
      </c>
      <c r="H32" s="168">
        <f>SUMIF(HKM!A:A,"042*",HKM!C:C)-SUMIF(HKM!A:A,"042*",HKM!D:D)</f>
        <v>55750</v>
      </c>
      <c r="I32" s="168">
        <f>SUMIF(HKM!A:A,"052*",HKM!C:C)-SUMIF(HKM!A:A,"052*",HKM!D:D)</f>
        <v>0</v>
      </c>
      <c r="J32" s="186">
        <f>SUM(B32:I32)</f>
        <v>55750</v>
      </c>
      <c r="L32" s="154"/>
    </row>
    <row r="33" spans="1:14" ht="15" customHeight="1" thickBot="1" x14ac:dyDescent="0.3">
      <c r="A33" s="187" t="s">
        <v>18</v>
      </c>
      <c r="B33" s="132"/>
      <c r="C33" s="132"/>
      <c r="D33" s="132"/>
      <c r="E33" s="132"/>
      <c r="F33" s="133"/>
      <c r="G33" s="132"/>
      <c r="H33" s="132"/>
      <c r="I33" s="132"/>
      <c r="J33" s="186">
        <f t="shared" ref="J33:J35" si="5">SUM(B33:I33)</f>
        <v>0</v>
      </c>
    </row>
    <row r="34" spans="1:14" ht="15" customHeight="1" thickBot="1" x14ac:dyDescent="0.3">
      <c r="A34" s="187" t="s">
        <v>19</v>
      </c>
      <c r="B34" s="132"/>
      <c r="C34" s="132"/>
      <c r="D34" s="132"/>
      <c r="E34" s="132"/>
      <c r="F34" s="133"/>
      <c r="G34" s="132"/>
      <c r="H34" s="132"/>
      <c r="I34" s="132"/>
      <c r="J34" s="186">
        <f t="shared" si="5"/>
        <v>0</v>
      </c>
    </row>
    <row r="35" spans="1:14" ht="15" customHeight="1" thickBot="1" x14ac:dyDescent="0.3">
      <c r="A35" s="187" t="s">
        <v>20</v>
      </c>
      <c r="B35" s="132"/>
      <c r="C35" s="132"/>
      <c r="D35" s="132"/>
      <c r="E35" s="132"/>
      <c r="F35" s="133"/>
      <c r="G35" s="132"/>
      <c r="H35" s="132"/>
      <c r="I35" s="132"/>
      <c r="J35" s="186">
        <f t="shared" si="5"/>
        <v>0</v>
      </c>
    </row>
    <row r="36" spans="1:14" ht="15.75" thickBot="1" x14ac:dyDescent="0.3">
      <c r="A36" s="188" t="s">
        <v>21</v>
      </c>
      <c r="B36" s="168">
        <f>SUMIF(HKM!A:A,"031*",HKM!K:K)-SUMIF(HKM!A:A,"031*",HKM!L:L)</f>
        <v>0</v>
      </c>
      <c r="C36" s="168">
        <f>SUMIF(HKM!A:A,"021*",HKM!K:K)-SUMIF(HKM!A:A,"021*",HKM!L:L)</f>
        <v>78952.39</v>
      </c>
      <c r="D36" s="168">
        <f>SUMIF(HKM!A:A,"022*",HKM!K:K)-SUMIF(HKM!A:A,"022*",HKM!L:L)</f>
        <v>282431.02999999997</v>
      </c>
      <c r="E36" s="168">
        <f>SUMIF(HKM!A:A,"025*",HKM!K:K)-SUMIF(HKM!A:A,"025*",HKM!L:L)</f>
        <v>0</v>
      </c>
      <c r="F36" s="168">
        <f>SUMIF(HKM!A:A,"026*",HKM!K:K)-SUMIF(HKM!A:A,"026*",HKM!L:L)</f>
        <v>0</v>
      </c>
      <c r="G36" s="168">
        <f>SUMIF(HKM!A:A,"029*",HKM!K:K)-SUMIF(HKM!A:A,"029*",HKM!L:L)</f>
        <v>0</v>
      </c>
      <c r="H36" s="168">
        <f>SUMIF(HKM!A:A,"042*",HKM!K:K)-SUMIF(HKM!A:A,"042*",HKM!L:L)</f>
        <v>0</v>
      </c>
      <c r="I36" s="168">
        <f>SUMIF(HKM!A:A,"052*",HKM!K:K)-SUMIF(HKM!A:A,"052*",HKM!L:L)</f>
        <v>0</v>
      </c>
      <c r="J36" s="189">
        <f>J32+J33-J34+J35</f>
        <v>55750</v>
      </c>
      <c r="L36" s="154"/>
    </row>
    <row r="37" spans="1:14" ht="15" customHeight="1" thickTop="1" thickBot="1" x14ac:dyDescent="0.3">
      <c r="A37" s="183" t="s">
        <v>22</v>
      </c>
      <c r="B37" s="173"/>
      <c r="C37" s="173"/>
      <c r="D37" s="173"/>
      <c r="E37" s="173"/>
      <c r="F37" s="173"/>
      <c r="G37" s="173"/>
      <c r="H37" s="173"/>
      <c r="I37" s="173"/>
      <c r="J37" s="184"/>
    </row>
    <row r="38" spans="1:14" ht="24" thickTop="1" thickBot="1" x14ac:dyDescent="0.3">
      <c r="A38" s="185" t="s">
        <v>23</v>
      </c>
      <c r="B38" s="132"/>
      <c r="C38" s="168">
        <f>SUMIF(HKM!A:A,"081*",HKM!D:D)-SUMIF(HKM!A:A,"081*",HKM!C:C)</f>
        <v>0</v>
      </c>
      <c r="D38" s="168">
        <f>SUMIF(HKM!A:A,"082*",HKM!D:D)-SUMIF(HKM!A:A,"082*",HKM!C:C)</f>
        <v>0</v>
      </c>
      <c r="E38" s="168">
        <f>SUMIF(HKM!A:A,"085*",HKM!D:D)-SUMIF(HKM!A:A,"085*",HKM!C:C)</f>
        <v>0</v>
      </c>
      <c r="F38" s="168">
        <f>SUMIF(HKM!A:A,"086*",HKM!D:D)-SUMIF(HKM!A:A,"086*",HKM!C:C)</f>
        <v>0</v>
      </c>
      <c r="G38" s="168">
        <f>SUMIF(HKM!A:A,"089*",HKM!D:D)-SUMIF(HKM!A:A,"089*",HKM!C:C)</f>
        <v>0</v>
      </c>
      <c r="H38" s="132"/>
      <c r="I38" s="132"/>
      <c r="J38" s="186">
        <f>SUM(B38:I38)</f>
        <v>0</v>
      </c>
      <c r="L38" s="154"/>
    </row>
    <row r="39" spans="1:14" ht="15" customHeight="1" thickBot="1" x14ac:dyDescent="0.3">
      <c r="A39" s="187" t="s">
        <v>18</v>
      </c>
      <c r="B39" s="132"/>
      <c r="C39" s="132"/>
      <c r="D39" s="132"/>
      <c r="E39" s="132"/>
      <c r="F39" s="132"/>
      <c r="G39" s="132"/>
      <c r="H39" s="132"/>
      <c r="I39" s="132"/>
      <c r="J39" s="186">
        <f t="shared" ref="J39:J40" si="6">SUM(B39:I39)</f>
        <v>0</v>
      </c>
    </row>
    <row r="40" spans="1:14" ht="15" customHeight="1" thickBot="1" x14ac:dyDescent="0.3">
      <c r="A40" s="187" t="s">
        <v>19</v>
      </c>
      <c r="B40" s="132"/>
      <c r="C40" s="132"/>
      <c r="D40" s="132"/>
      <c r="E40" s="132"/>
      <c r="F40" s="132"/>
      <c r="G40" s="132"/>
      <c r="H40" s="132"/>
      <c r="I40" s="132"/>
      <c r="J40" s="186">
        <f t="shared" si="6"/>
        <v>0</v>
      </c>
    </row>
    <row r="41" spans="1:14" ht="15" customHeight="1" thickBot="1" x14ac:dyDescent="0.3">
      <c r="A41" s="266" t="s">
        <v>20</v>
      </c>
      <c r="B41" s="133"/>
      <c r="C41" s="133"/>
      <c r="D41" s="133"/>
      <c r="E41" s="133"/>
      <c r="F41" s="133"/>
      <c r="G41" s="133"/>
      <c r="H41" s="133"/>
      <c r="I41" s="133"/>
      <c r="J41" s="133"/>
    </row>
    <row r="42" spans="1:14" ht="15.75" thickBot="1" x14ac:dyDescent="0.3">
      <c r="A42" s="188" t="s">
        <v>21</v>
      </c>
      <c r="B42" s="135"/>
      <c r="C42" s="168">
        <f>SUMIF(HKM!A:A,"081*",HKM!L:L)-SUMIF(HKM!A:A,"081*",HKM!K:K)</f>
        <v>2724</v>
      </c>
      <c r="D42" s="168">
        <f>SUMIF(HKM!A:A,"082*",HKM!L:L)-SUMIF(HKM!A:A,"082*",HKM!K:K)</f>
        <v>27345</v>
      </c>
      <c r="E42" s="168">
        <f>SUMIF(HKM!A:A,"085*",HKM!L:L)-SUMIF(HKM!A:A,"085*",HKM!K:K)</f>
        <v>0</v>
      </c>
      <c r="F42" s="168">
        <f>SUMIF(HKM!A:A,"086*",HKM!L:L)-SUMIF(HKM!A:A,"086*",HKM!K:K)</f>
        <v>0</v>
      </c>
      <c r="G42" s="168">
        <f>SUMIF(HKM!A:A,"089*",HKM!L:L)-SUMIF(HKM!A:A,"089*",HKM!K:K)</f>
        <v>0</v>
      </c>
      <c r="H42" s="135"/>
      <c r="I42" s="135"/>
      <c r="J42" s="189">
        <f>J38+J39-J40</f>
        <v>0</v>
      </c>
      <c r="L42" s="154"/>
    </row>
    <row r="43" spans="1:14" ht="15" customHeight="1" thickTop="1" thickBot="1" x14ac:dyDescent="0.3">
      <c r="A43" s="183" t="s">
        <v>24</v>
      </c>
      <c r="B43" s="173"/>
      <c r="C43" s="173"/>
      <c r="D43" s="173"/>
      <c r="E43" s="173"/>
      <c r="F43" s="173"/>
      <c r="G43" s="173"/>
      <c r="H43" s="173"/>
      <c r="I43" s="173"/>
      <c r="J43" s="184"/>
    </row>
    <row r="44" spans="1:14" ht="24" thickTop="1" thickBot="1" x14ac:dyDescent="0.3">
      <c r="A44" s="185" t="s">
        <v>23</v>
      </c>
      <c r="B44" s="132"/>
      <c r="C44" s="168"/>
      <c r="D44" s="168"/>
      <c r="E44" s="168"/>
      <c r="F44" s="168"/>
      <c r="G44" s="168"/>
      <c r="H44" s="168">
        <f>SUMIF(HKM!A:A,"094*",HKM!D:D)-SUMIF(HKM!A:A,"094*",HKM!C:C)</f>
        <v>0</v>
      </c>
      <c r="I44" s="168"/>
      <c r="J44" s="186">
        <f>SUM(B44:I44)</f>
        <v>0</v>
      </c>
      <c r="L44" s="154"/>
      <c r="M44" s="167"/>
      <c r="N44" s="161"/>
    </row>
    <row r="45" spans="1:14" ht="15" customHeight="1" thickBot="1" x14ac:dyDescent="0.3">
      <c r="A45" s="187" t="s">
        <v>18</v>
      </c>
      <c r="B45" s="132"/>
      <c r="C45" s="132"/>
      <c r="D45" s="132"/>
      <c r="E45" s="132"/>
      <c r="F45" s="132"/>
      <c r="G45" s="132"/>
      <c r="H45" s="132"/>
      <c r="I45" s="132"/>
      <c r="J45" s="186">
        <f t="shared" ref="J45:J46" si="7">SUM(B45:I45)</f>
        <v>0</v>
      </c>
      <c r="N45" s="161"/>
    </row>
    <row r="46" spans="1:14" ht="15" customHeight="1" thickBot="1" x14ac:dyDescent="0.3">
      <c r="A46" s="187" t="s">
        <v>19</v>
      </c>
      <c r="B46" s="132"/>
      <c r="C46" s="132"/>
      <c r="D46" s="132"/>
      <c r="E46" s="132"/>
      <c r="F46" s="132"/>
      <c r="G46" s="132"/>
      <c r="H46" s="132"/>
      <c r="I46" s="132"/>
      <c r="J46" s="186">
        <f t="shared" si="7"/>
        <v>0</v>
      </c>
      <c r="N46" s="161"/>
    </row>
    <row r="47" spans="1:14" ht="15" customHeight="1" thickBot="1" x14ac:dyDescent="0.3">
      <c r="A47" s="266" t="s">
        <v>20</v>
      </c>
      <c r="B47" s="133"/>
      <c r="C47" s="133"/>
      <c r="D47" s="133"/>
      <c r="E47" s="133"/>
      <c r="F47" s="133"/>
      <c r="G47" s="133"/>
      <c r="H47" s="133"/>
      <c r="I47" s="133"/>
      <c r="J47" s="133"/>
      <c r="N47" s="161"/>
    </row>
    <row r="48" spans="1:14" ht="15.75" thickBot="1" x14ac:dyDescent="0.3">
      <c r="A48" s="188" t="s">
        <v>21</v>
      </c>
      <c r="B48" s="135"/>
      <c r="C48" s="168"/>
      <c r="D48" s="168"/>
      <c r="E48" s="168"/>
      <c r="F48" s="168"/>
      <c r="G48" s="168"/>
      <c r="H48" s="168">
        <f>SUMIF(HKM!A:A,"094*",HKM!L:L)-SUMIF(HKM!A:A,"094*",HKM!K:K)</f>
        <v>0</v>
      </c>
      <c r="I48" s="168">
        <f>SUMIF(SUAM!C:C,"019",SUAM!E:E)</f>
        <v>0</v>
      </c>
      <c r="J48" s="189">
        <f>J44+J45-J46</f>
        <v>0</v>
      </c>
      <c r="L48" s="154"/>
      <c r="N48" s="161"/>
    </row>
    <row r="49" spans="1:10" ht="15" customHeight="1" thickTop="1" thickBot="1" x14ac:dyDescent="0.3">
      <c r="A49" s="183" t="s">
        <v>25</v>
      </c>
      <c r="B49" s="173"/>
      <c r="C49" s="173"/>
      <c r="D49" s="173"/>
      <c r="E49" s="173"/>
      <c r="F49" s="173"/>
      <c r="G49" s="173"/>
      <c r="H49" s="173"/>
      <c r="I49" s="173"/>
      <c r="J49" s="184"/>
    </row>
    <row r="50" spans="1:10" ht="15" customHeight="1" thickTop="1" thickBot="1" x14ac:dyDescent="0.3">
      <c r="A50" s="185" t="s">
        <v>23</v>
      </c>
      <c r="B50" s="132">
        <f>B32-B38-B44</f>
        <v>0</v>
      </c>
      <c r="C50" s="132">
        <f t="shared" ref="C50:J50" si="8">C32-C38-C44</f>
        <v>0</v>
      </c>
      <c r="D50" s="132">
        <f t="shared" si="8"/>
        <v>0</v>
      </c>
      <c r="E50" s="132">
        <f t="shared" si="8"/>
        <v>0</v>
      </c>
      <c r="F50" s="132">
        <f t="shared" si="8"/>
        <v>0</v>
      </c>
      <c r="G50" s="132">
        <f t="shared" si="8"/>
        <v>0</v>
      </c>
      <c r="H50" s="132">
        <f t="shared" si="8"/>
        <v>55750</v>
      </c>
      <c r="I50" s="132">
        <f t="shared" si="8"/>
        <v>0</v>
      </c>
      <c r="J50" s="186">
        <f t="shared" si="8"/>
        <v>55750</v>
      </c>
    </row>
    <row r="51" spans="1:10" ht="15" customHeight="1" thickBot="1" x14ac:dyDescent="0.3">
      <c r="A51" s="188" t="s">
        <v>21</v>
      </c>
      <c r="B51" s="135">
        <f>B36-B42-B48</f>
        <v>0</v>
      </c>
      <c r="C51" s="135">
        <f t="shared" ref="C51:J51" si="9">C36-C42-C48</f>
        <v>76228.39</v>
      </c>
      <c r="D51" s="135">
        <f t="shared" si="9"/>
        <v>255086.02999999997</v>
      </c>
      <c r="E51" s="135">
        <f t="shared" si="9"/>
        <v>0</v>
      </c>
      <c r="F51" s="135">
        <f t="shared" si="9"/>
        <v>0</v>
      </c>
      <c r="G51" s="135">
        <f t="shared" si="9"/>
        <v>0</v>
      </c>
      <c r="H51" s="135">
        <f t="shared" si="9"/>
        <v>0</v>
      </c>
      <c r="I51" s="135">
        <f t="shared" si="9"/>
        <v>0</v>
      </c>
      <c r="J51" s="189">
        <f t="shared" si="9"/>
        <v>55750</v>
      </c>
    </row>
    <row r="52" spans="1:10" ht="15.75" thickTop="1" x14ac:dyDescent="0.25">
      <c r="A52" s="163"/>
      <c r="B52" s="163"/>
      <c r="C52" s="163"/>
      <c r="D52" s="163"/>
      <c r="E52" s="163"/>
      <c r="F52" s="163"/>
      <c r="G52" s="163"/>
      <c r="H52" s="163"/>
      <c r="I52" s="163"/>
      <c r="J52" s="163"/>
    </row>
    <row r="53" spans="1:10" x14ac:dyDescent="0.25">
      <c r="A53" s="163"/>
      <c r="B53" s="163"/>
      <c r="C53" s="163"/>
      <c r="D53" s="163"/>
      <c r="E53" s="163"/>
      <c r="F53" s="163"/>
      <c r="G53" s="163"/>
      <c r="H53" s="163"/>
      <c r="I53" s="163"/>
      <c r="J53" s="163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44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ht="23.25" x14ac:dyDescent="0.25">
      <c r="B2" s="306" t="s">
        <v>1168</v>
      </c>
      <c r="C2" s="143" t="s">
        <v>1169</v>
      </c>
      <c r="D2" s="145">
        <v>716318.92</v>
      </c>
      <c r="E2" s="145">
        <v>692893.37</v>
      </c>
      <c r="F2" s="145">
        <v>716318</v>
      </c>
      <c r="G2" s="145">
        <v>692894</v>
      </c>
    </row>
    <row r="3" spans="1:7" x14ac:dyDescent="0.25">
      <c r="A3" s="144" t="s">
        <v>869</v>
      </c>
      <c r="B3" s="144" t="s">
        <v>1170</v>
      </c>
      <c r="C3" s="143" t="s">
        <v>1171</v>
      </c>
      <c r="D3" s="142">
        <v>-486846.79</v>
      </c>
      <c r="E3" s="142">
        <v>-277812.58</v>
      </c>
      <c r="F3" s="142">
        <v>-486847</v>
      </c>
      <c r="G3" s="142">
        <v>-277812</v>
      </c>
    </row>
    <row r="4" spans="1:7" x14ac:dyDescent="0.25">
      <c r="A4" s="144" t="s">
        <v>1009</v>
      </c>
      <c r="B4" s="144" t="s">
        <v>1172</v>
      </c>
      <c r="C4" s="143" t="s">
        <v>769</v>
      </c>
      <c r="D4" s="145">
        <v>5000</v>
      </c>
      <c r="E4" s="145">
        <v>0</v>
      </c>
      <c r="F4" s="145">
        <v>5000</v>
      </c>
      <c r="G4" s="145">
        <v>0</v>
      </c>
    </row>
    <row r="5" spans="1:7" x14ac:dyDescent="0.25">
      <c r="A5" s="144" t="s">
        <v>1173</v>
      </c>
      <c r="B5" s="144" t="s">
        <v>1174</v>
      </c>
      <c r="C5" s="143" t="s">
        <v>771</v>
      </c>
      <c r="D5" s="145">
        <v>5000</v>
      </c>
      <c r="E5" s="145">
        <v>0</v>
      </c>
      <c r="F5" s="145">
        <v>5000</v>
      </c>
      <c r="G5" s="145">
        <v>0</v>
      </c>
    </row>
    <row r="6" spans="1:7" x14ac:dyDescent="0.25">
      <c r="A6" s="144">
        <v>2</v>
      </c>
      <c r="B6" s="144" t="s">
        <v>1175</v>
      </c>
      <c r="C6" s="143" t="s">
        <v>1176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1177</v>
      </c>
      <c r="C7" s="143" t="s">
        <v>1178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 t="s">
        <v>1027</v>
      </c>
      <c r="B8" s="144" t="s">
        <v>1179</v>
      </c>
      <c r="C8" s="143" t="s">
        <v>1180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1181</v>
      </c>
      <c r="B9" s="144" t="s">
        <v>1182</v>
      </c>
      <c r="C9" s="143" t="s">
        <v>1183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1184</v>
      </c>
      <c r="B10" s="144" t="s">
        <v>1185</v>
      </c>
      <c r="C10" s="143" t="s">
        <v>1186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 t="s">
        <v>1187</v>
      </c>
      <c r="B11" s="144" t="s">
        <v>1188</v>
      </c>
      <c r="C11" s="143" t="s">
        <v>1189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2</v>
      </c>
      <c r="B12" s="144" t="s">
        <v>1190</v>
      </c>
      <c r="C12" s="143" t="s">
        <v>1191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 t="s">
        <v>1192</v>
      </c>
      <c r="B13" s="144" t="s">
        <v>1193</v>
      </c>
      <c r="C13" s="143" t="s">
        <v>1194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 t="s">
        <v>1195</v>
      </c>
      <c r="B14" s="144" t="s">
        <v>1196</v>
      </c>
      <c r="C14" s="143" t="s">
        <v>1197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2</v>
      </c>
      <c r="B15" s="144" t="s">
        <v>1198</v>
      </c>
      <c r="C15" s="143" t="s">
        <v>1199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1200</v>
      </c>
      <c r="B16" s="144" t="s">
        <v>1201</v>
      </c>
      <c r="C16" s="143" t="s">
        <v>1202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1203</v>
      </c>
      <c r="B17" s="144" t="s">
        <v>1204</v>
      </c>
      <c r="C17" s="143" t="s">
        <v>1205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1206</v>
      </c>
      <c r="C18" s="143" t="s">
        <v>1207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1208</v>
      </c>
      <c r="C19" s="143" t="s">
        <v>1209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1210</v>
      </c>
      <c r="B20" s="144" t="s">
        <v>1211</v>
      </c>
      <c r="C20" s="143" t="s">
        <v>1212</v>
      </c>
      <c r="D20" s="145">
        <v>-277812.58</v>
      </c>
      <c r="E20" s="145">
        <v>-3779.46</v>
      </c>
      <c r="F20" s="145">
        <v>-277813</v>
      </c>
      <c r="G20" s="145">
        <v>-3779</v>
      </c>
    </row>
    <row r="21" spans="1:7" x14ac:dyDescent="0.25">
      <c r="A21" s="144" t="s">
        <v>1213</v>
      </c>
      <c r="B21" s="144" t="s">
        <v>1214</v>
      </c>
      <c r="C21" s="143" t="s">
        <v>1215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1216</v>
      </c>
      <c r="C22" s="143" t="s">
        <v>1217</v>
      </c>
      <c r="D22" s="145">
        <v>-277812.58</v>
      </c>
      <c r="E22" s="145">
        <v>-3779.46</v>
      </c>
      <c r="F22" s="145">
        <v>-277813</v>
      </c>
      <c r="G22" s="145">
        <v>-3779</v>
      </c>
    </row>
    <row r="23" spans="1:7" x14ac:dyDescent="0.25">
      <c r="A23" s="144" t="s">
        <v>1218</v>
      </c>
      <c r="B23" s="144" t="s">
        <v>1219</v>
      </c>
      <c r="C23" s="143" t="s">
        <v>1220</v>
      </c>
      <c r="D23" s="145">
        <v>-214034.21</v>
      </c>
      <c r="E23" s="145">
        <v>-274033.12</v>
      </c>
      <c r="F23" s="145">
        <v>-214034</v>
      </c>
      <c r="G23" s="145">
        <v>-274033</v>
      </c>
    </row>
    <row r="24" spans="1:7" x14ac:dyDescent="0.25">
      <c r="A24" s="144" t="s">
        <v>872</v>
      </c>
      <c r="B24" s="144" t="s">
        <v>1221</v>
      </c>
      <c r="C24" s="143" t="s">
        <v>1222</v>
      </c>
      <c r="D24" s="145">
        <v>1233785.03</v>
      </c>
      <c r="E24" s="145">
        <v>966905.95</v>
      </c>
      <c r="F24" s="145">
        <v>1233784</v>
      </c>
      <c r="G24" s="145">
        <v>966906</v>
      </c>
    </row>
    <row r="25" spans="1:7" x14ac:dyDescent="0.25">
      <c r="A25" s="144" t="s">
        <v>1074</v>
      </c>
      <c r="B25" s="144" t="s">
        <v>1223</v>
      </c>
      <c r="C25" s="143" t="s">
        <v>1224</v>
      </c>
      <c r="D25" s="145">
        <v>27210.799999999999</v>
      </c>
      <c r="E25" s="145">
        <v>1053.28</v>
      </c>
      <c r="F25" s="145">
        <v>27211</v>
      </c>
      <c r="G25" s="145">
        <v>1053</v>
      </c>
    </row>
    <row r="26" spans="1:7" x14ac:dyDescent="0.25">
      <c r="A26" s="144" t="s">
        <v>1077</v>
      </c>
      <c r="B26" s="144" t="s">
        <v>1225</v>
      </c>
      <c r="C26" s="143" t="s">
        <v>1226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 t="s">
        <v>1094</v>
      </c>
      <c r="B27" s="144" t="s">
        <v>1227</v>
      </c>
      <c r="C27" s="143" t="s">
        <v>1228</v>
      </c>
      <c r="D27" s="145">
        <v>0</v>
      </c>
      <c r="E27" s="145">
        <v>0</v>
      </c>
      <c r="F27" s="145">
        <v>0</v>
      </c>
      <c r="G27" s="145">
        <v>0</v>
      </c>
    </row>
    <row r="28" spans="1:7" x14ac:dyDescent="0.25">
      <c r="A28" s="144" t="s">
        <v>1097</v>
      </c>
      <c r="B28" s="144" t="s">
        <v>1229</v>
      </c>
      <c r="C28" s="143" t="s">
        <v>1230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 t="s">
        <v>1100</v>
      </c>
      <c r="B29" s="144" t="s">
        <v>1231</v>
      </c>
      <c r="C29" s="143" t="s">
        <v>1232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>
        <v>2</v>
      </c>
      <c r="B30" s="144" t="s">
        <v>1103</v>
      </c>
      <c r="C30" s="143" t="s">
        <v>1233</v>
      </c>
      <c r="D30" s="145">
        <v>0</v>
      </c>
      <c r="E30" s="145">
        <v>0</v>
      </c>
      <c r="F30" s="145">
        <v>0</v>
      </c>
      <c r="G30" s="145">
        <v>0</v>
      </c>
    </row>
    <row r="31" spans="1:7" x14ac:dyDescent="0.25">
      <c r="A31" s="144">
        <v>3</v>
      </c>
      <c r="B31" s="144" t="s">
        <v>1234</v>
      </c>
      <c r="C31" s="143" t="s">
        <v>1235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4</v>
      </c>
      <c r="B32" s="144" t="s">
        <v>1236</v>
      </c>
      <c r="C32" s="143" t="s">
        <v>1237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5</v>
      </c>
      <c r="B33" s="144" t="s">
        <v>1238</v>
      </c>
      <c r="C33" s="143" t="s">
        <v>1239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6</v>
      </c>
      <c r="B34" s="144" t="s">
        <v>1240</v>
      </c>
      <c r="C34" s="143" t="s">
        <v>1241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7</v>
      </c>
      <c r="B35" s="144" t="s">
        <v>1242</v>
      </c>
      <c r="C35" s="143" t="s">
        <v>1243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8</v>
      </c>
      <c r="B36" s="144" t="s">
        <v>1244</v>
      </c>
      <c r="C36" s="143" t="s">
        <v>1245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9</v>
      </c>
      <c r="B37" s="144" t="s">
        <v>1246</v>
      </c>
      <c r="C37" s="143" t="s">
        <v>1247</v>
      </c>
      <c r="D37" s="145">
        <v>2407.7600000000002</v>
      </c>
      <c r="E37" s="145">
        <v>1053.28</v>
      </c>
      <c r="F37" s="145">
        <v>2408</v>
      </c>
      <c r="G37" s="145">
        <v>1053</v>
      </c>
    </row>
    <row r="38" spans="1:7" x14ac:dyDescent="0.25">
      <c r="A38" s="144">
        <v>10</v>
      </c>
      <c r="B38" s="144" t="s">
        <v>1248</v>
      </c>
      <c r="C38" s="143" t="s">
        <v>1249</v>
      </c>
      <c r="D38" s="145">
        <v>24803.040000000001</v>
      </c>
      <c r="E38" s="145">
        <v>0</v>
      </c>
      <c r="F38" s="145">
        <v>24803</v>
      </c>
      <c r="G38" s="145">
        <v>0</v>
      </c>
    </row>
    <row r="39" spans="1:7" x14ac:dyDescent="0.25">
      <c r="A39" s="144">
        <v>11</v>
      </c>
      <c r="B39" s="144" t="s">
        <v>1250</v>
      </c>
      <c r="C39" s="143" t="s">
        <v>1251</v>
      </c>
      <c r="D39" s="145">
        <v>0</v>
      </c>
      <c r="E39" s="145">
        <v>0</v>
      </c>
      <c r="F39" s="145">
        <v>0</v>
      </c>
      <c r="G39" s="145">
        <v>0</v>
      </c>
    </row>
    <row r="40" spans="1:7" x14ac:dyDescent="0.25">
      <c r="A40" s="144">
        <v>12</v>
      </c>
      <c r="B40" s="144" t="s">
        <v>1252</v>
      </c>
      <c r="C40" s="143" t="s">
        <v>1253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 t="s">
        <v>1254</v>
      </c>
      <c r="B41" s="144" t="s">
        <v>1255</v>
      </c>
      <c r="C41" s="143" t="s">
        <v>1256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1257</v>
      </c>
      <c r="B42" s="144" t="s">
        <v>1258</v>
      </c>
      <c r="C42" s="143" t="s">
        <v>1259</v>
      </c>
      <c r="D42" s="145">
        <v>0</v>
      </c>
      <c r="E42" s="145">
        <v>0</v>
      </c>
      <c r="F42" s="145">
        <v>0</v>
      </c>
      <c r="G42" s="145">
        <v>0</v>
      </c>
    </row>
    <row r="43" spans="1:7" x14ac:dyDescent="0.25">
      <c r="A43" s="144">
        <v>2</v>
      </c>
      <c r="B43" s="144" t="s">
        <v>1260</v>
      </c>
      <c r="C43" s="143" t="s">
        <v>1261</v>
      </c>
      <c r="D43" s="145">
        <v>0</v>
      </c>
      <c r="E43" s="145">
        <v>0</v>
      </c>
      <c r="F43" s="145">
        <v>0</v>
      </c>
      <c r="G43" s="145">
        <v>0</v>
      </c>
    </row>
    <row r="44" spans="1:7" x14ac:dyDescent="0.25">
      <c r="A44" s="144" t="s">
        <v>1262</v>
      </c>
      <c r="B44" s="144" t="s">
        <v>1263</v>
      </c>
      <c r="C44" s="143" t="s">
        <v>1264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 t="s">
        <v>1265</v>
      </c>
      <c r="B45" s="144" t="s">
        <v>1266</v>
      </c>
      <c r="C45" s="143" t="s">
        <v>1267</v>
      </c>
      <c r="D45" s="145">
        <v>1197166.73</v>
      </c>
      <c r="E45" s="145">
        <v>952502.3</v>
      </c>
      <c r="F45" s="145">
        <v>1197165</v>
      </c>
      <c r="G45" s="145">
        <v>952503</v>
      </c>
    </row>
    <row r="46" spans="1:7" x14ac:dyDescent="0.25">
      <c r="A46" s="144" t="s">
        <v>1268</v>
      </c>
      <c r="B46" s="144" t="s">
        <v>1269</v>
      </c>
      <c r="C46" s="143" t="s">
        <v>1270</v>
      </c>
      <c r="D46" s="145">
        <v>336614.72</v>
      </c>
      <c r="E46" s="145">
        <v>257932.4</v>
      </c>
      <c r="F46" s="145">
        <v>336613</v>
      </c>
      <c r="G46" s="145">
        <v>257933</v>
      </c>
    </row>
    <row r="47" spans="1:7" x14ac:dyDescent="0.25">
      <c r="A47" s="144" t="s">
        <v>1094</v>
      </c>
      <c r="B47" s="144" t="s">
        <v>1271</v>
      </c>
      <c r="C47" s="143" t="s">
        <v>1272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 t="s">
        <v>1097</v>
      </c>
      <c r="B48" s="144" t="s">
        <v>1273</v>
      </c>
      <c r="C48" s="143" t="s">
        <v>1274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 t="s">
        <v>1100</v>
      </c>
      <c r="B49" s="144" t="s">
        <v>1275</v>
      </c>
      <c r="C49" s="143" t="s">
        <v>1276</v>
      </c>
      <c r="D49" s="145">
        <v>336614.72</v>
      </c>
      <c r="E49" s="145">
        <v>257932.4</v>
      </c>
      <c r="F49" s="145">
        <v>336613</v>
      </c>
      <c r="G49" s="145">
        <v>257933</v>
      </c>
    </row>
    <row r="50" spans="1:7" x14ac:dyDescent="0.25">
      <c r="A50" s="144">
        <v>2</v>
      </c>
      <c r="B50" s="144" t="s">
        <v>1103</v>
      </c>
      <c r="C50" s="143" t="s">
        <v>1277</v>
      </c>
      <c r="D50" s="145">
        <v>0</v>
      </c>
      <c r="E50" s="145">
        <v>0</v>
      </c>
      <c r="F50" s="145">
        <v>0</v>
      </c>
      <c r="G50" s="145">
        <v>0</v>
      </c>
    </row>
    <row r="51" spans="1:7" x14ac:dyDescent="0.25">
      <c r="A51" s="144">
        <v>3</v>
      </c>
      <c r="B51" s="144" t="s">
        <v>1278</v>
      </c>
      <c r="C51" s="143" t="s">
        <v>1279</v>
      </c>
      <c r="D51" s="145">
        <v>0</v>
      </c>
      <c r="E51" s="145">
        <v>0</v>
      </c>
      <c r="F51" s="145">
        <v>0</v>
      </c>
      <c r="G51" s="145">
        <v>0</v>
      </c>
    </row>
    <row r="52" spans="1:7" x14ac:dyDescent="0.25">
      <c r="A52" s="144">
        <v>4</v>
      </c>
      <c r="B52" s="144" t="s">
        <v>1280</v>
      </c>
      <c r="C52" s="143" t="s">
        <v>1281</v>
      </c>
      <c r="D52" s="145">
        <v>0</v>
      </c>
      <c r="E52" s="145">
        <v>0</v>
      </c>
      <c r="F52" s="145">
        <v>0</v>
      </c>
      <c r="G52" s="145">
        <v>0</v>
      </c>
    </row>
    <row r="53" spans="1:7" x14ac:dyDescent="0.25">
      <c r="A53" s="144">
        <v>5</v>
      </c>
      <c r="B53" s="144" t="s">
        <v>1282</v>
      </c>
      <c r="C53" s="143" t="s">
        <v>1283</v>
      </c>
      <c r="D53" s="145">
        <v>10300</v>
      </c>
      <c r="E53" s="145">
        <v>0</v>
      </c>
      <c r="F53" s="145">
        <v>10300</v>
      </c>
      <c r="G53" s="145">
        <v>0</v>
      </c>
    </row>
    <row r="54" spans="1:7" x14ac:dyDescent="0.25">
      <c r="A54" s="144">
        <v>6</v>
      </c>
      <c r="B54" s="144" t="s">
        <v>1284</v>
      </c>
      <c r="C54" s="143" t="s">
        <v>773</v>
      </c>
      <c r="D54" s="145">
        <v>10810.19</v>
      </c>
      <c r="E54" s="145">
        <v>24977.63</v>
      </c>
      <c r="F54" s="145">
        <v>10810</v>
      </c>
      <c r="G54" s="145">
        <v>24978</v>
      </c>
    </row>
    <row r="55" spans="1:7" x14ac:dyDescent="0.25">
      <c r="A55" s="144">
        <v>7</v>
      </c>
      <c r="B55" s="144" t="s">
        <v>1285</v>
      </c>
      <c r="C55" s="143" t="s">
        <v>774</v>
      </c>
      <c r="D55" s="145">
        <v>35872.06</v>
      </c>
      <c r="E55" s="145">
        <v>34751.71</v>
      </c>
      <c r="F55" s="145">
        <v>35872</v>
      </c>
      <c r="G55" s="145">
        <v>34752</v>
      </c>
    </row>
    <row r="56" spans="1:7" x14ac:dyDescent="0.25">
      <c r="A56" s="144">
        <v>8</v>
      </c>
      <c r="B56" s="144" t="s">
        <v>1286</v>
      </c>
      <c r="C56" s="143" t="s">
        <v>1287</v>
      </c>
      <c r="D56" s="145">
        <v>41964.639999999999</v>
      </c>
      <c r="E56" s="145">
        <v>15280.42</v>
      </c>
      <c r="F56" s="145">
        <v>41965</v>
      </c>
      <c r="G56" s="145">
        <v>15280</v>
      </c>
    </row>
    <row r="57" spans="1:7" x14ac:dyDescent="0.25">
      <c r="A57" s="144">
        <v>9</v>
      </c>
      <c r="B57" s="144" t="s">
        <v>1288</v>
      </c>
      <c r="C57" s="143" t="s">
        <v>1289</v>
      </c>
      <c r="D57" s="145">
        <v>0</v>
      </c>
      <c r="E57" s="145">
        <v>0</v>
      </c>
      <c r="F57" s="145">
        <v>0</v>
      </c>
      <c r="G57" s="145">
        <v>0</v>
      </c>
    </row>
    <row r="58" spans="1:7" x14ac:dyDescent="0.25">
      <c r="A58" s="144">
        <v>10</v>
      </c>
      <c r="B58" s="144" t="s">
        <v>1290</v>
      </c>
      <c r="C58" s="143" t="s">
        <v>1291</v>
      </c>
      <c r="D58" s="145">
        <v>761605.12</v>
      </c>
      <c r="E58" s="145">
        <v>619560.14</v>
      </c>
      <c r="F58" s="145">
        <v>761605</v>
      </c>
      <c r="G58" s="145">
        <v>619560</v>
      </c>
    </row>
    <row r="59" spans="1:7" x14ac:dyDescent="0.25">
      <c r="A59" s="144" t="s">
        <v>1150</v>
      </c>
      <c r="B59" s="144" t="s">
        <v>1292</v>
      </c>
      <c r="C59" s="143" t="s">
        <v>1293</v>
      </c>
      <c r="D59" s="145">
        <v>9407.5</v>
      </c>
      <c r="E59" s="145">
        <v>13350.37</v>
      </c>
      <c r="F59" s="145">
        <v>9408</v>
      </c>
      <c r="G59" s="145">
        <v>13350</v>
      </c>
    </row>
    <row r="60" spans="1:7" x14ac:dyDescent="0.25">
      <c r="A60" s="144" t="s">
        <v>1153</v>
      </c>
      <c r="B60" s="144" t="s">
        <v>1294</v>
      </c>
      <c r="C60" s="143" t="s">
        <v>1295</v>
      </c>
      <c r="D60" s="145">
        <v>9407.5</v>
      </c>
      <c r="E60" s="145">
        <v>13350.37</v>
      </c>
      <c r="F60" s="145">
        <v>9408</v>
      </c>
      <c r="G60" s="145">
        <v>13350</v>
      </c>
    </row>
    <row r="61" spans="1:7" x14ac:dyDescent="0.25">
      <c r="A61" s="144">
        <v>2</v>
      </c>
      <c r="B61" s="144" t="s">
        <v>1296</v>
      </c>
      <c r="C61" s="143" t="s">
        <v>1297</v>
      </c>
      <c r="D61" s="145">
        <v>0</v>
      </c>
      <c r="E61" s="145">
        <v>0</v>
      </c>
      <c r="F61" s="145">
        <v>0</v>
      </c>
      <c r="G61" s="145">
        <v>0</v>
      </c>
    </row>
    <row r="62" spans="1:7" x14ac:dyDescent="0.25">
      <c r="A62" s="144" t="s">
        <v>1298</v>
      </c>
      <c r="B62" s="144" t="s">
        <v>1299</v>
      </c>
      <c r="C62" s="143" t="s">
        <v>775</v>
      </c>
      <c r="D62" s="145">
        <v>0</v>
      </c>
      <c r="E62" s="145">
        <v>0</v>
      </c>
      <c r="F62" s="145">
        <v>0</v>
      </c>
      <c r="G62" s="145">
        <v>0</v>
      </c>
    </row>
    <row r="63" spans="1:7" x14ac:dyDescent="0.25">
      <c r="A63" s="144" t="s">
        <v>1300</v>
      </c>
      <c r="B63" s="144" t="s">
        <v>1301</v>
      </c>
      <c r="C63" s="143" t="s">
        <v>1302</v>
      </c>
      <c r="D63" s="145">
        <v>0</v>
      </c>
      <c r="E63" s="145">
        <v>0</v>
      </c>
      <c r="F63" s="145">
        <v>0</v>
      </c>
      <c r="G63" s="145">
        <v>0</v>
      </c>
    </row>
    <row r="64" spans="1:7" x14ac:dyDescent="0.25">
      <c r="A64" s="144" t="s">
        <v>875</v>
      </c>
      <c r="B64" s="144" t="s">
        <v>1303</v>
      </c>
      <c r="C64" s="143" t="s">
        <v>1304</v>
      </c>
      <c r="D64" s="145">
        <v>-30619.32</v>
      </c>
      <c r="E64" s="145">
        <v>3800</v>
      </c>
      <c r="F64" s="145">
        <v>-30619</v>
      </c>
      <c r="G64" s="145">
        <v>3800</v>
      </c>
    </row>
    <row r="65" spans="1:7" x14ac:dyDescent="0.25">
      <c r="A65" s="144" t="s">
        <v>1159</v>
      </c>
      <c r="B65" s="144" t="s">
        <v>1305</v>
      </c>
      <c r="C65" s="143" t="s">
        <v>1306</v>
      </c>
      <c r="D65" s="145">
        <v>0</v>
      </c>
      <c r="E65" s="145">
        <v>0</v>
      </c>
      <c r="F65" s="145">
        <v>0</v>
      </c>
      <c r="G65" s="145">
        <v>0</v>
      </c>
    </row>
    <row r="66" spans="1:7" x14ac:dyDescent="0.25">
      <c r="A66" s="144">
        <v>2</v>
      </c>
      <c r="B66" s="144" t="s">
        <v>1307</v>
      </c>
      <c r="C66" s="143" t="s">
        <v>1308</v>
      </c>
      <c r="D66" s="145">
        <v>-30619.32</v>
      </c>
      <c r="E66" s="145">
        <v>3800</v>
      </c>
      <c r="F66" s="145">
        <v>-30619</v>
      </c>
      <c r="G66" s="145">
        <v>3800</v>
      </c>
    </row>
    <row r="67" spans="1:7" x14ac:dyDescent="0.25">
      <c r="A67" s="144">
        <v>3</v>
      </c>
      <c r="B67" s="144" t="s">
        <v>1309</v>
      </c>
      <c r="C67" s="143" t="s">
        <v>1310</v>
      </c>
      <c r="D67" s="145">
        <v>0</v>
      </c>
      <c r="E67" s="145">
        <v>0</v>
      </c>
      <c r="F67" s="145">
        <v>0</v>
      </c>
      <c r="G67" s="145">
        <v>0</v>
      </c>
    </row>
    <row r="68" spans="1:7" x14ac:dyDescent="0.25">
      <c r="A68" s="144">
        <v>4</v>
      </c>
      <c r="B68" s="144" t="s">
        <v>1311</v>
      </c>
      <c r="C68" s="143" t="s">
        <v>1312</v>
      </c>
      <c r="D68" s="145">
        <v>0</v>
      </c>
      <c r="E68" s="145">
        <v>0</v>
      </c>
      <c r="F68" s="145">
        <v>0</v>
      </c>
      <c r="G68" s="145">
        <v>0</v>
      </c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67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44" bestFit="1" customWidth="1"/>
    <col min="2" max="2" width="63.5703125" style="144" bestFit="1" customWidth="1"/>
    <col min="3" max="3" width="4.42578125" style="143" bestFit="1" customWidth="1"/>
    <col min="4" max="11" width="15.28515625" style="145" bestFit="1" customWidth="1"/>
    <col min="12" max="16384" width="9.140625" style="139"/>
  </cols>
  <sheetData>
    <row r="1" spans="1:11" ht="22.5" x14ac:dyDescent="0.25">
      <c r="A1" s="150" t="s">
        <v>335</v>
      </c>
      <c r="B1" s="150" t="s">
        <v>336</v>
      </c>
      <c r="C1" s="149" t="s">
        <v>356</v>
      </c>
      <c r="D1" s="151" t="s">
        <v>359</v>
      </c>
      <c r="E1" s="151" t="s">
        <v>360</v>
      </c>
      <c r="F1" s="151" t="s">
        <v>361</v>
      </c>
      <c r="G1" s="151" t="s">
        <v>362</v>
      </c>
      <c r="H1" s="151" t="s">
        <v>337</v>
      </c>
      <c r="I1" s="151" t="s">
        <v>338</v>
      </c>
      <c r="J1" s="151" t="s">
        <v>339</v>
      </c>
      <c r="K1" s="151" t="s">
        <v>340</v>
      </c>
    </row>
    <row r="2" spans="1:11" x14ac:dyDescent="0.25">
      <c r="B2" s="144" t="s">
        <v>1313</v>
      </c>
      <c r="C2" s="143" t="s">
        <v>1006</v>
      </c>
      <c r="D2" s="145">
        <v>724672.37</v>
      </c>
      <c r="E2" s="145">
        <v>31779</v>
      </c>
      <c r="F2" s="145">
        <v>692893.37</v>
      </c>
      <c r="G2" s="145">
        <v>0</v>
      </c>
      <c r="H2" s="145">
        <v>724673</v>
      </c>
      <c r="I2" s="145">
        <v>31779</v>
      </c>
      <c r="J2" s="145">
        <v>692894</v>
      </c>
      <c r="K2" s="145">
        <v>0</v>
      </c>
    </row>
    <row r="3" spans="1:11" x14ac:dyDescent="0.25">
      <c r="A3" s="144" t="s">
        <v>869</v>
      </c>
      <c r="B3" s="144" t="s">
        <v>1314</v>
      </c>
      <c r="C3" s="143" t="s">
        <v>1008</v>
      </c>
      <c r="D3" s="142">
        <v>398077.66</v>
      </c>
      <c r="E3" s="142">
        <v>31779</v>
      </c>
      <c r="F3" s="142">
        <v>366298.66</v>
      </c>
      <c r="G3" s="142">
        <v>0</v>
      </c>
      <c r="H3" s="142">
        <v>398077</v>
      </c>
      <c r="I3" s="142">
        <v>31779</v>
      </c>
      <c r="J3" s="142">
        <v>366298</v>
      </c>
      <c r="K3" s="142">
        <v>0</v>
      </c>
    </row>
    <row r="4" spans="1:11" x14ac:dyDescent="0.25">
      <c r="A4" s="144" t="s">
        <v>1009</v>
      </c>
      <c r="B4" s="144" t="s">
        <v>1315</v>
      </c>
      <c r="C4" s="143" t="s">
        <v>1011</v>
      </c>
      <c r="D4" s="145">
        <v>10260</v>
      </c>
      <c r="E4" s="145">
        <v>1710</v>
      </c>
      <c r="F4" s="145">
        <v>8550</v>
      </c>
      <c r="G4" s="145">
        <v>0</v>
      </c>
      <c r="H4" s="145">
        <v>10260</v>
      </c>
      <c r="I4" s="145">
        <v>1710</v>
      </c>
      <c r="J4" s="145">
        <v>8550</v>
      </c>
      <c r="K4" s="145">
        <v>0</v>
      </c>
    </row>
    <row r="5" spans="1:11" x14ac:dyDescent="0.25">
      <c r="A5" s="144" t="s">
        <v>1012</v>
      </c>
      <c r="B5" s="144" t="s">
        <v>1013</v>
      </c>
      <c r="C5" s="143" t="s">
        <v>1014</v>
      </c>
      <c r="D5" s="145">
        <v>0</v>
      </c>
      <c r="E5" s="145">
        <v>0</v>
      </c>
      <c r="F5" s="145">
        <v>0</v>
      </c>
      <c r="G5" s="145">
        <v>0</v>
      </c>
      <c r="H5" s="145">
        <v>0</v>
      </c>
      <c r="I5" s="145">
        <v>0</v>
      </c>
      <c r="J5" s="145">
        <v>0</v>
      </c>
      <c r="K5" s="145">
        <v>0</v>
      </c>
    </row>
    <row r="6" spans="1:11" x14ac:dyDescent="0.25">
      <c r="A6" s="144">
        <v>2</v>
      </c>
      <c r="B6" s="144" t="s">
        <v>1015</v>
      </c>
      <c r="C6" s="143" t="s">
        <v>1016</v>
      </c>
      <c r="D6" s="145">
        <v>10260</v>
      </c>
      <c r="E6" s="145">
        <v>1710</v>
      </c>
      <c r="F6" s="145">
        <v>8550</v>
      </c>
      <c r="G6" s="145">
        <v>0</v>
      </c>
      <c r="H6" s="145">
        <v>10260</v>
      </c>
      <c r="I6" s="145">
        <v>1710</v>
      </c>
      <c r="J6" s="145">
        <v>8550</v>
      </c>
      <c r="K6" s="145">
        <v>0</v>
      </c>
    </row>
    <row r="7" spans="1:11" x14ac:dyDescent="0.25">
      <c r="A7" s="144">
        <v>3</v>
      </c>
      <c r="B7" s="144" t="s">
        <v>1017</v>
      </c>
      <c r="C7" s="143" t="s">
        <v>1018</v>
      </c>
      <c r="D7" s="145">
        <v>0</v>
      </c>
      <c r="E7" s="145">
        <v>0</v>
      </c>
      <c r="F7" s="145">
        <v>0</v>
      </c>
      <c r="G7" s="145">
        <v>0</v>
      </c>
      <c r="H7" s="145">
        <v>0</v>
      </c>
      <c r="I7" s="145">
        <v>0</v>
      </c>
      <c r="J7" s="145">
        <v>0</v>
      </c>
      <c r="K7" s="145">
        <v>0</v>
      </c>
    </row>
    <row r="8" spans="1:11" x14ac:dyDescent="0.25">
      <c r="A8" s="144">
        <v>4</v>
      </c>
      <c r="B8" s="144" t="s">
        <v>1019</v>
      </c>
      <c r="C8" s="143" t="s">
        <v>1020</v>
      </c>
      <c r="D8" s="145">
        <v>0</v>
      </c>
      <c r="E8" s="145">
        <v>0</v>
      </c>
      <c r="F8" s="145">
        <v>0</v>
      </c>
      <c r="G8" s="145">
        <v>0</v>
      </c>
      <c r="H8" s="145">
        <v>0</v>
      </c>
      <c r="I8" s="145">
        <v>0</v>
      </c>
      <c r="J8" s="145">
        <v>0</v>
      </c>
      <c r="K8" s="145">
        <v>0</v>
      </c>
    </row>
    <row r="9" spans="1:11" x14ac:dyDescent="0.25">
      <c r="A9" s="144">
        <v>5</v>
      </c>
      <c r="B9" s="144" t="s">
        <v>1021</v>
      </c>
      <c r="C9" s="143" t="s">
        <v>1022</v>
      </c>
      <c r="D9" s="145">
        <v>0</v>
      </c>
      <c r="E9" s="145">
        <v>0</v>
      </c>
      <c r="F9" s="145">
        <v>0</v>
      </c>
      <c r="G9" s="145">
        <v>0</v>
      </c>
      <c r="H9" s="145">
        <v>0</v>
      </c>
      <c r="I9" s="145">
        <v>0</v>
      </c>
      <c r="J9" s="145">
        <v>0</v>
      </c>
      <c r="K9" s="145">
        <v>0</v>
      </c>
    </row>
    <row r="10" spans="1:11" x14ac:dyDescent="0.25">
      <c r="A10" s="144">
        <v>6</v>
      </c>
      <c r="B10" s="144" t="s">
        <v>1316</v>
      </c>
      <c r="C10" s="143" t="s">
        <v>1024</v>
      </c>
      <c r="D10" s="145">
        <v>0</v>
      </c>
      <c r="E10" s="145">
        <v>0</v>
      </c>
      <c r="F10" s="145">
        <v>0</v>
      </c>
      <c r="G10" s="145">
        <v>0</v>
      </c>
      <c r="H10" s="145">
        <v>0</v>
      </c>
      <c r="I10" s="145">
        <v>0</v>
      </c>
      <c r="J10" s="145">
        <v>0</v>
      </c>
      <c r="K10" s="145">
        <v>0</v>
      </c>
    </row>
    <row r="11" spans="1:11" x14ac:dyDescent="0.25">
      <c r="A11" s="144">
        <v>7</v>
      </c>
      <c r="B11" s="144" t="s">
        <v>1317</v>
      </c>
      <c r="C11" s="143" t="s">
        <v>1026</v>
      </c>
      <c r="D11" s="145">
        <v>0</v>
      </c>
      <c r="E11" s="145">
        <v>0</v>
      </c>
      <c r="F11" s="145">
        <v>0</v>
      </c>
      <c r="G11" s="145">
        <v>0</v>
      </c>
      <c r="H11" s="145">
        <v>0</v>
      </c>
      <c r="I11" s="145">
        <v>0</v>
      </c>
      <c r="J11" s="145">
        <v>0</v>
      </c>
      <c r="K11" s="145">
        <v>0</v>
      </c>
    </row>
    <row r="12" spans="1:11" x14ac:dyDescent="0.25">
      <c r="A12" s="144" t="s">
        <v>1027</v>
      </c>
      <c r="B12" s="144" t="s">
        <v>1318</v>
      </c>
      <c r="C12" s="143" t="s">
        <v>1029</v>
      </c>
      <c r="D12" s="145">
        <v>361383.42</v>
      </c>
      <c r="E12" s="145">
        <v>30069</v>
      </c>
      <c r="F12" s="145">
        <v>331314.42</v>
      </c>
      <c r="G12" s="145">
        <v>0</v>
      </c>
      <c r="H12" s="145">
        <v>361383</v>
      </c>
      <c r="I12" s="145">
        <v>30069</v>
      </c>
      <c r="J12" s="145">
        <v>331314</v>
      </c>
      <c r="K12" s="145">
        <v>0</v>
      </c>
    </row>
    <row r="13" spans="1:11" x14ac:dyDescent="0.25">
      <c r="A13" s="144" t="s">
        <v>1030</v>
      </c>
      <c r="B13" s="144" t="s">
        <v>1319</v>
      </c>
      <c r="C13" s="143" t="s">
        <v>1032</v>
      </c>
      <c r="D13" s="145">
        <v>0</v>
      </c>
      <c r="E13" s="145">
        <v>0</v>
      </c>
      <c r="F13" s="145">
        <v>0</v>
      </c>
      <c r="G13" s="145">
        <v>0</v>
      </c>
      <c r="H13" s="145">
        <v>0</v>
      </c>
      <c r="I13" s="145">
        <v>0</v>
      </c>
      <c r="J13" s="145">
        <v>0</v>
      </c>
      <c r="K13" s="145">
        <v>0</v>
      </c>
    </row>
    <row r="14" spans="1:11" x14ac:dyDescent="0.25">
      <c r="A14" s="144">
        <v>2</v>
      </c>
      <c r="B14" s="144" t="s">
        <v>1033</v>
      </c>
      <c r="C14" s="143" t="s">
        <v>758</v>
      </c>
      <c r="D14" s="145">
        <v>78952.39</v>
      </c>
      <c r="E14" s="145">
        <v>2724</v>
      </c>
      <c r="F14" s="145">
        <v>76228.39</v>
      </c>
      <c r="G14" s="145">
        <v>0</v>
      </c>
      <c r="H14" s="145">
        <v>78952</v>
      </c>
      <c r="I14" s="145">
        <v>2724</v>
      </c>
      <c r="J14" s="145">
        <v>76228</v>
      </c>
      <c r="K14" s="145">
        <v>0</v>
      </c>
    </row>
    <row r="15" spans="1:11" x14ac:dyDescent="0.25">
      <c r="A15" s="144">
        <v>3</v>
      </c>
      <c r="B15" s="144" t="s">
        <v>1034</v>
      </c>
      <c r="C15" s="143" t="s">
        <v>1035</v>
      </c>
      <c r="D15" s="145">
        <v>282431.03000000003</v>
      </c>
      <c r="E15" s="145">
        <v>27345</v>
      </c>
      <c r="F15" s="145">
        <v>255086.03</v>
      </c>
      <c r="G15" s="145">
        <v>0</v>
      </c>
      <c r="H15" s="145">
        <v>282431</v>
      </c>
      <c r="I15" s="145">
        <v>27345</v>
      </c>
      <c r="J15" s="145">
        <v>255086</v>
      </c>
      <c r="K15" s="145">
        <v>0</v>
      </c>
    </row>
    <row r="16" spans="1:11" x14ac:dyDescent="0.25">
      <c r="A16" s="144">
        <v>4</v>
      </c>
      <c r="B16" s="144" t="s">
        <v>1036</v>
      </c>
      <c r="C16" s="143" t="s">
        <v>1037</v>
      </c>
      <c r="D16" s="145">
        <v>0</v>
      </c>
      <c r="E16" s="145">
        <v>0</v>
      </c>
      <c r="F16" s="145">
        <v>0</v>
      </c>
      <c r="G16" s="145">
        <v>0</v>
      </c>
      <c r="H16" s="145">
        <v>0</v>
      </c>
      <c r="I16" s="145">
        <v>0</v>
      </c>
      <c r="J16" s="145">
        <v>0</v>
      </c>
      <c r="K16" s="145">
        <v>0</v>
      </c>
    </row>
    <row r="17" spans="1:11" x14ac:dyDescent="0.25">
      <c r="A17" s="144">
        <v>5</v>
      </c>
      <c r="B17" s="144" t="s">
        <v>1038</v>
      </c>
      <c r="C17" s="143" t="s">
        <v>1039</v>
      </c>
      <c r="D17" s="145">
        <v>0</v>
      </c>
      <c r="E17" s="145">
        <v>0</v>
      </c>
      <c r="F17" s="145">
        <v>0</v>
      </c>
      <c r="G17" s="145">
        <v>0</v>
      </c>
      <c r="H17" s="145">
        <v>0</v>
      </c>
      <c r="I17" s="145">
        <v>0</v>
      </c>
      <c r="J17" s="145">
        <v>0</v>
      </c>
      <c r="K17" s="145">
        <v>0</v>
      </c>
    </row>
    <row r="18" spans="1:11" x14ac:dyDescent="0.25">
      <c r="A18" s="144">
        <v>6</v>
      </c>
      <c r="B18" s="144" t="s">
        <v>1040</v>
      </c>
      <c r="C18" s="143" t="s">
        <v>1041</v>
      </c>
      <c r="D18" s="145">
        <v>0</v>
      </c>
      <c r="E18" s="145">
        <v>0</v>
      </c>
      <c r="F18" s="145">
        <v>0</v>
      </c>
      <c r="G18" s="145">
        <v>0</v>
      </c>
      <c r="H18" s="145">
        <v>0</v>
      </c>
      <c r="I18" s="145">
        <v>0</v>
      </c>
      <c r="J18" s="145">
        <v>0</v>
      </c>
      <c r="K18" s="145">
        <v>0</v>
      </c>
    </row>
    <row r="19" spans="1:11" x14ac:dyDescent="0.25">
      <c r="A19" s="144">
        <v>7</v>
      </c>
      <c r="B19" s="144" t="s">
        <v>1320</v>
      </c>
      <c r="C19" s="143" t="s">
        <v>1043</v>
      </c>
      <c r="D19" s="145">
        <v>0</v>
      </c>
      <c r="E19" s="145">
        <v>0</v>
      </c>
      <c r="F19" s="145">
        <v>0</v>
      </c>
      <c r="G19" s="145">
        <v>0</v>
      </c>
      <c r="H19" s="145">
        <v>0</v>
      </c>
      <c r="I19" s="145">
        <v>0</v>
      </c>
      <c r="J19" s="145">
        <v>0</v>
      </c>
      <c r="K19" s="145">
        <v>0</v>
      </c>
    </row>
    <row r="20" spans="1:11" x14ac:dyDescent="0.25">
      <c r="A20" s="144">
        <v>8</v>
      </c>
      <c r="B20" s="144" t="s">
        <v>1321</v>
      </c>
      <c r="C20" s="143" t="s">
        <v>1045</v>
      </c>
      <c r="D20" s="145">
        <v>0</v>
      </c>
      <c r="E20" s="145">
        <v>0</v>
      </c>
      <c r="F20" s="145">
        <v>0</v>
      </c>
      <c r="G20" s="145">
        <v>0</v>
      </c>
      <c r="H20" s="145">
        <v>0</v>
      </c>
      <c r="I20" s="145">
        <v>0</v>
      </c>
      <c r="J20" s="145">
        <v>0</v>
      </c>
      <c r="K20" s="145">
        <v>0</v>
      </c>
    </row>
    <row r="21" spans="1:11" x14ac:dyDescent="0.25">
      <c r="A21" s="144">
        <v>9</v>
      </c>
      <c r="B21" s="144" t="s">
        <v>1046</v>
      </c>
      <c r="C21" s="143" t="s">
        <v>1047</v>
      </c>
      <c r="D21" s="145">
        <v>0</v>
      </c>
      <c r="E21" s="145">
        <v>0</v>
      </c>
      <c r="F21" s="145">
        <v>0</v>
      </c>
      <c r="G21" s="145">
        <v>0</v>
      </c>
      <c r="H21" s="145">
        <v>0</v>
      </c>
      <c r="I21" s="145">
        <v>0</v>
      </c>
      <c r="J21" s="145">
        <v>0</v>
      </c>
      <c r="K21" s="145">
        <v>0</v>
      </c>
    </row>
    <row r="22" spans="1:11" x14ac:dyDescent="0.25">
      <c r="A22" s="144" t="s">
        <v>1048</v>
      </c>
      <c r="B22" s="144" t="s">
        <v>1322</v>
      </c>
      <c r="C22" s="143" t="s">
        <v>760</v>
      </c>
      <c r="D22" s="145">
        <v>26434.240000000002</v>
      </c>
      <c r="E22" s="145">
        <v>0</v>
      </c>
      <c r="F22" s="145">
        <v>26434.240000000002</v>
      </c>
      <c r="G22" s="145">
        <v>0</v>
      </c>
      <c r="H22" s="145">
        <v>26434</v>
      </c>
      <c r="I22" s="145">
        <v>0</v>
      </c>
      <c r="J22" s="145">
        <v>26434</v>
      </c>
      <c r="K22" s="145">
        <v>0</v>
      </c>
    </row>
    <row r="23" spans="1:11" x14ac:dyDescent="0.25">
      <c r="A23" s="144" t="s">
        <v>1050</v>
      </c>
      <c r="B23" s="144" t="s">
        <v>1323</v>
      </c>
      <c r="C23" s="143" t="s">
        <v>761</v>
      </c>
      <c r="D23" s="145">
        <v>0</v>
      </c>
      <c r="E23" s="145">
        <v>0</v>
      </c>
      <c r="F23" s="145">
        <v>0</v>
      </c>
      <c r="G23" s="145">
        <v>0</v>
      </c>
      <c r="H23" s="145">
        <v>0</v>
      </c>
      <c r="I23" s="145">
        <v>0</v>
      </c>
      <c r="J23" s="145">
        <v>0</v>
      </c>
      <c r="K23" s="145">
        <v>0</v>
      </c>
    </row>
    <row r="24" spans="1:11" x14ac:dyDescent="0.25">
      <c r="A24" s="144">
        <v>2</v>
      </c>
      <c r="B24" s="144" t="s">
        <v>1324</v>
      </c>
      <c r="C24" s="143" t="s">
        <v>1053</v>
      </c>
      <c r="D24" s="145">
        <v>0</v>
      </c>
      <c r="E24" s="145">
        <v>0</v>
      </c>
      <c r="F24" s="145">
        <v>0</v>
      </c>
      <c r="G24" s="145">
        <v>0</v>
      </c>
      <c r="H24" s="145">
        <v>0</v>
      </c>
      <c r="I24" s="145">
        <v>0</v>
      </c>
      <c r="J24" s="145">
        <v>0</v>
      </c>
      <c r="K24" s="145">
        <v>0</v>
      </c>
    </row>
    <row r="25" spans="1:11" x14ac:dyDescent="0.25">
      <c r="A25" s="144">
        <v>3</v>
      </c>
      <c r="B25" s="144" t="s">
        <v>1325</v>
      </c>
      <c r="C25" s="143" t="s">
        <v>1055</v>
      </c>
      <c r="D25" s="145">
        <v>0</v>
      </c>
      <c r="E25" s="145">
        <v>0</v>
      </c>
      <c r="F25" s="145">
        <v>0</v>
      </c>
      <c r="G25" s="145">
        <v>0</v>
      </c>
      <c r="H25" s="145">
        <v>0</v>
      </c>
      <c r="I25" s="145">
        <v>0</v>
      </c>
      <c r="J25" s="145">
        <v>0</v>
      </c>
      <c r="K25" s="145">
        <v>0</v>
      </c>
    </row>
    <row r="26" spans="1:11" x14ac:dyDescent="0.25">
      <c r="A26" s="144">
        <v>4</v>
      </c>
      <c r="B26" s="144" t="s">
        <v>1326</v>
      </c>
      <c r="C26" s="143" t="s">
        <v>1057</v>
      </c>
      <c r="D26" s="145">
        <v>0</v>
      </c>
      <c r="E26" s="145">
        <v>0</v>
      </c>
      <c r="F26" s="145">
        <v>0</v>
      </c>
      <c r="G26" s="145">
        <v>0</v>
      </c>
      <c r="H26" s="145">
        <v>0</v>
      </c>
      <c r="I26" s="145">
        <v>0</v>
      </c>
      <c r="J26" s="145">
        <v>0</v>
      </c>
      <c r="K26" s="145">
        <v>0</v>
      </c>
    </row>
    <row r="27" spans="1:11" x14ac:dyDescent="0.25">
      <c r="A27" s="144">
        <v>5</v>
      </c>
      <c r="B27" s="144" t="s">
        <v>1327</v>
      </c>
      <c r="C27" s="143" t="s">
        <v>1059</v>
      </c>
      <c r="D27" s="145">
        <v>26434.240000000002</v>
      </c>
      <c r="E27" s="145">
        <v>0</v>
      </c>
      <c r="F27" s="145">
        <v>26434.240000000002</v>
      </c>
      <c r="G27" s="145">
        <v>0</v>
      </c>
      <c r="H27" s="145">
        <v>26434</v>
      </c>
      <c r="I27" s="145">
        <v>0</v>
      </c>
      <c r="J27" s="145">
        <v>26434</v>
      </c>
      <c r="K27" s="145">
        <v>0</v>
      </c>
    </row>
    <row r="28" spans="1:11" x14ac:dyDescent="0.25">
      <c r="A28" s="144">
        <v>6</v>
      </c>
      <c r="B28" s="144" t="s">
        <v>1328</v>
      </c>
      <c r="C28" s="143" t="s">
        <v>1061</v>
      </c>
      <c r="D28" s="145">
        <v>0</v>
      </c>
      <c r="E28" s="145">
        <v>0</v>
      </c>
      <c r="F28" s="145">
        <v>0</v>
      </c>
      <c r="G28" s="145">
        <v>0</v>
      </c>
      <c r="H28" s="145">
        <v>0</v>
      </c>
      <c r="I28" s="145">
        <v>0</v>
      </c>
      <c r="J28" s="145">
        <v>0</v>
      </c>
      <c r="K28" s="145">
        <v>0</v>
      </c>
    </row>
    <row r="29" spans="1:11" x14ac:dyDescent="0.25">
      <c r="A29" s="144">
        <v>7</v>
      </c>
      <c r="B29" s="144" t="s">
        <v>1329</v>
      </c>
      <c r="C29" s="143" t="s">
        <v>1063</v>
      </c>
      <c r="D29" s="145">
        <v>0</v>
      </c>
      <c r="E29" s="145">
        <v>0</v>
      </c>
      <c r="F29" s="145">
        <v>0</v>
      </c>
      <c r="G29" s="145">
        <v>0</v>
      </c>
      <c r="H29" s="145">
        <v>0</v>
      </c>
      <c r="I29" s="145">
        <v>0</v>
      </c>
      <c r="J29" s="145">
        <v>0</v>
      </c>
      <c r="K29" s="145">
        <v>0</v>
      </c>
    </row>
    <row r="30" spans="1:11" x14ac:dyDescent="0.25">
      <c r="A30" s="144">
        <v>8</v>
      </c>
      <c r="B30" s="144" t="s">
        <v>1330</v>
      </c>
      <c r="C30" s="143" t="s">
        <v>1065</v>
      </c>
      <c r="D30" s="145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</row>
    <row r="31" spans="1:11" x14ac:dyDescent="0.25">
      <c r="A31" s="144" t="s">
        <v>872</v>
      </c>
      <c r="B31" s="144" t="s">
        <v>1331</v>
      </c>
      <c r="C31" s="143" t="s">
        <v>1067</v>
      </c>
      <c r="D31" s="145">
        <v>320181.28999999998</v>
      </c>
      <c r="E31" s="145">
        <v>0</v>
      </c>
      <c r="F31" s="145">
        <v>320181.28999999998</v>
      </c>
      <c r="G31" s="145">
        <v>0</v>
      </c>
      <c r="H31" s="145">
        <v>320182</v>
      </c>
      <c r="I31" s="145">
        <v>0</v>
      </c>
      <c r="J31" s="145">
        <v>320182</v>
      </c>
      <c r="K31" s="145">
        <v>0</v>
      </c>
    </row>
    <row r="32" spans="1:11" x14ac:dyDescent="0.25">
      <c r="A32" s="144" t="s">
        <v>1074</v>
      </c>
      <c r="B32" s="144" t="s">
        <v>1332</v>
      </c>
      <c r="C32" s="143" t="s">
        <v>1069</v>
      </c>
      <c r="D32" s="145">
        <v>82038.570000000007</v>
      </c>
      <c r="E32" s="145">
        <v>0</v>
      </c>
      <c r="F32" s="145">
        <v>82038.570000000007</v>
      </c>
      <c r="G32" s="145">
        <v>0</v>
      </c>
      <c r="H32" s="145">
        <v>82039</v>
      </c>
      <c r="I32" s="145">
        <v>0</v>
      </c>
      <c r="J32" s="145">
        <v>82039</v>
      </c>
      <c r="K32" s="145">
        <v>0</v>
      </c>
    </row>
    <row r="33" spans="1:11" x14ac:dyDescent="0.25">
      <c r="A33" s="144" t="s">
        <v>1077</v>
      </c>
      <c r="B33" s="144" t="s">
        <v>1078</v>
      </c>
      <c r="C33" s="143" t="s">
        <v>1071</v>
      </c>
      <c r="D33" s="145">
        <v>0</v>
      </c>
      <c r="E33" s="145">
        <v>0</v>
      </c>
      <c r="F33" s="145">
        <v>0</v>
      </c>
      <c r="G33" s="145">
        <v>0</v>
      </c>
      <c r="H33" s="145">
        <v>0</v>
      </c>
      <c r="I33" s="145">
        <v>0</v>
      </c>
      <c r="J33" s="145">
        <v>0</v>
      </c>
      <c r="K33" s="145">
        <v>0</v>
      </c>
    </row>
    <row r="34" spans="1:11" x14ac:dyDescent="0.25">
      <c r="A34" s="144">
        <v>2</v>
      </c>
      <c r="B34" s="144" t="s">
        <v>1333</v>
      </c>
      <c r="C34" s="143" t="s">
        <v>1073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</row>
    <row r="35" spans="1:11" x14ac:dyDescent="0.25">
      <c r="A35" s="144">
        <v>3</v>
      </c>
      <c r="B35" s="144" t="s">
        <v>1334</v>
      </c>
      <c r="C35" s="143" t="s">
        <v>1076</v>
      </c>
      <c r="D35" s="145">
        <v>0</v>
      </c>
      <c r="E35" s="145">
        <v>0</v>
      </c>
      <c r="F35" s="145">
        <v>0</v>
      </c>
      <c r="G35" s="145">
        <v>0</v>
      </c>
      <c r="H35" s="145">
        <v>0</v>
      </c>
      <c r="I35" s="145">
        <v>0</v>
      </c>
      <c r="J35" s="145">
        <v>0</v>
      </c>
      <c r="K35" s="145">
        <v>0</v>
      </c>
    </row>
    <row r="36" spans="1:11" x14ac:dyDescent="0.25">
      <c r="A36" s="144">
        <v>4</v>
      </c>
      <c r="B36" s="144" t="s">
        <v>1335</v>
      </c>
      <c r="C36" s="143" t="s">
        <v>1079</v>
      </c>
      <c r="D36" s="145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</row>
    <row r="37" spans="1:11" x14ac:dyDescent="0.25">
      <c r="A37" s="144">
        <v>5</v>
      </c>
      <c r="B37" s="144" t="s">
        <v>1336</v>
      </c>
      <c r="C37" s="143" t="s">
        <v>1081</v>
      </c>
      <c r="D37" s="145">
        <v>82038.570000000007</v>
      </c>
      <c r="E37" s="145">
        <v>0</v>
      </c>
      <c r="F37" s="145">
        <v>82038.570000000007</v>
      </c>
      <c r="G37" s="145">
        <v>0</v>
      </c>
      <c r="H37" s="145">
        <v>82039</v>
      </c>
      <c r="I37" s="145">
        <v>0</v>
      </c>
      <c r="J37" s="145">
        <v>82039</v>
      </c>
      <c r="K37" s="145">
        <v>0</v>
      </c>
    </row>
    <row r="38" spans="1:11" x14ac:dyDescent="0.25">
      <c r="A38" s="144">
        <v>6</v>
      </c>
      <c r="B38" s="144" t="s">
        <v>1337</v>
      </c>
      <c r="C38" s="143" t="s">
        <v>1083</v>
      </c>
      <c r="D38" s="145">
        <v>0</v>
      </c>
      <c r="E38" s="145">
        <v>0</v>
      </c>
      <c r="F38" s="145">
        <v>0</v>
      </c>
      <c r="G38" s="145">
        <v>0</v>
      </c>
      <c r="H38" s="145">
        <v>0</v>
      </c>
      <c r="I38" s="145">
        <v>0</v>
      </c>
      <c r="J38" s="145">
        <v>0</v>
      </c>
      <c r="K38" s="145">
        <v>0</v>
      </c>
    </row>
    <row r="39" spans="1:11" x14ac:dyDescent="0.25">
      <c r="A39" s="144" t="s">
        <v>1090</v>
      </c>
      <c r="B39" s="144" t="s">
        <v>1338</v>
      </c>
      <c r="C39" s="143" t="s">
        <v>1085</v>
      </c>
      <c r="D39" s="145">
        <v>0</v>
      </c>
      <c r="E39" s="145">
        <v>0</v>
      </c>
      <c r="F39" s="145">
        <v>0</v>
      </c>
      <c r="G39" s="145">
        <v>0</v>
      </c>
      <c r="H39" s="145">
        <v>0</v>
      </c>
      <c r="I39" s="145">
        <v>0</v>
      </c>
      <c r="J39" s="145">
        <v>0</v>
      </c>
      <c r="K39" s="145">
        <v>0</v>
      </c>
    </row>
    <row r="40" spans="1:11" x14ac:dyDescent="0.25">
      <c r="A40" s="144" t="s">
        <v>1092</v>
      </c>
      <c r="B40" s="144" t="s">
        <v>1339</v>
      </c>
      <c r="C40" s="143" t="s">
        <v>1087</v>
      </c>
      <c r="D40" s="145">
        <v>0</v>
      </c>
      <c r="E40" s="145">
        <v>0</v>
      </c>
      <c r="F40" s="145">
        <v>0</v>
      </c>
      <c r="G40" s="145">
        <v>0</v>
      </c>
      <c r="H40" s="145">
        <v>0</v>
      </c>
      <c r="I40" s="145">
        <v>0</v>
      </c>
      <c r="J40" s="145">
        <v>0</v>
      </c>
      <c r="K40" s="145">
        <v>0</v>
      </c>
    </row>
    <row r="41" spans="1:11" x14ac:dyDescent="0.25">
      <c r="A41" s="144">
        <v>2</v>
      </c>
      <c r="B41" s="144" t="s">
        <v>1103</v>
      </c>
      <c r="C41" s="143" t="s">
        <v>1089</v>
      </c>
      <c r="D41" s="145">
        <v>0</v>
      </c>
      <c r="E41" s="145">
        <v>0</v>
      </c>
      <c r="F41" s="145">
        <v>0</v>
      </c>
      <c r="G41" s="145">
        <v>0</v>
      </c>
      <c r="H41" s="145">
        <v>0</v>
      </c>
      <c r="I41" s="145">
        <v>0</v>
      </c>
      <c r="J41" s="145">
        <v>0</v>
      </c>
      <c r="K41" s="145">
        <v>0</v>
      </c>
    </row>
    <row r="42" spans="1:11" x14ac:dyDescent="0.25">
      <c r="A42" s="144">
        <v>3</v>
      </c>
      <c r="B42" s="144" t="s">
        <v>1340</v>
      </c>
      <c r="C42" s="143" t="s">
        <v>763</v>
      </c>
      <c r="D42" s="145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</row>
    <row r="43" spans="1:11" x14ac:dyDescent="0.25">
      <c r="A43" s="144">
        <v>4</v>
      </c>
      <c r="B43" s="144" t="s">
        <v>1341</v>
      </c>
      <c r="C43" s="143" t="s">
        <v>764</v>
      </c>
      <c r="D43" s="145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45">
        <v>0</v>
      </c>
    </row>
    <row r="44" spans="1:11" x14ac:dyDescent="0.25">
      <c r="A44" s="144">
        <v>5</v>
      </c>
      <c r="B44" s="144" t="s">
        <v>1342</v>
      </c>
      <c r="C44" s="143" t="s">
        <v>1096</v>
      </c>
      <c r="D44" s="145">
        <v>0</v>
      </c>
      <c r="E44" s="145">
        <v>0</v>
      </c>
      <c r="F44" s="145">
        <v>0</v>
      </c>
      <c r="G44" s="145">
        <v>0</v>
      </c>
      <c r="H44" s="145">
        <v>0</v>
      </c>
      <c r="I44" s="145">
        <v>0</v>
      </c>
      <c r="J44" s="145">
        <v>0</v>
      </c>
      <c r="K44" s="145">
        <v>0</v>
      </c>
    </row>
    <row r="45" spans="1:11" x14ac:dyDescent="0.25">
      <c r="A45" s="144">
        <v>6</v>
      </c>
      <c r="B45" s="144" t="s">
        <v>1343</v>
      </c>
      <c r="C45" s="143" t="s">
        <v>1099</v>
      </c>
      <c r="D45" s="145">
        <v>0</v>
      </c>
      <c r="E45" s="145">
        <v>0</v>
      </c>
      <c r="F45" s="145">
        <v>0</v>
      </c>
      <c r="G45" s="145">
        <v>0</v>
      </c>
      <c r="H45" s="145">
        <v>0</v>
      </c>
      <c r="I45" s="145">
        <v>0</v>
      </c>
      <c r="J45" s="145">
        <v>0</v>
      </c>
      <c r="K45" s="145">
        <v>0</v>
      </c>
    </row>
    <row r="46" spans="1:11" x14ac:dyDescent="0.25">
      <c r="A46" s="144">
        <v>7</v>
      </c>
      <c r="B46" s="144" t="s">
        <v>1115</v>
      </c>
      <c r="C46" s="143" t="s">
        <v>1102</v>
      </c>
      <c r="D46" s="145">
        <v>0</v>
      </c>
      <c r="E46" s="145">
        <v>0</v>
      </c>
      <c r="F46" s="145">
        <v>0</v>
      </c>
      <c r="G46" s="145">
        <v>0</v>
      </c>
      <c r="H46" s="145">
        <v>0</v>
      </c>
      <c r="I46" s="145">
        <v>0</v>
      </c>
      <c r="J46" s="145">
        <v>0</v>
      </c>
      <c r="K46" s="145">
        <v>0</v>
      </c>
    </row>
    <row r="47" spans="1:11" x14ac:dyDescent="0.25">
      <c r="A47" s="144" t="s">
        <v>1117</v>
      </c>
      <c r="B47" s="144" t="s">
        <v>1344</v>
      </c>
      <c r="C47" s="143" t="s">
        <v>1104</v>
      </c>
      <c r="D47" s="145">
        <v>190929.64</v>
      </c>
      <c r="E47" s="145">
        <v>0</v>
      </c>
      <c r="F47" s="145">
        <v>190929.64</v>
      </c>
      <c r="G47" s="145">
        <v>0</v>
      </c>
      <c r="H47" s="145">
        <v>190930</v>
      </c>
      <c r="I47" s="145">
        <v>0</v>
      </c>
      <c r="J47" s="145">
        <v>190930</v>
      </c>
      <c r="K47" s="145">
        <v>0</v>
      </c>
    </row>
    <row r="48" spans="1:11" x14ac:dyDescent="0.25">
      <c r="A48" s="144" t="s">
        <v>1120</v>
      </c>
      <c r="B48" s="144" t="s">
        <v>1339</v>
      </c>
      <c r="C48" s="143" t="s">
        <v>1106</v>
      </c>
      <c r="D48" s="145">
        <v>190929.64</v>
      </c>
      <c r="E48" s="145">
        <v>0</v>
      </c>
      <c r="F48" s="145">
        <v>190929.64</v>
      </c>
      <c r="G48" s="145">
        <v>0</v>
      </c>
      <c r="H48" s="145">
        <v>190930</v>
      </c>
      <c r="I48" s="145">
        <v>0</v>
      </c>
      <c r="J48" s="145">
        <v>190930</v>
      </c>
      <c r="K48" s="145">
        <v>0</v>
      </c>
    </row>
    <row r="49" spans="1:11" x14ac:dyDescent="0.25">
      <c r="A49" s="144">
        <v>2</v>
      </c>
      <c r="B49" s="144" t="s">
        <v>1103</v>
      </c>
      <c r="C49" s="143" t="s">
        <v>1108</v>
      </c>
      <c r="D49" s="145">
        <v>0</v>
      </c>
      <c r="E49" s="145">
        <v>0</v>
      </c>
      <c r="F49" s="145">
        <v>0</v>
      </c>
      <c r="G49" s="145">
        <v>0</v>
      </c>
      <c r="H49" s="145">
        <v>0</v>
      </c>
      <c r="I49" s="145">
        <v>0</v>
      </c>
      <c r="J49" s="145">
        <v>0</v>
      </c>
      <c r="K49" s="145">
        <v>0</v>
      </c>
    </row>
    <row r="50" spans="1:11" x14ac:dyDescent="0.25">
      <c r="A50" s="144">
        <v>3</v>
      </c>
      <c r="B50" s="144" t="s">
        <v>1340</v>
      </c>
      <c r="C50" s="143" t="s">
        <v>1110</v>
      </c>
      <c r="D50" s="145">
        <v>0</v>
      </c>
      <c r="E50" s="145">
        <v>0</v>
      </c>
      <c r="F50" s="145">
        <v>0</v>
      </c>
      <c r="G50" s="145">
        <v>0</v>
      </c>
      <c r="H50" s="145">
        <v>0</v>
      </c>
      <c r="I50" s="145">
        <v>0</v>
      </c>
      <c r="J50" s="145">
        <v>0</v>
      </c>
      <c r="K50" s="145">
        <v>0</v>
      </c>
    </row>
    <row r="51" spans="1:11" x14ac:dyDescent="0.25">
      <c r="A51" s="144">
        <v>4</v>
      </c>
      <c r="B51" s="144" t="s">
        <v>1341</v>
      </c>
      <c r="C51" s="143" t="s">
        <v>1112</v>
      </c>
      <c r="D51" s="145">
        <v>0</v>
      </c>
      <c r="E51" s="145">
        <v>0</v>
      </c>
      <c r="F51" s="145">
        <v>0</v>
      </c>
      <c r="G51" s="145">
        <v>0</v>
      </c>
      <c r="H51" s="145">
        <v>0</v>
      </c>
      <c r="I51" s="145">
        <v>0</v>
      </c>
      <c r="J51" s="145">
        <v>0</v>
      </c>
      <c r="K51" s="145">
        <v>0</v>
      </c>
    </row>
    <row r="52" spans="1:11" x14ac:dyDescent="0.25">
      <c r="A52" s="144">
        <v>5</v>
      </c>
      <c r="B52" s="144" t="s">
        <v>1345</v>
      </c>
      <c r="C52" s="143" t="s">
        <v>1114</v>
      </c>
      <c r="D52" s="145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</row>
    <row r="53" spans="1:11" x14ac:dyDescent="0.25">
      <c r="A53" s="144">
        <v>6</v>
      </c>
      <c r="B53" s="144" t="s">
        <v>1346</v>
      </c>
      <c r="C53" s="143" t="s">
        <v>1116</v>
      </c>
      <c r="D53" s="145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</row>
    <row r="54" spans="1:11" x14ac:dyDescent="0.25">
      <c r="A54" s="144">
        <v>7</v>
      </c>
      <c r="B54" s="144" t="s">
        <v>1134</v>
      </c>
      <c r="C54" s="143" t="s">
        <v>1119</v>
      </c>
      <c r="D54" s="145">
        <v>0</v>
      </c>
      <c r="E54" s="145">
        <v>0</v>
      </c>
      <c r="F54" s="145">
        <v>0</v>
      </c>
      <c r="G54" s="145">
        <v>0</v>
      </c>
      <c r="H54" s="145">
        <v>0</v>
      </c>
      <c r="I54" s="145">
        <v>0</v>
      </c>
      <c r="J54" s="145">
        <v>0</v>
      </c>
      <c r="K54" s="145">
        <v>0</v>
      </c>
    </row>
    <row r="55" spans="1:11" x14ac:dyDescent="0.25">
      <c r="A55" s="144">
        <v>8</v>
      </c>
      <c r="B55" s="144" t="s">
        <v>1343</v>
      </c>
      <c r="C55" s="143" t="s">
        <v>1122</v>
      </c>
      <c r="D55" s="145">
        <v>0</v>
      </c>
      <c r="E55" s="145">
        <v>0</v>
      </c>
      <c r="F55" s="145">
        <v>0</v>
      </c>
      <c r="G55" s="145">
        <v>0</v>
      </c>
      <c r="H55" s="145">
        <v>0</v>
      </c>
      <c r="I55" s="145">
        <v>0</v>
      </c>
      <c r="J55" s="145">
        <v>0</v>
      </c>
      <c r="K55" s="145">
        <v>0</v>
      </c>
    </row>
    <row r="56" spans="1:11" x14ac:dyDescent="0.25">
      <c r="A56" s="144" t="s">
        <v>1265</v>
      </c>
      <c r="B56" s="144" t="s">
        <v>1347</v>
      </c>
      <c r="C56" s="143" t="s">
        <v>1123</v>
      </c>
      <c r="D56" s="145">
        <v>47213.08</v>
      </c>
      <c r="E56" s="145">
        <v>0</v>
      </c>
      <c r="F56" s="145">
        <v>47213.08</v>
      </c>
      <c r="G56" s="145">
        <v>0</v>
      </c>
      <c r="H56" s="145">
        <v>47213</v>
      </c>
      <c r="I56" s="145">
        <v>0</v>
      </c>
      <c r="J56" s="145">
        <v>47213</v>
      </c>
      <c r="K56" s="145">
        <v>0</v>
      </c>
    </row>
    <row r="57" spans="1:11" x14ac:dyDescent="0.25">
      <c r="A57" s="144" t="s">
        <v>1268</v>
      </c>
      <c r="B57" s="144" t="s">
        <v>1348</v>
      </c>
      <c r="C57" s="143" t="s">
        <v>1124</v>
      </c>
      <c r="D57" s="145">
        <v>22379.35</v>
      </c>
      <c r="E57" s="145">
        <v>0</v>
      </c>
      <c r="F57" s="145">
        <v>22379.35</v>
      </c>
      <c r="G57" s="145">
        <v>0</v>
      </c>
      <c r="H57" s="145">
        <v>22379</v>
      </c>
      <c r="I57" s="145">
        <v>0</v>
      </c>
      <c r="J57" s="145">
        <v>22379</v>
      </c>
      <c r="K57" s="145">
        <v>0</v>
      </c>
    </row>
    <row r="58" spans="1:11" x14ac:dyDescent="0.25">
      <c r="A58" s="144">
        <v>2</v>
      </c>
      <c r="B58" s="144" t="s">
        <v>1349</v>
      </c>
      <c r="C58" s="143" t="s">
        <v>1125</v>
      </c>
      <c r="D58" s="145">
        <v>24833.73</v>
      </c>
      <c r="E58" s="145">
        <v>0</v>
      </c>
      <c r="F58" s="145">
        <v>24833.73</v>
      </c>
      <c r="G58" s="145">
        <v>0</v>
      </c>
      <c r="H58" s="145">
        <v>24834</v>
      </c>
      <c r="I58" s="145">
        <v>0</v>
      </c>
      <c r="J58" s="145">
        <v>24834</v>
      </c>
      <c r="K58" s="145">
        <v>0</v>
      </c>
    </row>
    <row r="59" spans="1:11" x14ac:dyDescent="0.25">
      <c r="A59" s="144">
        <v>3</v>
      </c>
      <c r="B59" s="144" t="s">
        <v>1350</v>
      </c>
      <c r="C59" s="143" t="s">
        <v>1126</v>
      </c>
      <c r="D59" s="145">
        <v>0</v>
      </c>
      <c r="E59" s="145">
        <v>0</v>
      </c>
      <c r="F59" s="145">
        <v>0</v>
      </c>
      <c r="G59" s="145">
        <v>0</v>
      </c>
      <c r="H59" s="145">
        <v>0</v>
      </c>
      <c r="I59" s="145">
        <v>0</v>
      </c>
      <c r="J59" s="145">
        <v>0</v>
      </c>
      <c r="K59" s="145">
        <v>0</v>
      </c>
    </row>
    <row r="60" spans="1:11" x14ac:dyDescent="0.25">
      <c r="A60" s="144">
        <v>4</v>
      </c>
      <c r="B60" s="144" t="s">
        <v>1351</v>
      </c>
      <c r="C60" s="143" t="s">
        <v>1127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</row>
    <row r="61" spans="1:11" x14ac:dyDescent="0.25">
      <c r="A61" s="144">
        <v>5</v>
      </c>
      <c r="B61" s="144" t="s">
        <v>1352</v>
      </c>
      <c r="C61" s="143" t="s">
        <v>1128</v>
      </c>
      <c r="D61" s="145">
        <v>0</v>
      </c>
      <c r="E61" s="145">
        <v>0</v>
      </c>
      <c r="F61" s="145">
        <v>0</v>
      </c>
      <c r="G61" s="145">
        <v>0</v>
      </c>
      <c r="H61" s="145">
        <v>0</v>
      </c>
      <c r="I61" s="145">
        <v>0</v>
      </c>
      <c r="J61" s="145">
        <v>0</v>
      </c>
      <c r="K61" s="145">
        <v>0</v>
      </c>
    </row>
    <row r="62" spans="1:11" x14ac:dyDescent="0.25">
      <c r="A62" s="144" t="s">
        <v>875</v>
      </c>
      <c r="B62" s="144" t="s">
        <v>1353</v>
      </c>
      <c r="C62" s="143" t="s">
        <v>1130</v>
      </c>
      <c r="D62" s="145">
        <v>6413.42</v>
      </c>
      <c r="E62" s="145">
        <v>0</v>
      </c>
      <c r="F62" s="145">
        <v>6413.42</v>
      </c>
      <c r="G62" s="145">
        <v>0</v>
      </c>
      <c r="H62" s="145">
        <v>6414</v>
      </c>
      <c r="I62" s="145">
        <v>0</v>
      </c>
      <c r="J62" s="145">
        <v>6414</v>
      </c>
      <c r="K62" s="145">
        <v>0</v>
      </c>
    </row>
    <row r="63" spans="1:11" x14ac:dyDescent="0.25">
      <c r="A63" s="144" t="s">
        <v>1159</v>
      </c>
      <c r="B63" s="144" t="s">
        <v>1160</v>
      </c>
      <c r="C63" s="143" t="s">
        <v>1133</v>
      </c>
      <c r="D63" s="145">
        <v>6010.68</v>
      </c>
      <c r="E63" s="145">
        <v>0</v>
      </c>
      <c r="F63" s="145">
        <v>6010.68</v>
      </c>
      <c r="G63" s="145">
        <v>0</v>
      </c>
      <c r="H63" s="145">
        <v>6011</v>
      </c>
      <c r="I63" s="145">
        <v>0</v>
      </c>
      <c r="J63" s="145">
        <v>6011</v>
      </c>
      <c r="K63" s="145">
        <v>0</v>
      </c>
    </row>
    <row r="64" spans="1:11" x14ac:dyDescent="0.25">
      <c r="A64" s="144">
        <v>2</v>
      </c>
      <c r="B64" s="144" t="s">
        <v>1162</v>
      </c>
      <c r="C64" s="143" t="s">
        <v>1135</v>
      </c>
      <c r="D64" s="145">
        <v>0</v>
      </c>
      <c r="E64" s="145">
        <v>0</v>
      </c>
      <c r="F64" s="145">
        <v>0</v>
      </c>
      <c r="G64" s="145">
        <v>0</v>
      </c>
      <c r="H64" s="145">
        <v>0</v>
      </c>
      <c r="I64" s="145">
        <v>0</v>
      </c>
      <c r="J64" s="145">
        <v>0</v>
      </c>
      <c r="K64" s="145">
        <v>0</v>
      </c>
    </row>
    <row r="65" spans="1:11" x14ac:dyDescent="0.25">
      <c r="A65" s="144">
        <v>3</v>
      </c>
      <c r="B65" s="144" t="s">
        <v>1164</v>
      </c>
      <c r="C65" s="143" t="s">
        <v>1136</v>
      </c>
      <c r="D65" s="145">
        <v>402.74</v>
      </c>
      <c r="E65" s="145">
        <v>0</v>
      </c>
      <c r="F65" s="145">
        <v>402.74</v>
      </c>
      <c r="G65" s="145">
        <v>0</v>
      </c>
      <c r="H65" s="145">
        <v>403</v>
      </c>
      <c r="I65" s="145">
        <v>0</v>
      </c>
      <c r="J65" s="145">
        <v>403</v>
      </c>
      <c r="K65" s="145">
        <v>0</v>
      </c>
    </row>
    <row r="66" spans="1:11" x14ac:dyDescent="0.25">
      <c r="A66" s="144">
        <v>4</v>
      </c>
      <c r="B66" s="144" t="s">
        <v>1166</v>
      </c>
      <c r="C66" s="143" t="s">
        <v>1138</v>
      </c>
      <c r="D66" s="145">
        <v>0</v>
      </c>
      <c r="E66" s="145">
        <v>0</v>
      </c>
      <c r="F66" s="145">
        <v>0</v>
      </c>
      <c r="G66" s="145">
        <v>0</v>
      </c>
      <c r="H66" s="145">
        <v>0</v>
      </c>
      <c r="I66" s="145">
        <v>0</v>
      </c>
      <c r="J66" s="145">
        <v>0</v>
      </c>
      <c r="K66" s="145">
        <v>0</v>
      </c>
    </row>
    <row r="67" spans="1:11" x14ac:dyDescent="0.25">
      <c r="B67" s="144" t="s">
        <v>1354</v>
      </c>
      <c r="C67" s="143" t="s">
        <v>1355</v>
      </c>
      <c r="D67" s="145">
        <v>2892276.06</v>
      </c>
      <c r="E67" s="145">
        <v>127116</v>
      </c>
      <c r="F67" s="145">
        <v>2765160.06</v>
      </c>
      <c r="G67" s="145">
        <v>0</v>
      </c>
      <c r="H67" s="145">
        <v>2892278</v>
      </c>
      <c r="I67" s="145">
        <v>127116</v>
      </c>
      <c r="J67" s="145">
        <v>2765162</v>
      </c>
      <c r="K67" s="145">
        <v>0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1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44" bestFit="1" customWidth="1"/>
    <col min="2" max="2" width="79.42578125" style="144" bestFit="1" customWidth="1"/>
    <col min="3" max="3" width="4.42578125" style="143" bestFit="1" customWidth="1"/>
    <col min="4" max="7" width="15.28515625" style="145" bestFit="1" customWidth="1"/>
    <col min="8" max="16384" width="9.140625" style="139"/>
  </cols>
  <sheetData>
    <row r="1" spans="1:7" ht="22.5" x14ac:dyDescent="0.25">
      <c r="A1" s="150" t="s">
        <v>335</v>
      </c>
      <c r="B1" s="150" t="s">
        <v>341</v>
      </c>
      <c r="C1" s="149" t="s">
        <v>356</v>
      </c>
      <c r="D1" s="151" t="s">
        <v>363</v>
      </c>
      <c r="E1" s="151" t="s">
        <v>364</v>
      </c>
      <c r="F1" s="151" t="s">
        <v>342</v>
      </c>
      <c r="G1" s="151" t="s">
        <v>340</v>
      </c>
    </row>
    <row r="2" spans="1:7" x14ac:dyDescent="0.25">
      <c r="B2" s="144" t="s">
        <v>1356</v>
      </c>
      <c r="C2" s="143" t="s">
        <v>1141</v>
      </c>
      <c r="D2" s="145">
        <v>692893.37</v>
      </c>
      <c r="E2" s="145">
        <v>0</v>
      </c>
      <c r="F2" s="145">
        <v>692894</v>
      </c>
      <c r="G2" s="145">
        <v>0</v>
      </c>
    </row>
    <row r="3" spans="1:7" x14ac:dyDescent="0.25">
      <c r="A3" s="144" t="s">
        <v>869</v>
      </c>
      <c r="B3" s="144" t="s">
        <v>1357</v>
      </c>
      <c r="C3" s="143" t="s">
        <v>765</v>
      </c>
      <c r="D3" s="142">
        <v>-277812.58</v>
      </c>
      <c r="E3" s="142">
        <v>0</v>
      </c>
      <c r="F3" s="142">
        <v>-277813</v>
      </c>
      <c r="G3" s="142">
        <v>0</v>
      </c>
    </row>
    <row r="4" spans="1:7" x14ac:dyDescent="0.25">
      <c r="A4" s="144" t="s">
        <v>1009</v>
      </c>
      <c r="B4" s="144" t="s">
        <v>1358</v>
      </c>
      <c r="C4" s="143" t="s">
        <v>1145</v>
      </c>
      <c r="D4" s="145">
        <v>0</v>
      </c>
      <c r="E4" s="145">
        <v>0</v>
      </c>
      <c r="F4" s="145">
        <v>0</v>
      </c>
      <c r="G4" s="145">
        <v>0</v>
      </c>
    </row>
    <row r="5" spans="1:7" x14ac:dyDescent="0.25">
      <c r="A5" s="144" t="s">
        <v>1173</v>
      </c>
      <c r="B5" s="144" t="s">
        <v>1359</v>
      </c>
      <c r="C5" s="143" t="s">
        <v>1147</v>
      </c>
      <c r="D5" s="145">
        <v>0</v>
      </c>
      <c r="E5" s="145">
        <v>0</v>
      </c>
      <c r="F5" s="145">
        <v>0</v>
      </c>
      <c r="G5" s="145">
        <v>0</v>
      </c>
    </row>
    <row r="6" spans="1:7" x14ac:dyDescent="0.25">
      <c r="A6" s="144">
        <v>2</v>
      </c>
      <c r="B6" s="144" t="s">
        <v>1360</v>
      </c>
      <c r="C6" s="143" t="s">
        <v>1149</v>
      </c>
      <c r="D6" s="145">
        <v>0</v>
      </c>
      <c r="E6" s="145">
        <v>0</v>
      </c>
      <c r="F6" s="145">
        <v>0</v>
      </c>
      <c r="G6" s="145">
        <v>0</v>
      </c>
    </row>
    <row r="7" spans="1:7" x14ac:dyDescent="0.25">
      <c r="A7" s="144">
        <v>3</v>
      </c>
      <c r="B7" s="144" t="s">
        <v>1175</v>
      </c>
      <c r="C7" s="143" t="s">
        <v>1152</v>
      </c>
      <c r="D7" s="145">
        <v>0</v>
      </c>
      <c r="E7" s="145">
        <v>0</v>
      </c>
      <c r="F7" s="145">
        <v>0</v>
      </c>
      <c r="G7" s="145">
        <v>0</v>
      </c>
    </row>
    <row r="8" spans="1:7" x14ac:dyDescent="0.25">
      <c r="A8" s="144">
        <v>4</v>
      </c>
      <c r="B8" s="144" t="s">
        <v>1177</v>
      </c>
      <c r="C8" s="143" t="s">
        <v>1155</v>
      </c>
      <c r="D8" s="145">
        <v>0</v>
      </c>
      <c r="E8" s="145">
        <v>0</v>
      </c>
      <c r="F8" s="145">
        <v>0</v>
      </c>
      <c r="G8" s="145">
        <v>0</v>
      </c>
    </row>
    <row r="9" spans="1:7" x14ac:dyDescent="0.25">
      <c r="A9" s="144" t="s">
        <v>1027</v>
      </c>
      <c r="B9" s="144" t="s">
        <v>1361</v>
      </c>
      <c r="C9" s="143" t="s">
        <v>767</v>
      </c>
      <c r="D9" s="145">
        <v>0</v>
      </c>
      <c r="E9" s="145">
        <v>0</v>
      </c>
      <c r="F9" s="145">
        <v>0</v>
      </c>
      <c r="G9" s="145">
        <v>0</v>
      </c>
    </row>
    <row r="10" spans="1:7" x14ac:dyDescent="0.25">
      <c r="A10" s="144" t="s">
        <v>1030</v>
      </c>
      <c r="B10" s="144" t="s">
        <v>1179</v>
      </c>
      <c r="C10" s="143" t="s">
        <v>1158</v>
      </c>
      <c r="D10" s="145">
        <v>0</v>
      </c>
      <c r="E10" s="145">
        <v>0</v>
      </c>
      <c r="F10" s="145">
        <v>0</v>
      </c>
      <c r="G10" s="145">
        <v>0</v>
      </c>
    </row>
    <row r="11" spans="1:7" x14ac:dyDescent="0.25">
      <c r="A11" s="144">
        <v>2</v>
      </c>
      <c r="B11" s="144" t="s">
        <v>1182</v>
      </c>
      <c r="C11" s="143" t="s">
        <v>1161</v>
      </c>
      <c r="D11" s="145">
        <v>0</v>
      </c>
      <c r="E11" s="145">
        <v>0</v>
      </c>
      <c r="F11" s="145">
        <v>0</v>
      </c>
      <c r="G11" s="145">
        <v>0</v>
      </c>
    </row>
    <row r="12" spans="1:7" x14ac:dyDescent="0.25">
      <c r="A12" s="144">
        <v>3</v>
      </c>
      <c r="B12" s="144" t="s">
        <v>1362</v>
      </c>
      <c r="C12" s="143" t="s">
        <v>1163</v>
      </c>
      <c r="D12" s="145">
        <v>0</v>
      </c>
      <c r="E12" s="145">
        <v>0</v>
      </c>
      <c r="F12" s="145">
        <v>0</v>
      </c>
      <c r="G12" s="145">
        <v>0</v>
      </c>
    </row>
    <row r="13" spans="1:7" x14ac:dyDescent="0.25">
      <c r="A13" s="144">
        <v>4</v>
      </c>
      <c r="B13" s="144" t="s">
        <v>1204</v>
      </c>
      <c r="C13" s="143" t="s">
        <v>1165</v>
      </c>
      <c r="D13" s="145">
        <v>0</v>
      </c>
      <c r="E13" s="145">
        <v>0</v>
      </c>
      <c r="F13" s="145">
        <v>0</v>
      </c>
      <c r="G13" s="145">
        <v>0</v>
      </c>
    </row>
    <row r="14" spans="1:7" x14ac:dyDescent="0.25">
      <c r="A14" s="144">
        <v>5</v>
      </c>
      <c r="B14" s="144" t="s">
        <v>1206</v>
      </c>
      <c r="C14" s="143" t="s">
        <v>1167</v>
      </c>
      <c r="D14" s="145">
        <v>0</v>
      </c>
      <c r="E14" s="145">
        <v>0</v>
      </c>
      <c r="F14" s="145">
        <v>0</v>
      </c>
      <c r="G14" s="145">
        <v>0</v>
      </c>
    </row>
    <row r="15" spans="1:7" x14ac:dyDescent="0.25">
      <c r="A15" s="144">
        <v>6</v>
      </c>
      <c r="B15" s="144" t="s">
        <v>1208</v>
      </c>
      <c r="C15" s="143" t="s">
        <v>1169</v>
      </c>
      <c r="D15" s="145">
        <v>0</v>
      </c>
      <c r="E15" s="145">
        <v>0</v>
      </c>
      <c r="F15" s="145">
        <v>0</v>
      </c>
      <c r="G15" s="145">
        <v>0</v>
      </c>
    </row>
    <row r="16" spans="1:7" x14ac:dyDescent="0.25">
      <c r="A16" s="144" t="s">
        <v>1048</v>
      </c>
      <c r="B16" s="144" t="s">
        <v>1363</v>
      </c>
      <c r="C16" s="143" t="s">
        <v>1171</v>
      </c>
      <c r="D16" s="145">
        <v>0</v>
      </c>
      <c r="E16" s="145">
        <v>0</v>
      </c>
      <c r="F16" s="145">
        <v>0</v>
      </c>
      <c r="G16" s="145">
        <v>0</v>
      </c>
    </row>
    <row r="17" spans="1:7" x14ac:dyDescent="0.25">
      <c r="A17" s="144" t="s">
        <v>1050</v>
      </c>
      <c r="B17" s="144" t="s">
        <v>1364</v>
      </c>
      <c r="C17" s="143" t="s">
        <v>769</v>
      </c>
      <c r="D17" s="145">
        <v>0</v>
      </c>
      <c r="E17" s="145">
        <v>0</v>
      </c>
      <c r="F17" s="145">
        <v>0</v>
      </c>
      <c r="G17" s="145">
        <v>0</v>
      </c>
    </row>
    <row r="18" spans="1:7" x14ac:dyDescent="0.25">
      <c r="A18" s="144">
        <v>2</v>
      </c>
      <c r="B18" s="144" t="s">
        <v>1365</v>
      </c>
      <c r="C18" s="143" t="s">
        <v>771</v>
      </c>
      <c r="D18" s="145">
        <v>0</v>
      </c>
      <c r="E18" s="145">
        <v>0</v>
      </c>
      <c r="F18" s="145">
        <v>0</v>
      </c>
      <c r="G18" s="145">
        <v>0</v>
      </c>
    </row>
    <row r="19" spans="1:7" x14ac:dyDescent="0.25">
      <c r="A19" s="144">
        <v>3</v>
      </c>
      <c r="B19" s="144" t="s">
        <v>1366</v>
      </c>
      <c r="C19" s="143" t="s">
        <v>1176</v>
      </c>
      <c r="D19" s="145">
        <v>0</v>
      </c>
      <c r="E19" s="145">
        <v>0</v>
      </c>
      <c r="F19" s="145">
        <v>0</v>
      </c>
      <c r="G19" s="145">
        <v>0</v>
      </c>
    </row>
    <row r="20" spans="1:7" x14ac:dyDescent="0.25">
      <c r="A20" s="144" t="s">
        <v>1367</v>
      </c>
      <c r="B20" s="144" t="s">
        <v>1368</v>
      </c>
      <c r="C20" s="143" t="s">
        <v>1178</v>
      </c>
      <c r="D20" s="145">
        <v>3779.46</v>
      </c>
      <c r="E20" s="145">
        <v>0</v>
      </c>
      <c r="F20" s="145">
        <v>3779</v>
      </c>
      <c r="G20" s="145">
        <v>0</v>
      </c>
    </row>
    <row r="21" spans="1:7" x14ac:dyDescent="0.25">
      <c r="A21" s="144" t="s">
        <v>1369</v>
      </c>
      <c r="B21" s="144" t="s">
        <v>1370</v>
      </c>
      <c r="C21" s="143" t="s">
        <v>1180</v>
      </c>
      <c r="D21" s="145">
        <v>0</v>
      </c>
      <c r="E21" s="145">
        <v>0</v>
      </c>
      <c r="F21" s="145">
        <v>0</v>
      </c>
      <c r="G21" s="145">
        <v>0</v>
      </c>
    </row>
    <row r="22" spans="1:7" x14ac:dyDescent="0.25">
      <c r="A22" s="144">
        <v>2</v>
      </c>
      <c r="B22" s="144" t="s">
        <v>1216</v>
      </c>
      <c r="C22" s="143" t="s">
        <v>1183</v>
      </c>
      <c r="D22" s="145">
        <v>3779.46</v>
      </c>
      <c r="E22" s="145">
        <v>0</v>
      </c>
      <c r="F22" s="145">
        <v>3779</v>
      </c>
      <c r="G22" s="145">
        <v>0</v>
      </c>
    </row>
    <row r="23" spans="1:7" x14ac:dyDescent="0.25">
      <c r="A23" s="144" t="s">
        <v>1192</v>
      </c>
      <c r="B23" s="144" t="s">
        <v>1371</v>
      </c>
      <c r="C23" s="143" t="s">
        <v>1186</v>
      </c>
      <c r="D23" s="145">
        <v>-281592.03999999998</v>
      </c>
      <c r="E23" s="145">
        <v>0</v>
      </c>
      <c r="F23" s="145">
        <v>-281592</v>
      </c>
      <c r="G23" s="145">
        <v>0</v>
      </c>
    </row>
    <row r="24" spans="1:7" x14ac:dyDescent="0.25">
      <c r="A24" s="144" t="s">
        <v>872</v>
      </c>
      <c r="B24" s="144" t="s">
        <v>1372</v>
      </c>
      <c r="C24" s="143" t="s">
        <v>1189</v>
      </c>
      <c r="D24" s="145">
        <v>966905.95</v>
      </c>
      <c r="E24" s="145">
        <v>0</v>
      </c>
      <c r="F24" s="145">
        <v>966907</v>
      </c>
      <c r="G24" s="145">
        <v>0</v>
      </c>
    </row>
    <row r="25" spans="1:7" x14ac:dyDescent="0.25">
      <c r="A25" s="144" t="s">
        <v>1074</v>
      </c>
      <c r="B25" s="144" t="s">
        <v>1373</v>
      </c>
      <c r="C25" s="143" t="s">
        <v>1191</v>
      </c>
      <c r="D25" s="145">
        <v>13350.37</v>
      </c>
      <c r="E25" s="145">
        <v>0</v>
      </c>
      <c r="F25" s="145">
        <v>13350</v>
      </c>
      <c r="G25" s="145">
        <v>0</v>
      </c>
    </row>
    <row r="26" spans="1:7" x14ac:dyDescent="0.25">
      <c r="A26" s="144" t="s">
        <v>1077</v>
      </c>
      <c r="B26" s="144" t="s">
        <v>1374</v>
      </c>
      <c r="C26" s="143" t="s">
        <v>1194</v>
      </c>
      <c r="D26" s="145">
        <v>0</v>
      </c>
      <c r="E26" s="145">
        <v>0</v>
      </c>
      <c r="F26" s="145">
        <v>0</v>
      </c>
      <c r="G26" s="145">
        <v>0</v>
      </c>
    </row>
    <row r="27" spans="1:7" x14ac:dyDescent="0.25">
      <c r="A27" s="144">
        <v>2</v>
      </c>
      <c r="B27" s="144" t="s">
        <v>1375</v>
      </c>
      <c r="C27" s="143" t="s">
        <v>1197</v>
      </c>
      <c r="D27" s="145">
        <v>13350.37</v>
      </c>
      <c r="E27" s="145">
        <v>0</v>
      </c>
      <c r="F27" s="145">
        <v>13350</v>
      </c>
      <c r="G27" s="145">
        <v>0</v>
      </c>
    </row>
    <row r="28" spans="1:7" x14ac:dyDescent="0.25">
      <c r="A28" s="144">
        <v>3</v>
      </c>
      <c r="B28" s="144" t="s">
        <v>1376</v>
      </c>
      <c r="C28" s="143" t="s">
        <v>1199</v>
      </c>
      <c r="D28" s="145">
        <v>0</v>
      </c>
      <c r="E28" s="145">
        <v>0</v>
      </c>
      <c r="F28" s="145">
        <v>0</v>
      </c>
      <c r="G28" s="145">
        <v>0</v>
      </c>
    </row>
    <row r="29" spans="1:7" x14ac:dyDescent="0.25">
      <c r="A29" s="144">
        <v>4</v>
      </c>
      <c r="B29" s="144" t="s">
        <v>1377</v>
      </c>
      <c r="C29" s="143" t="s">
        <v>1202</v>
      </c>
      <c r="D29" s="145">
        <v>0</v>
      </c>
      <c r="E29" s="145">
        <v>0</v>
      </c>
      <c r="F29" s="145">
        <v>0</v>
      </c>
      <c r="G29" s="145">
        <v>0</v>
      </c>
    </row>
    <row r="30" spans="1:7" x14ac:dyDescent="0.25">
      <c r="A30" s="144" t="s">
        <v>1090</v>
      </c>
      <c r="B30" s="144" t="s">
        <v>1378</v>
      </c>
      <c r="C30" s="143" t="s">
        <v>1205</v>
      </c>
      <c r="D30" s="145">
        <v>1053.28</v>
      </c>
      <c r="E30" s="145">
        <v>0</v>
      </c>
      <c r="F30" s="145">
        <v>1053</v>
      </c>
      <c r="G30" s="145">
        <v>0</v>
      </c>
    </row>
    <row r="31" spans="1:7" x14ac:dyDescent="0.25">
      <c r="A31" s="144" t="s">
        <v>1092</v>
      </c>
      <c r="B31" s="144" t="s">
        <v>1379</v>
      </c>
      <c r="C31" s="143" t="s">
        <v>1207</v>
      </c>
      <c r="D31" s="145">
        <v>0</v>
      </c>
      <c r="E31" s="145">
        <v>0</v>
      </c>
      <c r="F31" s="145">
        <v>0</v>
      </c>
      <c r="G31" s="145">
        <v>0</v>
      </c>
    </row>
    <row r="32" spans="1:7" x14ac:dyDescent="0.25">
      <c r="A32" s="144">
        <v>2</v>
      </c>
      <c r="B32" s="144" t="s">
        <v>1103</v>
      </c>
      <c r="C32" s="143" t="s">
        <v>1209</v>
      </c>
      <c r="D32" s="145">
        <v>0</v>
      </c>
      <c r="E32" s="145">
        <v>0</v>
      </c>
      <c r="F32" s="145">
        <v>0</v>
      </c>
      <c r="G32" s="145">
        <v>0</v>
      </c>
    </row>
    <row r="33" spans="1:7" x14ac:dyDescent="0.25">
      <c r="A33" s="144">
        <v>3</v>
      </c>
      <c r="B33" s="144" t="s">
        <v>1380</v>
      </c>
      <c r="C33" s="143" t="s">
        <v>1212</v>
      </c>
      <c r="D33" s="145">
        <v>0</v>
      </c>
      <c r="E33" s="145">
        <v>0</v>
      </c>
      <c r="F33" s="145">
        <v>0</v>
      </c>
      <c r="G33" s="145">
        <v>0</v>
      </c>
    </row>
    <row r="34" spans="1:7" x14ac:dyDescent="0.25">
      <c r="A34" s="144">
        <v>4</v>
      </c>
      <c r="B34" s="144" t="s">
        <v>1381</v>
      </c>
      <c r="C34" s="143" t="s">
        <v>1215</v>
      </c>
      <c r="D34" s="145">
        <v>0</v>
      </c>
      <c r="E34" s="145">
        <v>0</v>
      </c>
      <c r="F34" s="145">
        <v>0</v>
      </c>
      <c r="G34" s="145">
        <v>0</v>
      </c>
    </row>
    <row r="35" spans="1:7" x14ac:dyDescent="0.25">
      <c r="A35" s="144">
        <v>5</v>
      </c>
      <c r="B35" s="144" t="s">
        <v>1382</v>
      </c>
      <c r="C35" s="143" t="s">
        <v>1217</v>
      </c>
      <c r="D35" s="145">
        <v>0</v>
      </c>
      <c r="E35" s="145">
        <v>0</v>
      </c>
      <c r="F35" s="145">
        <v>0</v>
      </c>
      <c r="G35" s="145">
        <v>0</v>
      </c>
    </row>
    <row r="36" spans="1:7" x14ac:dyDescent="0.25">
      <c r="A36" s="144">
        <v>6</v>
      </c>
      <c r="B36" s="144" t="s">
        <v>1240</v>
      </c>
      <c r="C36" s="143" t="s">
        <v>1220</v>
      </c>
      <c r="D36" s="145">
        <v>0</v>
      </c>
      <c r="E36" s="145">
        <v>0</v>
      </c>
      <c r="F36" s="145">
        <v>0</v>
      </c>
      <c r="G36" s="145">
        <v>0</v>
      </c>
    </row>
    <row r="37" spans="1:7" x14ac:dyDescent="0.25">
      <c r="A37" s="144">
        <v>7</v>
      </c>
      <c r="B37" s="144" t="s">
        <v>1242</v>
      </c>
      <c r="C37" s="143" t="s">
        <v>1222</v>
      </c>
      <c r="D37" s="145">
        <v>0</v>
      </c>
      <c r="E37" s="145">
        <v>0</v>
      </c>
      <c r="F37" s="145">
        <v>0</v>
      </c>
      <c r="G37" s="145">
        <v>0</v>
      </c>
    </row>
    <row r="38" spans="1:7" x14ac:dyDescent="0.25">
      <c r="A38" s="144">
        <v>8</v>
      </c>
      <c r="B38" s="144" t="s">
        <v>1244</v>
      </c>
      <c r="C38" s="143" t="s">
        <v>1224</v>
      </c>
      <c r="D38" s="145">
        <v>0</v>
      </c>
      <c r="E38" s="145">
        <v>0</v>
      </c>
      <c r="F38" s="145">
        <v>0</v>
      </c>
      <c r="G38" s="145">
        <v>0</v>
      </c>
    </row>
    <row r="39" spans="1:7" x14ac:dyDescent="0.25">
      <c r="A39" s="144">
        <v>9</v>
      </c>
      <c r="B39" s="144" t="s">
        <v>1246</v>
      </c>
      <c r="C39" s="143" t="s">
        <v>1226</v>
      </c>
      <c r="D39" s="145">
        <v>1053.28</v>
      </c>
      <c r="E39" s="145">
        <v>0</v>
      </c>
      <c r="F39" s="145">
        <v>1053</v>
      </c>
      <c r="G39" s="145">
        <v>0</v>
      </c>
    </row>
    <row r="40" spans="1:7" x14ac:dyDescent="0.25">
      <c r="A40" s="144">
        <v>10</v>
      </c>
      <c r="B40" s="144" t="s">
        <v>1383</v>
      </c>
      <c r="C40" s="143" t="s">
        <v>1228</v>
      </c>
      <c r="D40" s="145">
        <v>0</v>
      </c>
      <c r="E40" s="145">
        <v>0</v>
      </c>
      <c r="F40" s="145">
        <v>0</v>
      </c>
      <c r="G40" s="145">
        <v>0</v>
      </c>
    </row>
    <row r="41" spans="1:7" x14ac:dyDescent="0.25">
      <c r="A41" s="144">
        <v>11</v>
      </c>
      <c r="B41" s="144" t="s">
        <v>1252</v>
      </c>
      <c r="C41" s="143" t="s">
        <v>1230</v>
      </c>
      <c r="D41" s="145">
        <v>0</v>
      </c>
      <c r="E41" s="145">
        <v>0</v>
      </c>
      <c r="F41" s="145">
        <v>0</v>
      </c>
      <c r="G41" s="145">
        <v>0</v>
      </c>
    </row>
    <row r="42" spans="1:7" x14ac:dyDescent="0.25">
      <c r="A42" s="144" t="s">
        <v>1117</v>
      </c>
      <c r="B42" s="144" t="s">
        <v>1384</v>
      </c>
      <c r="C42" s="143" t="s">
        <v>1232</v>
      </c>
      <c r="D42" s="145">
        <v>952502.3</v>
      </c>
      <c r="E42" s="145">
        <v>0</v>
      </c>
      <c r="F42" s="145">
        <v>952504</v>
      </c>
      <c r="G42" s="145">
        <v>0</v>
      </c>
    </row>
    <row r="43" spans="1:7" x14ac:dyDescent="0.25">
      <c r="A43" s="144" t="s">
        <v>1385</v>
      </c>
      <c r="B43" s="144" t="s">
        <v>1386</v>
      </c>
      <c r="C43" s="143" t="s">
        <v>1233</v>
      </c>
      <c r="D43" s="145">
        <v>251473.5</v>
      </c>
      <c r="E43" s="145">
        <v>0</v>
      </c>
      <c r="F43" s="145">
        <v>251475</v>
      </c>
      <c r="G43" s="145">
        <v>0</v>
      </c>
    </row>
    <row r="44" spans="1:7" x14ac:dyDescent="0.25">
      <c r="A44" s="144">
        <v>2</v>
      </c>
      <c r="B44" s="144" t="s">
        <v>1103</v>
      </c>
      <c r="C44" s="143" t="s">
        <v>1235</v>
      </c>
      <c r="D44" s="145">
        <v>0</v>
      </c>
      <c r="E44" s="145">
        <v>0</v>
      </c>
      <c r="F44" s="145">
        <v>0</v>
      </c>
      <c r="G44" s="145">
        <v>0</v>
      </c>
    </row>
    <row r="45" spans="1:7" x14ac:dyDescent="0.25">
      <c r="A45" s="144">
        <v>3</v>
      </c>
      <c r="B45" s="144" t="s">
        <v>1387</v>
      </c>
      <c r="C45" s="143" t="s">
        <v>1237</v>
      </c>
      <c r="D45" s="145">
        <v>6458.9</v>
      </c>
      <c r="E45" s="145">
        <v>0</v>
      </c>
      <c r="F45" s="145">
        <v>6459</v>
      </c>
      <c r="G45" s="145">
        <v>0</v>
      </c>
    </row>
    <row r="46" spans="1:7" x14ac:dyDescent="0.25">
      <c r="A46" s="144">
        <v>4</v>
      </c>
      <c r="B46" s="144" t="s">
        <v>1388</v>
      </c>
      <c r="C46" s="143" t="s">
        <v>1239</v>
      </c>
      <c r="D46" s="145">
        <v>0</v>
      </c>
      <c r="E46" s="145">
        <v>0</v>
      </c>
      <c r="F46" s="145">
        <v>0</v>
      </c>
      <c r="G46" s="145">
        <v>0</v>
      </c>
    </row>
    <row r="47" spans="1:7" x14ac:dyDescent="0.25">
      <c r="A47" s="144">
        <v>5</v>
      </c>
      <c r="B47" s="144" t="s">
        <v>1389</v>
      </c>
      <c r="C47" s="143" t="s">
        <v>1241</v>
      </c>
      <c r="D47" s="145">
        <v>0</v>
      </c>
      <c r="E47" s="145">
        <v>0</v>
      </c>
      <c r="F47" s="145">
        <v>0</v>
      </c>
      <c r="G47" s="145">
        <v>0</v>
      </c>
    </row>
    <row r="48" spans="1:7" x14ac:dyDescent="0.25">
      <c r="A48" s="144">
        <v>6</v>
      </c>
      <c r="B48" s="144" t="s">
        <v>1390</v>
      </c>
      <c r="C48" s="143" t="s">
        <v>1243</v>
      </c>
      <c r="D48" s="145">
        <v>0</v>
      </c>
      <c r="E48" s="145">
        <v>0</v>
      </c>
      <c r="F48" s="145">
        <v>0</v>
      </c>
      <c r="G48" s="145">
        <v>0</v>
      </c>
    </row>
    <row r="49" spans="1:7" x14ac:dyDescent="0.25">
      <c r="A49" s="144">
        <v>7</v>
      </c>
      <c r="B49" s="144" t="s">
        <v>1391</v>
      </c>
      <c r="C49" s="143" t="s">
        <v>1245</v>
      </c>
      <c r="D49" s="145">
        <v>24977.63</v>
      </c>
      <c r="E49" s="145">
        <v>0</v>
      </c>
      <c r="F49" s="145">
        <v>24978</v>
      </c>
      <c r="G49" s="145">
        <v>0</v>
      </c>
    </row>
    <row r="50" spans="1:7" x14ac:dyDescent="0.25">
      <c r="A50" s="144">
        <v>8</v>
      </c>
      <c r="B50" s="144" t="s">
        <v>1392</v>
      </c>
      <c r="C50" s="143" t="s">
        <v>1247</v>
      </c>
      <c r="D50" s="145">
        <v>34751.71</v>
      </c>
      <c r="E50" s="145">
        <v>0</v>
      </c>
      <c r="F50" s="145">
        <v>34752</v>
      </c>
      <c r="G50" s="145">
        <v>0</v>
      </c>
    </row>
    <row r="51" spans="1:7" x14ac:dyDescent="0.25">
      <c r="A51" s="144">
        <v>9</v>
      </c>
      <c r="B51" s="144" t="s">
        <v>1393</v>
      </c>
      <c r="C51" s="143" t="s">
        <v>1249</v>
      </c>
      <c r="D51" s="145">
        <v>15280.42</v>
      </c>
      <c r="E51" s="145">
        <v>0</v>
      </c>
      <c r="F51" s="145">
        <v>15280</v>
      </c>
      <c r="G51" s="145">
        <v>0</v>
      </c>
    </row>
    <row r="52" spans="1:7" x14ac:dyDescent="0.25">
      <c r="A52" s="144">
        <v>10</v>
      </c>
      <c r="B52" s="144" t="s">
        <v>1394</v>
      </c>
      <c r="C52" s="143" t="s">
        <v>1251</v>
      </c>
      <c r="D52" s="145">
        <v>619560.14</v>
      </c>
      <c r="E52" s="145">
        <v>0</v>
      </c>
      <c r="F52" s="145">
        <v>619560</v>
      </c>
      <c r="G52" s="145">
        <v>0</v>
      </c>
    </row>
    <row r="53" spans="1:7" x14ac:dyDescent="0.25">
      <c r="A53" s="144" t="s">
        <v>1265</v>
      </c>
      <c r="B53" s="144" t="s">
        <v>1301</v>
      </c>
      <c r="C53" s="143" t="s">
        <v>1253</v>
      </c>
      <c r="D53" s="145">
        <v>0</v>
      </c>
      <c r="E53" s="145">
        <v>0</v>
      </c>
      <c r="F53" s="145">
        <v>0</v>
      </c>
      <c r="G53" s="145">
        <v>0</v>
      </c>
    </row>
    <row r="54" spans="1:7" x14ac:dyDescent="0.25">
      <c r="A54" s="144" t="s">
        <v>1150</v>
      </c>
      <c r="B54" s="144" t="s">
        <v>1395</v>
      </c>
      <c r="C54" s="143" t="s">
        <v>1256</v>
      </c>
      <c r="D54" s="145">
        <v>0</v>
      </c>
      <c r="E54" s="145">
        <v>0</v>
      </c>
      <c r="F54" s="145">
        <v>0</v>
      </c>
      <c r="G54" s="145">
        <v>0</v>
      </c>
    </row>
    <row r="55" spans="1:7" x14ac:dyDescent="0.25">
      <c r="A55" s="144" t="s">
        <v>1268</v>
      </c>
      <c r="B55" s="144" t="s">
        <v>1396</v>
      </c>
      <c r="C55" s="143" t="s">
        <v>1259</v>
      </c>
      <c r="D55" s="145">
        <v>0</v>
      </c>
      <c r="E55" s="145">
        <v>0</v>
      </c>
      <c r="F55" s="145">
        <v>0</v>
      </c>
      <c r="G55" s="145">
        <v>0</v>
      </c>
    </row>
    <row r="56" spans="1:7" x14ac:dyDescent="0.25">
      <c r="A56" s="144">
        <v>2</v>
      </c>
      <c r="B56" s="144" t="s">
        <v>1299</v>
      </c>
      <c r="C56" s="143" t="s">
        <v>1261</v>
      </c>
      <c r="D56" s="145">
        <v>0</v>
      </c>
      <c r="E56" s="145">
        <v>0</v>
      </c>
      <c r="F56" s="145">
        <v>0</v>
      </c>
      <c r="G56" s="145">
        <v>0</v>
      </c>
    </row>
    <row r="57" spans="1:7" x14ac:dyDescent="0.25">
      <c r="A57" s="144" t="s">
        <v>875</v>
      </c>
      <c r="B57" s="144" t="s">
        <v>1397</v>
      </c>
      <c r="C57" s="143" t="s">
        <v>1264</v>
      </c>
      <c r="D57" s="145">
        <v>3800</v>
      </c>
      <c r="E57" s="145">
        <v>0</v>
      </c>
      <c r="F57" s="145">
        <v>3800</v>
      </c>
      <c r="G57" s="145">
        <v>0</v>
      </c>
    </row>
    <row r="58" spans="1:7" x14ac:dyDescent="0.25">
      <c r="A58" s="144" t="s">
        <v>1159</v>
      </c>
      <c r="B58" s="144" t="s">
        <v>1305</v>
      </c>
      <c r="C58" s="143" t="s">
        <v>1267</v>
      </c>
      <c r="D58" s="145">
        <v>0</v>
      </c>
      <c r="E58" s="145">
        <v>0</v>
      </c>
      <c r="F58" s="145">
        <v>0</v>
      </c>
      <c r="G58" s="145">
        <v>0</v>
      </c>
    </row>
    <row r="59" spans="1:7" x14ac:dyDescent="0.25">
      <c r="A59" s="144">
        <v>2</v>
      </c>
      <c r="B59" s="144" t="s">
        <v>1307</v>
      </c>
      <c r="C59" s="143" t="s">
        <v>1270</v>
      </c>
      <c r="D59" s="145">
        <v>3800</v>
      </c>
      <c r="E59" s="145">
        <v>0</v>
      </c>
      <c r="F59" s="145">
        <v>3800</v>
      </c>
      <c r="G59" s="145">
        <v>0</v>
      </c>
    </row>
    <row r="60" spans="1:7" x14ac:dyDescent="0.25">
      <c r="A60" s="144">
        <v>3</v>
      </c>
      <c r="B60" s="144" t="s">
        <v>1309</v>
      </c>
      <c r="C60" s="143" t="s">
        <v>1272</v>
      </c>
      <c r="D60" s="145">
        <v>0</v>
      </c>
      <c r="E60" s="145">
        <v>0</v>
      </c>
      <c r="F60" s="145">
        <v>0</v>
      </c>
      <c r="G60" s="145">
        <v>0</v>
      </c>
    </row>
    <row r="61" spans="1:7" x14ac:dyDescent="0.25">
      <c r="A61" s="144">
        <v>4</v>
      </c>
      <c r="B61" s="144" t="s">
        <v>1311</v>
      </c>
      <c r="C61" s="143" t="s">
        <v>1274</v>
      </c>
      <c r="D61" s="145">
        <v>0</v>
      </c>
      <c r="E61" s="145">
        <v>0</v>
      </c>
      <c r="F61" s="145">
        <v>0</v>
      </c>
      <c r="G61" s="145">
        <v>0</v>
      </c>
    </row>
  </sheetData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7" customWidth="1"/>
    <col min="2" max="2" width="24.85546875" style="17" customWidth="1"/>
  </cols>
  <sheetData>
    <row r="1" spans="1:2" x14ac:dyDescent="0.25">
      <c r="A1" s="152" t="s">
        <v>365</v>
      </c>
      <c r="B1" s="152" t="s">
        <v>45</v>
      </c>
    </row>
    <row r="2" spans="1:2" x14ac:dyDescent="0.25">
      <c r="A2" s="17" t="s">
        <v>1398</v>
      </c>
      <c r="B2" s="17" t="s">
        <v>1399</v>
      </c>
    </row>
    <row r="3" spans="1:2" x14ac:dyDescent="0.25">
      <c r="A3" s="17" t="s">
        <v>1400</v>
      </c>
      <c r="B3" s="17" t="s">
        <v>1401</v>
      </c>
    </row>
    <row r="4" spans="1:2" x14ac:dyDescent="0.25">
      <c r="A4" s="17" t="s">
        <v>1402</v>
      </c>
      <c r="B4" s="17" t="s">
        <v>1403</v>
      </c>
    </row>
    <row r="5" spans="1:2" x14ac:dyDescent="0.25">
      <c r="A5" s="17" t="s">
        <v>1404</v>
      </c>
      <c r="B5" s="17" t="s">
        <v>1405</v>
      </c>
    </row>
    <row r="6" spans="1:2" x14ac:dyDescent="0.25">
      <c r="A6" s="17" t="s">
        <v>1406</v>
      </c>
      <c r="B6" s="17" t="s">
        <v>1407</v>
      </c>
    </row>
    <row r="7" spans="1:2" x14ac:dyDescent="0.25">
      <c r="A7" s="17" t="s">
        <v>1408</v>
      </c>
      <c r="B7" s="17">
        <v>50185489</v>
      </c>
    </row>
    <row r="8" spans="1:2" x14ac:dyDescent="0.25">
      <c r="A8" s="17" t="s">
        <v>1409</v>
      </c>
      <c r="B8" s="17">
        <v>2120265686</v>
      </c>
    </row>
    <row r="9" spans="1:2" x14ac:dyDescent="0.25">
      <c r="A9" s="17" t="s">
        <v>1410</v>
      </c>
    </row>
    <row r="10" spans="1:2" x14ac:dyDescent="0.25">
      <c r="A10" s="17" t="s">
        <v>1411</v>
      </c>
      <c r="B10" s="17" t="s">
        <v>1412</v>
      </c>
    </row>
    <row r="11" spans="1:2" x14ac:dyDescent="0.25">
      <c r="A11" s="17" t="s">
        <v>1413</v>
      </c>
    </row>
    <row r="12" spans="1:2" x14ac:dyDescent="0.25">
      <c r="A12" s="17" t="s">
        <v>1414</v>
      </c>
      <c r="B12" s="17" t="s">
        <v>1415</v>
      </c>
    </row>
    <row r="13" spans="1:2" x14ac:dyDescent="0.25">
      <c r="A13" s="17" t="s">
        <v>1416</v>
      </c>
      <c r="B13" s="17">
        <v>16</v>
      </c>
    </row>
    <row r="14" spans="1:2" x14ac:dyDescent="0.25">
      <c r="A14" s="17" t="s">
        <v>1417</v>
      </c>
      <c r="B14" s="17">
        <v>83103</v>
      </c>
    </row>
    <row r="15" spans="1:2" x14ac:dyDescent="0.25">
      <c r="A15" s="17" t="s">
        <v>1418</v>
      </c>
      <c r="B15" s="17" t="s">
        <v>1419</v>
      </c>
    </row>
    <row r="16" spans="1:2" x14ac:dyDescent="0.25">
      <c r="A16" s="17" t="s">
        <v>1420</v>
      </c>
      <c r="B16" s="17">
        <v>902906293</v>
      </c>
    </row>
    <row r="17" spans="1:2" x14ac:dyDescent="0.25">
      <c r="A17" s="17" t="s">
        <v>1421</v>
      </c>
    </row>
    <row r="18" spans="1:2" x14ac:dyDescent="0.25">
      <c r="A18" s="17" t="s">
        <v>1422</v>
      </c>
      <c r="B18" s="17" t="s">
        <v>1423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372</v>
      </c>
    </row>
    <row r="2" spans="1:2" ht="21" customHeight="1" thickTop="1" thickBot="1" x14ac:dyDescent="0.3">
      <c r="A2" s="9" t="s">
        <v>28</v>
      </c>
      <c r="B2" s="10" t="s">
        <v>26</v>
      </c>
    </row>
    <row r="3" spans="1:2" ht="30" customHeight="1" thickTop="1" thickBot="1" x14ac:dyDescent="0.3">
      <c r="A3" s="11" t="s">
        <v>35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abSelected="1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371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75" t="s">
        <v>40</v>
      </c>
      <c r="B3" s="280" t="s">
        <v>2</v>
      </c>
      <c r="C3" s="281"/>
      <c r="D3" s="281"/>
      <c r="E3" s="281"/>
      <c r="F3" s="281"/>
      <c r="G3" s="281"/>
      <c r="H3" s="281"/>
      <c r="I3" s="281"/>
      <c r="J3" s="28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76"/>
      <c r="B4" s="136" t="s">
        <v>36</v>
      </c>
      <c r="C4" s="137" t="s">
        <v>327</v>
      </c>
      <c r="D4" s="136" t="s">
        <v>37</v>
      </c>
      <c r="E4" s="137" t="s">
        <v>326</v>
      </c>
      <c r="F4" s="136" t="s">
        <v>38</v>
      </c>
      <c r="G4" s="136" t="s">
        <v>39</v>
      </c>
      <c r="H4" s="137" t="s">
        <v>300</v>
      </c>
      <c r="I4" s="136" t="s">
        <v>301</v>
      </c>
      <c r="J4" s="136" t="s">
        <v>8</v>
      </c>
    </row>
    <row r="5" spans="1:33" ht="15" customHeight="1" thickTop="1" thickBot="1" x14ac:dyDescent="0.3">
      <c r="A5" s="28" t="s">
        <v>16</v>
      </c>
      <c r="B5" s="29"/>
      <c r="C5" s="29"/>
      <c r="D5" s="29"/>
      <c r="E5" s="29"/>
      <c r="F5" s="29"/>
      <c r="G5" s="29"/>
      <c r="H5" s="29"/>
      <c r="I5" s="29"/>
      <c r="J5" s="30"/>
      <c r="K5" s="176"/>
      <c r="L5" s="176"/>
      <c r="M5" s="176"/>
      <c r="N5" s="176"/>
      <c r="O5" s="176"/>
      <c r="P5" s="176"/>
      <c r="Q5" s="176"/>
      <c r="R5" s="176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31" t="s">
        <v>17</v>
      </c>
      <c r="B6" s="168">
        <f>SUMIF(HK!A:A,"061*",HK!C:C)-SUMIF(HK!A:A,"061*",HK!D:D)</f>
        <v>0</v>
      </c>
      <c r="C6" s="168">
        <f>SUMIF(HK!A:A,"062*",HK!C:C)-SUMIF(HK!A:A,"062*",HK!D:D)</f>
        <v>0</v>
      </c>
      <c r="D6" s="168">
        <f>SUMIF(HK!A:A,"063*",HK!C:C)-SUMIF(HK!A:A,"063*",HK!D:D)</f>
        <v>0</v>
      </c>
      <c r="E6" s="168">
        <f>SUMIF(HK!A:A,"066*",HK!C:C)-SUMIF(HK!A:A,"066*",HK!D:D)</f>
        <v>0</v>
      </c>
      <c r="F6" s="168">
        <f>SUMIF(HK!A:A,"067*",HK!C:C)-SUMIF(HK!A:A,"067*",HK!D:D)</f>
        <v>0</v>
      </c>
      <c r="G6" s="132"/>
      <c r="H6" s="168">
        <f>SUMIF(HK!A:A,"043*",HK!C:C)-SUMIF(HK!A:A,"043*",HK!D:D)</f>
        <v>0</v>
      </c>
      <c r="I6" s="168">
        <f>SUMIF(HK!A:A,"053*",HK!C:C)-SUMIF(HK!A:A,"053*",HK!D:D)</f>
        <v>0</v>
      </c>
      <c r="J6" s="14">
        <f>SUM(B6:I6)</f>
        <v>0</v>
      </c>
      <c r="K6" s="138"/>
      <c r="L6" s="154"/>
      <c r="M6" s="138"/>
      <c r="N6" s="138"/>
      <c r="O6" s="138"/>
      <c r="P6" s="138"/>
      <c r="Q6" s="138"/>
      <c r="R6" s="138"/>
    </row>
    <row r="7" spans="1:33" ht="15" customHeight="1" thickBot="1" x14ac:dyDescent="0.3">
      <c r="A7" s="13" t="s">
        <v>18</v>
      </c>
      <c r="B7" s="132"/>
      <c r="C7" s="132"/>
      <c r="D7" s="132"/>
      <c r="E7" s="132"/>
      <c r="F7" s="133"/>
      <c r="G7" s="132"/>
      <c r="H7" s="132"/>
      <c r="I7" s="132"/>
      <c r="J7" s="14">
        <f t="shared" ref="J7:J9" si="0">SUM(B7:I7)</f>
        <v>0</v>
      </c>
      <c r="K7" s="138"/>
      <c r="L7" s="138"/>
      <c r="M7" s="138"/>
      <c r="N7" s="138"/>
      <c r="O7" s="138"/>
      <c r="P7" s="138"/>
      <c r="Q7" s="138"/>
      <c r="R7" s="138"/>
    </row>
    <row r="8" spans="1:33" ht="15" customHeight="1" thickBot="1" x14ac:dyDescent="0.3">
      <c r="A8" s="13" t="s">
        <v>19</v>
      </c>
      <c r="B8" s="132"/>
      <c r="C8" s="132"/>
      <c r="D8" s="132"/>
      <c r="E8" s="132"/>
      <c r="F8" s="133"/>
      <c r="G8" s="132"/>
      <c r="H8" s="132"/>
      <c r="I8" s="132"/>
      <c r="J8" s="14">
        <f t="shared" si="0"/>
        <v>0</v>
      </c>
      <c r="K8" s="138"/>
      <c r="L8" s="138"/>
      <c r="M8" s="138"/>
      <c r="N8" s="138"/>
      <c r="O8" s="138"/>
      <c r="P8" s="138"/>
      <c r="Q8" s="138"/>
      <c r="R8" s="138"/>
    </row>
    <row r="9" spans="1:33" ht="15" customHeight="1" thickBot="1" x14ac:dyDescent="0.3">
      <c r="A9" s="13" t="s">
        <v>20</v>
      </c>
      <c r="B9" s="132"/>
      <c r="C9" s="132"/>
      <c r="D9" s="132"/>
      <c r="E9" s="132"/>
      <c r="F9" s="133"/>
      <c r="G9" s="132"/>
      <c r="H9" s="132"/>
      <c r="I9" s="132"/>
      <c r="J9" s="14">
        <f t="shared" si="0"/>
        <v>0</v>
      </c>
      <c r="K9" s="138"/>
      <c r="L9" s="138"/>
      <c r="M9" s="138"/>
      <c r="N9" s="138"/>
      <c r="O9" s="138"/>
      <c r="P9" s="138"/>
      <c r="Q9" s="138"/>
      <c r="R9" s="138"/>
    </row>
    <row r="10" spans="1:33" ht="15.75" thickBot="1" x14ac:dyDescent="0.3">
      <c r="A10" s="22" t="s">
        <v>21</v>
      </c>
      <c r="B10" s="168">
        <f>SUMIF(HK!A:A,"061*",HK!K:K)-SUMIF(HK!A:A,"061*",HK!L:L)</f>
        <v>0</v>
      </c>
      <c r="C10" s="168">
        <f>SUMIF(HK!A:A,"062*",HK!K:K)-SUMIF(HK!A:A,"062*",HK!L:L)</f>
        <v>0</v>
      </c>
      <c r="D10" s="168">
        <f>SUMIF(HK!A:A,"063*",HK!K:K)-SUMIF(HK!A:A,"063*",HK!L:L)</f>
        <v>0</v>
      </c>
      <c r="E10" s="168">
        <f>SUMIF(HK!A:A,"066*",HK!K:K)-SUMIF(HK!A:A,"066*",HK!L:L)</f>
        <v>0</v>
      </c>
      <c r="F10" s="168">
        <f>SUMIF(HK!A:A,"067*",HK!K:K)-SUMIF(HK!A:A,"067*",HK!L:L)</f>
        <v>0</v>
      </c>
      <c r="G10" s="132"/>
      <c r="H10" s="168">
        <f>SUMIF(HK!A:A,"043*",HK!K:K)-SUMIF(HK!A:A,"043*",HK!L:L)</f>
        <v>0</v>
      </c>
      <c r="I10" s="168">
        <f>SUMIF(HK!A:A,"053*",HK!K:K)-SUMIF(HK!A:A,"053*",HK!L:L)</f>
        <v>0</v>
      </c>
      <c r="J10" s="16">
        <f>J6+J7-J8+J9</f>
        <v>0</v>
      </c>
      <c r="K10" s="138"/>
      <c r="L10" s="154"/>
      <c r="M10" s="138"/>
      <c r="N10" s="138"/>
      <c r="O10" s="138"/>
      <c r="P10" s="138"/>
      <c r="Q10" s="138"/>
      <c r="R10" s="138"/>
    </row>
    <row r="11" spans="1:33" ht="15" customHeight="1" thickTop="1" thickBot="1" x14ac:dyDescent="0.3">
      <c r="A11" s="28" t="s">
        <v>24</v>
      </c>
      <c r="B11" s="173"/>
      <c r="C11" s="173"/>
      <c r="D11" s="173"/>
      <c r="E11" s="173"/>
      <c r="F11" s="173"/>
      <c r="G11" s="173"/>
      <c r="H11" s="173"/>
      <c r="I11" s="173"/>
      <c r="J11" s="30"/>
      <c r="K11" s="138"/>
      <c r="L11" s="138"/>
      <c r="M11" s="138"/>
      <c r="N11" s="138"/>
      <c r="O11" s="138"/>
      <c r="P11" s="138"/>
      <c r="Q11" s="138"/>
      <c r="R11" s="138"/>
    </row>
    <row r="12" spans="1:33" ht="24" thickTop="1" thickBot="1" x14ac:dyDescent="0.3">
      <c r="A12" s="31" t="s">
        <v>23</v>
      </c>
      <c r="B12" s="168"/>
      <c r="C12" s="168"/>
      <c r="D12" s="168"/>
      <c r="E12" s="168"/>
      <c r="F12" s="168"/>
      <c r="G12" s="168"/>
      <c r="H12" s="168"/>
      <c r="I12" s="168">
        <f>SUMIF(SUAM!C:C,"032",SUAM!E:E)</f>
        <v>0</v>
      </c>
      <c r="J12" s="14">
        <f>SUM(B12:I12)</f>
        <v>0</v>
      </c>
      <c r="K12" s="138"/>
      <c r="L12" s="154"/>
      <c r="M12" s="138"/>
      <c r="N12" s="161"/>
      <c r="O12" s="138"/>
      <c r="P12" s="138"/>
      <c r="Q12" s="138"/>
      <c r="R12" s="138"/>
    </row>
    <row r="13" spans="1:33" ht="15" customHeight="1" thickBot="1" x14ac:dyDescent="0.3">
      <c r="A13" s="13" t="s">
        <v>18</v>
      </c>
      <c r="B13" s="132"/>
      <c r="C13" s="132"/>
      <c r="D13" s="132"/>
      <c r="E13" s="132"/>
      <c r="F13" s="132"/>
      <c r="G13" s="132"/>
      <c r="H13" s="132"/>
      <c r="I13" s="132"/>
      <c r="J13" s="14">
        <f>SUM(B13:I13)</f>
        <v>0</v>
      </c>
      <c r="K13" s="138"/>
      <c r="L13" s="138"/>
      <c r="M13" s="138"/>
      <c r="N13" s="138"/>
      <c r="O13" s="138"/>
      <c r="P13" s="138"/>
      <c r="Q13" s="138"/>
      <c r="R13" s="138"/>
    </row>
    <row r="14" spans="1:33" ht="15" customHeight="1" thickBot="1" x14ac:dyDescent="0.3">
      <c r="A14" s="13" t="s">
        <v>19</v>
      </c>
      <c r="B14" s="132"/>
      <c r="C14" s="132"/>
      <c r="D14" s="132"/>
      <c r="E14" s="132"/>
      <c r="F14" s="132"/>
      <c r="G14" s="132"/>
      <c r="H14" s="132"/>
      <c r="I14" s="132"/>
      <c r="J14" s="14">
        <f>SUM(B14:I14)</f>
        <v>0</v>
      </c>
      <c r="K14" s="138"/>
      <c r="L14" s="138"/>
      <c r="M14" s="138"/>
      <c r="N14" s="138"/>
      <c r="O14" s="138"/>
      <c r="P14" s="138"/>
      <c r="Q14" s="138"/>
      <c r="R14" s="138"/>
    </row>
    <row r="15" spans="1:33" ht="15" customHeight="1" thickBot="1" x14ac:dyDescent="0.3">
      <c r="A15" s="267" t="s">
        <v>20</v>
      </c>
      <c r="B15" s="133"/>
      <c r="C15" s="133"/>
      <c r="D15" s="133"/>
      <c r="E15" s="133"/>
      <c r="F15" s="133"/>
      <c r="G15" s="133"/>
      <c r="H15" s="133"/>
      <c r="I15" s="133"/>
      <c r="J15" s="268"/>
      <c r="K15" s="138"/>
      <c r="L15" s="138"/>
      <c r="M15" s="138"/>
      <c r="N15" s="138"/>
      <c r="O15" s="138"/>
      <c r="P15" s="138"/>
      <c r="Q15" s="138"/>
      <c r="R15" s="138"/>
    </row>
    <row r="16" spans="1:33" ht="15.75" thickBot="1" x14ac:dyDescent="0.3">
      <c r="A16" s="22" t="s">
        <v>21</v>
      </c>
      <c r="B16" s="168"/>
      <c r="C16" s="168"/>
      <c r="D16" s="168"/>
      <c r="E16" s="168"/>
      <c r="F16" s="168"/>
      <c r="G16" s="168"/>
      <c r="H16" s="168"/>
      <c r="I16" s="168">
        <f>SUMIF(SUA!C:C,"032",SUA!E:E)</f>
        <v>0</v>
      </c>
      <c r="J16" s="16">
        <f>J12+J13-J14</f>
        <v>0</v>
      </c>
      <c r="K16" s="138"/>
      <c r="L16" s="154"/>
      <c r="M16" s="138"/>
      <c r="N16" s="161"/>
      <c r="O16" s="138"/>
      <c r="P16" s="138"/>
      <c r="Q16" s="138"/>
      <c r="R16" s="138"/>
    </row>
    <row r="17" spans="1:33" ht="15" customHeight="1" thickTop="1" thickBot="1" x14ac:dyDescent="0.3">
      <c r="A17" s="28" t="s">
        <v>368</v>
      </c>
      <c r="B17" s="173"/>
      <c r="C17" s="173"/>
      <c r="D17" s="173"/>
      <c r="E17" s="173"/>
      <c r="F17" s="173"/>
      <c r="G17" s="173"/>
      <c r="H17" s="173"/>
      <c r="I17" s="173"/>
      <c r="J17" s="30"/>
      <c r="K17" s="138"/>
      <c r="L17" s="138"/>
      <c r="M17" s="138"/>
      <c r="N17" s="138"/>
      <c r="O17" s="138"/>
      <c r="P17" s="138"/>
      <c r="Q17" s="138"/>
      <c r="R17" s="138"/>
    </row>
    <row r="18" spans="1:33" ht="15" customHeight="1" thickTop="1" thickBot="1" x14ac:dyDescent="0.3">
      <c r="A18" s="31" t="s">
        <v>23</v>
      </c>
      <c r="B18" s="132"/>
      <c r="C18" s="132"/>
      <c r="D18" s="132"/>
      <c r="E18" s="132"/>
      <c r="F18" s="132"/>
      <c r="G18" s="132"/>
      <c r="H18" s="132"/>
      <c r="I18" s="132"/>
      <c r="J18" s="14"/>
    </row>
    <row r="19" spans="1:33" ht="15" customHeight="1" thickBot="1" x14ac:dyDescent="0.3">
      <c r="A19" s="22" t="s">
        <v>21</v>
      </c>
      <c r="B19" s="135"/>
      <c r="C19" s="135"/>
      <c r="D19" s="135"/>
      <c r="E19" s="135"/>
      <c r="F19" s="135"/>
      <c r="G19" s="135"/>
      <c r="H19" s="135"/>
      <c r="I19" s="135"/>
      <c r="J19" s="16"/>
    </row>
    <row r="20" spans="1:33" ht="15.75" thickTop="1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</row>
    <row r="21" spans="1:33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33" ht="15.75" thickBot="1" x14ac:dyDescent="0.3">
      <c r="A22" s="163" t="s">
        <v>9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33" ht="16.5" customHeight="1" thickTop="1" thickBot="1" x14ac:dyDescent="0.3">
      <c r="A23" s="283" t="s">
        <v>40</v>
      </c>
      <c r="B23" s="277" t="s">
        <v>3</v>
      </c>
      <c r="C23" s="278"/>
      <c r="D23" s="278"/>
      <c r="E23" s="278"/>
      <c r="F23" s="278"/>
      <c r="G23" s="278"/>
      <c r="H23" s="278"/>
      <c r="I23" s="278"/>
      <c r="J23" s="27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84"/>
      <c r="B24" s="166" t="s">
        <v>36</v>
      </c>
      <c r="C24" s="165" t="s">
        <v>327</v>
      </c>
      <c r="D24" s="166" t="s">
        <v>37</v>
      </c>
      <c r="E24" s="165" t="s">
        <v>326</v>
      </c>
      <c r="F24" s="166" t="s">
        <v>38</v>
      </c>
      <c r="G24" s="166" t="s">
        <v>39</v>
      </c>
      <c r="H24" s="165" t="s">
        <v>300</v>
      </c>
      <c r="I24" s="166" t="s">
        <v>301</v>
      </c>
      <c r="J24" s="166" t="s">
        <v>8</v>
      </c>
    </row>
    <row r="25" spans="1:33" ht="15" customHeight="1" thickTop="1" thickBot="1" x14ac:dyDescent="0.3">
      <c r="A25" s="177" t="s">
        <v>16</v>
      </c>
      <c r="B25" s="156"/>
      <c r="C25" s="156"/>
      <c r="D25" s="156"/>
      <c r="E25" s="156"/>
      <c r="F25" s="156"/>
      <c r="G25" s="156"/>
      <c r="H25" s="156"/>
      <c r="I25" s="156"/>
      <c r="J25" s="157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78" t="s">
        <v>17</v>
      </c>
      <c r="B26" s="168">
        <f>SUMIF(HKM!A:A,"061*",HKM!C:C)-SUMIF(HKM!A:A,"061*",HKM!D:D)</f>
        <v>0</v>
      </c>
      <c r="C26" s="168">
        <f>SUMIF(HKM!A:A,"062*",HKM!C:C)-SUMIF(HKM!A:A,"062*",HKM!D:D)</f>
        <v>0</v>
      </c>
      <c r="D26" s="168">
        <f>SUMIF(HKM!A:A,"063*",HKM!C:C)-SUMIF(HKM!A:A,"063*",HKM!D:D)</f>
        <v>0</v>
      </c>
      <c r="E26" s="168">
        <f>SUMIF(HKM!A:A,"066*",HKM!C:C)-SUMIF(HKM!A:A,"066*",HKM!D:D)</f>
        <v>0</v>
      </c>
      <c r="F26" s="168">
        <f>SUMIF(HKM!A:A,"067*",HKM!C:C)-SUMIF(HKM!A:A,"067*",HKM!D:D)</f>
        <v>0</v>
      </c>
      <c r="G26" s="132"/>
      <c r="H26" s="168">
        <f>SUMIF(HKM!A:A,"043*",HKM!C:C)-SUMIF(HKM!A:A,"043*",HKM!D:D)</f>
        <v>0</v>
      </c>
      <c r="I26" s="168">
        <f>SUMIF(HKM!A:A,"053*",HKM!C:C)-SUMIF(HKM!A:A,"053*",HKM!D:D)</f>
        <v>0</v>
      </c>
      <c r="J26" s="153">
        <f>SUM(B26:I26)</f>
        <v>0</v>
      </c>
      <c r="K26" s="138"/>
      <c r="L26" s="154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</row>
    <row r="27" spans="1:33" ht="15" customHeight="1" thickBot="1" x14ac:dyDescent="0.3">
      <c r="A27" s="179" t="s">
        <v>18</v>
      </c>
      <c r="B27" s="132"/>
      <c r="C27" s="132"/>
      <c r="D27" s="132"/>
      <c r="E27" s="132"/>
      <c r="F27" s="133"/>
      <c r="G27" s="132"/>
      <c r="H27" s="132"/>
      <c r="I27" s="132"/>
      <c r="J27" s="153">
        <f t="shared" ref="J27:J29" si="1">SUM(B27:I27)</f>
        <v>0</v>
      </c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</row>
    <row r="28" spans="1:33" ht="15" customHeight="1" thickBot="1" x14ac:dyDescent="0.3">
      <c r="A28" s="263" t="s">
        <v>19</v>
      </c>
      <c r="B28" s="191"/>
      <c r="C28" s="132"/>
      <c r="D28" s="132"/>
      <c r="E28" s="132"/>
      <c r="F28" s="133"/>
      <c r="G28" s="132"/>
      <c r="H28" s="132"/>
      <c r="I28" s="132"/>
      <c r="J28" s="153">
        <f t="shared" si="1"/>
        <v>0</v>
      </c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</row>
    <row r="29" spans="1:33" ht="15" customHeight="1" thickBot="1" x14ac:dyDescent="0.3">
      <c r="A29" s="265" t="s">
        <v>20</v>
      </c>
      <c r="B29" s="133"/>
      <c r="C29" s="132"/>
      <c r="D29" s="132"/>
      <c r="E29" s="132"/>
      <c r="F29" s="133"/>
      <c r="G29" s="132"/>
      <c r="H29" s="132"/>
      <c r="I29" s="132"/>
      <c r="J29" s="153">
        <f t="shared" si="1"/>
        <v>0</v>
      </c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</row>
    <row r="30" spans="1:33" ht="15.75" thickBot="1" x14ac:dyDescent="0.3">
      <c r="A30" s="180" t="s">
        <v>21</v>
      </c>
      <c r="B30" s="168">
        <f>SUMIF(HKM!A:A,"061*",HKM!K:K)-SUMIF(HKM!A:A,"061*",HKM!L:L)</f>
        <v>0</v>
      </c>
      <c r="C30" s="168">
        <f>SUMIF(HKM!A:A,"062*",HKM!K:K)-SUMIF(HKM!A:A,"062*",HKM!L:L)</f>
        <v>0</v>
      </c>
      <c r="D30" s="168">
        <f>SUMIF(HKM!A:A,"063*",HKM!K:K)-SUMIF(HKM!A:A,"063*",HKM!L:L)</f>
        <v>0</v>
      </c>
      <c r="E30" s="168">
        <f>SUMIF(HKM!A:A,"066*",HKM!K:K)-SUMIF(HKM!A:A,"066*",HKM!L:L)</f>
        <v>0</v>
      </c>
      <c r="F30" s="168">
        <f>SUMIF(HKM!A:A,"067*",HKM!K:K)-SUMIF(HKM!A:A,"067*",HKM!L:L)</f>
        <v>26434.239999999998</v>
      </c>
      <c r="G30" s="132"/>
      <c r="H30" s="168">
        <f>SUMIF(HKM!A:A,"043*",HKM!K:K)-SUMIF(HKM!A:A,"043*",HKM!L:L)</f>
        <v>0</v>
      </c>
      <c r="I30" s="168">
        <f>SUMIF(HKM!A:A,"053*",HKM!K:K)-SUMIF(HKM!A:A,"053*",HKM!L:L)</f>
        <v>0</v>
      </c>
      <c r="J30" s="155">
        <f>J26+J27-J28+J29</f>
        <v>0</v>
      </c>
      <c r="K30" s="138"/>
      <c r="L30" s="154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</row>
    <row r="31" spans="1:33" ht="15" customHeight="1" thickTop="1" thickBot="1" x14ac:dyDescent="0.3">
      <c r="A31" s="177" t="s">
        <v>24</v>
      </c>
      <c r="B31" s="169"/>
      <c r="C31" s="169"/>
      <c r="D31" s="169"/>
      <c r="E31" s="169"/>
      <c r="F31" s="169"/>
      <c r="G31" s="169"/>
      <c r="H31" s="169"/>
      <c r="I31" s="169"/>
      <c r="J31" s="157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</row>
    <row r="32" spans="1:33" ht="24" thickTop="1" thickBot="1" x14ac:dyDescent="0.3">
      <c r="A32" s="178" t="s">
        <v>23</v>
      </c>
      <c r="B32" s="168"/>
      <c r="C32" s="168"/>
      <c r="D32" s="168"/>
      <c r="E32" s="168"/>
      <c r="F32" s="168"/>
      <c r="G32" s="168"/>
      <c r="H32" s="168"/>
      <c r="I32" s="172"/>
      <c r="J32" s="153">
        <f>SUM(B32:I32)</f>
        <v>0</v>
      </c>
      <c r="K32" s="138"/>
      <c r="L32" s="154"/>
      <c r="M32" s="167"/>
      <c r="N32" s="161"/>
      <c r="O32" s="138"/>
      <c r="P32" s="138"/>
      <c r="Q32" s="138"/>
      <c r="R32" s="138"/>
      <c r="S32" s="138"/>
      <c r="T32" s="138"/>
      <c r="U32" s="138"/>
      <c r="V32" s="138"/>
      <c r="W32" s="138"/>
    </row>
    <row r="33" spans="1:23" ht="15" customHeight="1" thickBot="1" x14ac:dyDescent="0.3">
      <c r="A33" s="179" t="s">
        <v>18</v>
      </c>
      <c r="B33" s="132"/>
      <c r="C33" s="132"/>
      <c r="D33" s="132"/>
      <c r="E33" s="132"/>
      <c r="F33" s="132"/>
      <c r="G33" s="132"/>
      <c r="H33" s="132"/>
      <c r="I33" s="158"/>
      <c r="J33" s="153">
        <f t="shared" ref="J33:J34" si="2">SUM(B33:I33)</f>
        <v>0</v>
      </c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</row>
    <row r="34" spans="1:23" ht="15" customHeight="1" thickBot="1" x14ac:dyDescent="0.3">
      <c r="A34" s="179" t="s">
        <v>19</v>
      </c>
      <c r="B34" s="132"/>
      <c r="C34" s="132"/>
      <c r="D34" s="132"/>
      <c r="E34" s="132"/>
      <c r="F34" s="132"/>
      <c r="G34" s="132"/>
      <c r="H34" s="132"/>
      <c r="I34" s="158"/>
      <c r="J34" s="153">
        <f t="shared" si="2"/>
        <v>0</v>
      </c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</row>
    <row r="35" spans="1:23" ht="15" customHeight="1" thickBot="1" x14ac:dyDescent="0.3">
      <c r="A35" s="265" t="s">
        <v>20</v>
      </c>
      <c r="B35" s="133"/>
      <c r="C35" s="133"/>
      <c r="D35" s="133"/>
      <c r="E35" s="133"/>
      <c r="F35" s="133"/>
      <c r="G35" s="133"/>
      <c r="H35" s="133"/>
      <c r="I35" s="256"/>
      <c r="J35" s="256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</row>
    <row r="36" spans="1:23" ht="15.75" thickBot="1" x14ac:dyDescent="0.3">
      <c r="A36" s="180" t="s">
        <v>21</v>
      </c>
      <c r="B36" s="168"/>
      <c r="C36" s="168"/>
      <c r="D36" s="168"/>
      <c r="E36" s="168"/>
      <c r="F36" s="168"/>
      <c r="G36" s="168"/>
      <c r="H36" s="168"/>
      <c r="I36" s="168">
        <f>SUMIF(SUAM!C:C,"032",SUAM!E:E)</f>
        <v>0</v>
      </c>
      <c r="J36" s="155">
        <f>J32+J33-J34</f>
        <v>0</v>
      </c>
      <c r="K36" s="138"/>
      <c r="L36" s="154"/>
      <c r="M36" s="138"/>
      <c r="N36" s="161"/>
      <c r="O36" s="138"/>
      <c r="P36" s="138"/>
      <c r="Q36" s="138"/>
      <c r="R36" s="138"/>
      <c r="S36" s="138"/>
      <c r="T36" s="138"/>
      <c r="U36" s="138"/>
      <c r="V36" s="138"/>
      <c r="W36" s="138"/>
    </row>
    <row r="37" spans="1:23" ht="15" customHeight="1" thickTop="1" thickBot="1" x14ac:dyDescent="0.3">
      <c r="A37" s="177" t="s">
        <v>368</v>
      </c>
      <c r="B37" s="156"/>
      <c r="C37" s="156"/>
      <c r="D37" s="156"/>
      <c r="E37" s="156"/>
      <c r="F37" s="156"/>
      <c r="G37" s="156"/>
      <c r="H37" s="156"/>
      <c r="I37" s="156"/>
      <c r="J37" s="157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</row>
    <row r="38" spans="1:23" ht="15" customHeight="1" thickTop="1" thickBot="1" x14ac:dyDescent="0.3">
      <c r="A38" s="178" t="s">
        <v>23</v>
      </c>
      <c r="B38" s="158"/>
      <c r="C38" s="158"/>
      <c r="D38" s="158"/>
      <c r="E38" s="158"/>
      <c r="F38" s="158"/>
      <c r="G38" s="158"/>
      <c r="H38" s="158"/>
      <c r="I38" s="158"/>
      <c r="J38" s="153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</row>
    <row r="39" spans="1:23" ht="15" customHeight="1" thickBot="1" x14ac:dyDescent="0.3">
      <c r="A39" s="180" t="s">
        <v>21</v>
      </c>
      <c r="B39" s="159"/>
      <c r="C39" s="159"/>
      <c r="D39" s="159"/>
      <c r="E39" s="159"/>
      <c r="F39" s="159"/>
      <c r="G39" s="159"/>
      <c r="H39" s="159"/>
      <c r="I39" s="159"/>
      <c r="J39" s="155"/>
    </row>
    <row r="40" spans="1:23" ht="15.75" thickTop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23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23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3"/>
  <sheetViews>
    <sheetView showGridLines="0" zoomScaleNormal="100" workbookViewId="0">
      <selection activeCell="A19" sqref="A19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370</v>
      </c>
    </row>
    <row r="2" spans="1:2" ht="21" customHeight="1" thickTop="1" thickBot="1" x14ac:dyDescent="0.3">
      <c r="A2" s="9" t="s">
        <v>40</v>
      </c>
      <c r="B2" s="10" t="s">
        <v>26</v>
      </c>
    </row>
    <row r="3" spans="1:2" ht="23.25" customHeight="1" thickTop="1" thickBot="1" x14ac:dyDescent="0.3">
      <c r="A3" s="11" t="s">
        <v>41</v>
      </c>
      <c r="B3" s="12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69" t="s">
        <v>396</v>
      </c>
    </row>
    <row r="2" spans="1:6" ht="16.5" customHeight="1" thickTop="1" thickBot="1" x14ac:dyDescent="0.3">
      <c r="A2" s="275" t="s">
        <v>42</v>
      </c>
      <c r="B2" s="291" t="s">
        <v>2</v>
      </c>
      <c r="C2" s="292"/>
      <c r="D2" s="292"/>
      <c r="E2" s="292"/>
      <c r="F2" s="293"/>
    </row>
    <row r="3" spans="1:6" ht="70.5" customHeight="1" thickBot="1" x14ac:dyDescent="0.3">
      <c r="A3" s="290"/>
      <c r="B3" s="42" t="s">
        <v>43</v>
      </c>
      <c r="C3" s="42" t="s">
        <v>44</v>
      </c>
      <c r="D3" s="27" t="s">
        <v>302</v>
      </c>
      <c r="E3" s="42" t="s">
        <v>303</v>
      </c>
      <c r="F3" s="42" t="s">
        <v>46</v>
      </c>
    </row>
    <row r="4" spans="1:6" ht="16.5" thickTop="1" thickBot="1" x14ac:dyDescent="0.3">
      <c r="A4" s="92" t="s">
        <v>47</v>
      </c>
      <c r="B4" s="38"/>
      <c r="C4" s="38"/>
      <c r="D4" s="38"/>
      <c r="E4" s="38"/>
      <c r="F4" s="39"/>
    </row>
    <row r="5" spans="1:6" ht="16.5" thickTop="1" thickBot="1" x14ac:dyDescent="0.3">
      <c r="A5" s="93"/>
      <c r="B5" s="40"/>
      <c r="C5" s="40"/>
      <c r="D5" s="21"/>
      <c r="E5" s="21"/>
      <c r="F5" s="14"/>
    </row>
    <row r="6" spans="1:6" ht="15.75" thickBot="1" x14ac:dyDescent="0.3">
      <c r="A6" s="93"/>
      <c r="B6" s="40"/>
      <c r="C6" s="40"/>
      <c r="D6" s="21"/>
      <c r="E6" s="21"/>
      <c r="F6" s="14"/>
    </row>
    <row r="7" spans="1:6" ht="15.75" thickBot="1" x14ac:dyDescent="0.3">
      <c r="A7" s="94"/>
      <c r="B7" s="41"/>
      <c r="C7" s="41"/>
      <c r="D7" s="23"/>
      <c r="E7" s="23"/>
      <c r="F7" s="168">
        <f>SUMIF(HK!A:A,"061*",HK!K:K)-SUMIF(HK!A:A,"061*",HK!L:L)</f>
        <v>0</v>
      </c>
    </row>
    <row r="8" spans="1:6" ht="16.5" thickTop="1" thickBot="1" x14ac:dyDescent="0.3">
      <c r="A8" s="92" t="s">
        <v>48</v>
      </c>
      <c r="B8" s="38"/>
      <c r="C8" s="38"/>
      <c r="D8" s="38"/>
      <c r="E8" s="38"/>
      <c r="F8" s="192"/>
    </row>
    <row r="9" spans="1:6" ht="16.5" thickTop="1" thickBot="1" x14ac:dyDescent="0.3">
      <c r="A9" s="93"/>
      <c r="B9" s="40"/>
      <c r="C9" s="40"/>
      <c r="D9" s="21"/>
      <c r="E9" s="21"/>
      <c r="F9" s="186"/>
    </row>
    <row r="10" spans="1:6" ht="15.75" thickBot="1" x14ac:dyDescent="0.3">
      <c r="A10" s="93"/>
      <c r="B10" s="40"/>
      <c r="C10" s="40"/>
      <c r="D10" s="21"/>
      <c r="E10" s="21"/>
      <c r="F10" s="186"/>
    </row>
    <row r="11" spans="1:6" ht="15.75" thickBot="1" x14ac:dyDescent="0.3">
      <c r="A11" s="94"/>
      <c r="B11" s="41"/>
      <c r="C11" s="41"/>
      <c r="D11" s="23"/>
      <c r="E11" s="23"/>
      <c r="F11" s="168">
        <f>SUMIF(HK!A:A,"062*",HK!K:K)-SUMIF(HK!A:A,"062*",HK!L:L)</f>
        <v>0</v>
      </c>
    </row>
    <row r="12" spans="1:6" ht="16.5" thickTop="1" thickBot="1" x14ac:dyDescent="0.3">
      <c r="A12" s="92" t="s">
        <v>49</v>
      </c>
      <c r="B12" s="38"/>
      <c r="C12" s="38"/>
      <c r="D12" s="38"/>
      <c r="E12" s="38"/>
      <c r="F12" s="192"/>
    </row>
    <row r="13" spans="1:6" ht="16.5" thickTop="1" thickBot="1" x14ac:dyDescent="0.3">
      <c r="A13" s="93"/>
      <c r="B13" s="40"/>
      <c r="C13" s="40"/>
      <c r="D13" s="21"/>
      <c r="E13" s="21"/>
      <c r="F13" s="186"/>
    </row>
    <row r="14" spans="1:6" ht="15.75" thickBot="1" x14ac:dyDescent="0.3">
      <c r="A14" s="93"/>
      <c r="B14" s="40"/>
      <c r="C14" s="40"/>
      <c r="D14" s="21"/>
      <c r="E14" s="21"/>
      <c r="F14" s="186"/>
    </row>
    <row r="15" spans="1:6" ht="15.75" thickBot="1" x14ac:dyDescent="0.3">
      <c r="A15" s="94"/>
      <c r="B15" s="41"/>
      <c r="C15" s="41"/>
      <c r="D15" s="23"/>
      <c r="E15" s="23"/>
      <c r="F15" s="168">
        <f>SUMIF(HK!A:A,"063*",HK!K:K)-SUMIF(HK!A:A,"063*",HK!L:L)</f>
        <v>0</v>
      </c>
    </row>
    <row r="16" spans="1:6" ht="16.5" thickTop="1" thickBot="1" x14ac:dyDescent="0.3">
      <c r="A16" s="92" t="s">
        <v>50</v>
      </c>
      <c r="B16" s="38"/>
      <c r="C16" s="38"/>
      <c r="D16" s="38"/>
      <c r="E16" s="38"/>
      <c r="F16" s="192"/>
    </row>
    <row r="17" spans="1:6" ht="16.5" thickTop="1" thickBot="1" x14ac:dyDescent="0.3">
      <c r="A17" s="95"/>
      <c r="B17" s="40"/>
      <c r="C17" s="40"/>
      <c r="D17" s="21"/>
      <c r="E17" s="21"/>
      <c r="F17" s="186"/>
    </row>
    <row r="18" spans="1:6" ht="15.75" thickBot="1" x14ac:dyDescent="0.3">
      <c r="A18" s="64"/>
      <c r="B18" s="41"/>
      <c r="C18" s="41"/>
      <c r="D18" s="106"/>
      <c r="E18" s="33"/>
      <c r="F18" s="168">
        <f>SUMIF(HK!A:A,"043*",HK!K:K)-SUMIF(HK!A:A,"043*",HK!L:L)</f>
        <v>0</v>
      </c>
    </row>
    <row r="19" spans="1:6" ht="24" thickTop="1" thickBot="1" x14ac:dyDescent="0.3">
      <c r="A19" s="22" t="s">
        <v>51</v>
      </c>
      <c r="B19" s="25" t="s">
        <v>10</v>
      </c>
      <c r="C19" s="25" t="s">
        <v>10</v>
      </c>
      <c r="D19" s="25" t="s">
        <v>10</v>
      </c>
      <c r="E19" s="25" t="s">
        <v>10</v>
      </c>
      <c r="F19" s="16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2019-06-23T18:49:26Z</dcterms:modified>
</cp:coreProperties>
</file>